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state="hidden" r:id="rId41"/>
    <sheet name="土地案例" sheetId="69" r:id="rId42"/>
    <sheet name="新房案例" sheetId="70" r:id="rId43"/>
    <sheet name="面积指标" sheetId="71" r:id="rId44"/>
    <sheet name="清单"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41" hidden="1">土地案例!$A$5:$AR$5</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6" i="66" l="1"/>
  <c r="G17" i="66"/>
  <c r="G18" i="66"/>
  <c r="G19" i="66"/>
  <c r="G20" i="66"/>
  <c r="G21" i="66"/>
  <c r="G22" i="66"/>
  <c r="G15" i="66"/>
  <c r="D18" i="72" l="1"/>
  <c r="C18" i="72"/>
  <c r="D13" i="72" l="1"/>
  <c r="C13" i="72"/>
  <c r="D10" i="72" l="1"/>
  <c r="C10" i="72"/>
  <c r="D14" i="9"/>
  <c r="F83" i="71"/>
  <c r="F84" i="71"/>
  <c r="F85" i="71"/>
  <c r="F86" i="71"/>
  <c r="F87" i="71"/>
  <c r="F88" i="71"/>
  <c r="F82" i="71"/>
  <c r="E90" i="71"/>
  <c r="F90" i="71" s="1"/>
  <c r="E89" i="71"/>
  <c r="F89" i="71" s="1"/>
  <c r="E88" i="71"/>
  <c r="E87" i="71"/>
  <c r="E86" i="71"/>
  <c r="E85" i="71"/>
  <c r="E84" i="71"/>
  <c r="E83" i="71"/>
  <c r="E82" i="71"/>
  <c r="I22" i="66" l="1"/>
  <c r="I21" i="66"/>
  <c r="H21" i="66"/>
  <c r="L7" i="1" l="1"/>
  <c r="N7" i="1"/>
  <c r="G20" i="6"/>
  <c r="L14" i="1" l="1"/>
  <c r="I20" i="66" l="1"/>
  <c r="H20" i="66"/>
  <c r="I19" i="66" l="1"/>
  <c r="H19" i="66"/>
  <c r="I18" i="66" l="1"/>
  <c r="H18" i="66"/>
  <c r="I17" i="66" l="1"/>
  <c r="H17" i="66"/>
  <c r="I16" i="66"/>
  <c r="I15" i="66"/>
  <c r="H15" i="66"/>
  <c r="E104" i="21" l="1"/>
  <c r="F104" i="21" s="1"/>
  <c r="G104" i="21" s="1"/>
  <c r="H104" i="21" s="1"/>
  <c r="I104" i="21" s="1"/>
  <c r="J104" i="21" s="1"/>
  <c r="K104" i="21" s="1"/>
  <c r="L104" i="21" s="1"/>
  <c r="M104" i="21" s="1"/>
  <c r="D104" i="21"/>
  <c r="E120" i="39" l="1"/>
  <c r="F120" i="39" s="1"/>
  <c r="G120" i="39" s="1"/>
  <c r="D120" i="39"/>
  <c r="I48" i="39"/>
  <c r="G48" i="39"/>
  <c r="E48" i="39"/>
  <c r="H13" i="3" l="1"/>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G32" i="3"/>
  <c r="H33" i="3"/>
  <c r="AC33" i="3"/>
  <c r="G33" i="3" s="1"/>
  <c r="H34" i="3"/>
  <c r="AC34" i="3"/>
  <c r="G34" i="3" s="1"/>
  <c r="H35" i="3"/>
  <c r="AC35" i="3"/>
  <c r="H36" i="3"/>
  <c r="AC36" i="3"/>
  <c r="G36" i="3" s="1"/>
  <c r="H37" i="3"/>
  <c r="AC37" i="3"/>
  <c r="H38" i="3"/>
  <c r="AC38" i="3"/>
  <c r="H39" i="3"/>
  <c r="AC39" i="3"/>
  <c r="H40" i="3"/>
  <c r="AC40" i="3"/>
  <c r="G40" i="3"/>
  <c r="H41" i="3"/>
  <c r="AC41" i="3"/>
  <c r="G41" i="3" s="1"/>
  <c r="H42" i="3"/>
  <c r="AC42" i="3"/>
  <c r="G42" i="3" s="1"/>
  <c r="H43" i="3"/>
  <c r="AC43" i="3"/>
  <c r="H44" i="3"/>
  <c r="AC44" i="3"/>
  <c r="G44" i="3" s="1"/>
  <c r="H45" i="3"/>
  <c r="AC45" i="3"/>
  <c r="H46" i="3"/>
  <c r="AC46" i="3"/>
  <c r="H47" i="3"/>
  <c r="AC47" i="3"/>
  <c r="H48" i="3"/>
  <c r="AC48" i="3"/>
  <c r="G48" i="3"/>
  <c r="H49" i="3"/>
  <c r="AC49" i="3"/>
  <c r="G49" i="3" s="1"/>
  <c r="H50" i="3"/>
  <c r="AC50" i="3"/>
  <c r="G50" i="3" s="1"/>
  <c r="H51" i="3"/>
  <c r="AC51" i="3"/>
  <c r="H52" i="3"/>
  <c r="AC52" i="3"/>
  <c r="G52" i="3" s="1"/>
  <c r="H53" i="3"/>
  <c r="AC53" i="3"/>
  <c r="H54" i="3"/>
  <c r="AC54" i="3"/>
  <c r="H55" i="3"/>
  <c r="AC55" i="3"/>
  <c r="H56" i="3"/>
  <c r="AC56" i="3"/>
  <c r="G56" i="3"/>
  <c r="H57" i="3"/>
  <c r="AC57" i="3"/>
  <c r="G57" i="3" s="1"/>
  <c r="H58" i="3"/>
  <c r="AC58" i="3"/>
  <c r="G58" i="3" s="1"/>
  <c r="H59" i="3"/>
  <c r="AC59" i="3"/>
  <c r="H60" i="3"/>
  <c r="AC60" i="3"/>
  <c r="G60" i="3" s="1"/>
  <c r="H61" i="3"/>
  <c r="AC61" i="3"/>
  <c r="H62" i="3"/>
  <c r="AC62" i="3"/>
  <c r="H63" i="3"/>
  <c r="AC63" i="3"/>
  <c r="H64" i="3"/>
  <c r="AC64" i="3"/>
  <c r="G64" i="3"/>
  <c r="H65" i="3"/>
  <c r="AC65" i="3"/>
  <c r="G65" i="3" s="1"/>
  <c r="H66" i="3"/>
  <c r="AC66" i="3"/>
  <c r="H67" i="3"/>
  <c r="AC67" i="3"/>
  <c r="H68" i="3"/>
  <c r="AC68" i="3"/>
  <c r="G68" i="3" s="1"/>
  <c r="H69" i="3"/>
  <c r="AC69" i="3"/>
  <c r="H70" i="3"/>
  <c r="AC70" i="3"/>
  <c r="H71" i="3"/>
  <c r="AC71" i="3"/>
  <c r="H72" i="3"/>
  <c r="AC72" i="3"/>
  <c r="G72" i="3"/>
  <c r="H73" i="3"/>
  <c r="AC73" i="3"/>
  <c r="G73" i="3" s="1"/>
  <c r="H74" i="3"/>
  <c r="AC74" i="3"/>
  <c r="G74" i="3" s="1"/>
  <c r="H75" i="3"/>
  <c r="AC75" i="3"/>
  <c r="H76" i="3"/>
  <c r="AC76" i="3"/>
  <c r="G76" i="3" s="1"/>
  <c r="H77" i="3"/>
  <c r="AC77" i="3"/>
  <c r="H78" i="3"/>
  <c r="AC78" i="3"/>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s="1"/>
  <c r="H89" i="3"/>
  <c r="AC89" i="3"/>
  <c r="H90" i="3"/>
  <c r="AC90" i="3"/>
  <c r="H91" i="3"/>
  <c r="AC91" i="3"/>
  <c r="H92" i="3"/>
  <c r="AC92" i="3"/>
  <c r="G92" i="3"/>
  <c r="H93" i="3"/>
  <c r="AC93" i="3"/>
  <c r="G93" i="3" s="1"/>
  <c r="H94" i="3"/>
  <c r="AC94" i="3"/>
  <c r="G94" i="3" s="1"/>
  <c r="H95" i="3"/>
  <c r="AC95" i="3"/>
  <c r="H96" i="3"/>
  <c r="AC96" i="3"/>
  <c r="G96" i="3"/>
  <c r="H97" i="3"/>
  <c r="AC97" i="3"/>
  <c r="G97" i="3" s="1"/>
  <c r="H98" i="3"/>
  <c r="AC98" i="3"/>
  <c r="H99" i="3"/>
  <c r="AC99" i="3"/>
  <c r="G99" i="3"/>
  <c r="H100" i="3"/>
  <c r="AC100" i="3"/>
  <c r="G100" i="3" s="1"/>
  <c r="H101" i="3"/>
  <c r="AC101" i="3"/>
  <c r="G101" i="3" s="1"/>
  <c r="H102" i="3"/>
  <c r="AC102" i="3"/>
  <c r="H103" i="3"/>
  <c r="AC103" i="3"/>
  <c r="G103" i="3" s="1"/>
  <c r="H104" i="3"/>
  <c r="AC104" i="3"/>
  <c r="H105" i="3"/>
  <c r="AC105" i="3"/>
  <c r="H106" i="3"/>
  <c r="AC106" i="3"/>
  <c r="H107" i="3"/>
  <c r="AC107" i="3"/>
  <c r="G107" i="3"/>
  <c r="H108" i="3"/>
  <c r="AC108" i="3"/>
  <c r="G108" i="3" s="1"/>
  <c r="H109" i="3"/>
  <c r="AC109" i="3"/>
  <c r="G109" i="3" s="1"/>
  <c r="H110" i="3"/>
  <c r="AC110" i="3"/>
  <c r="G110" i="3" s="1"/>
  <c r="H111" i="3"/>
  <c r="AC111" i="3"/>
  <c r="G111" i="3" s="1"/>
  <c r="H112" i="3"/>
  <c r="AC112" i="3"/>
  <c r="H113" i="3"/>
  <c r="AC113" i="3"/>
  <c r="G113" i="3"/>
  <c r="H114" i="3"/>
  <c r="AC114" i="3"/>
  <c r="G114" i="3" s="1"/>
  <c r="H115" i="3"/>
  <c r="AC115" i="3"/>
  <c r="G115" i="3" s="1"/>
  <c r="H116" i="3"/>
  <c r="AC116" i="3"/>
  <c r="H117" i="3"/>
  <c r="AC117" i="3"/>
  <c r="G117" i="3"/>
  <c r="H118" i="3"/>
  <c r="AC118" i="3"/>
  <c r="G118" i="3" s="1"/>
  <c r="H119" i="3"/>
  <c r="AC119" i="3"/>
  <c r="G119" i="3" s="1"/>
  <c r="H120" i="3"/>
  <c r="AC120" i="3"/>
  <c r="H121" i="3"/>
  <c r="AC121" i="3"/>
  <c r="G121" i="3"/>
  <c r="H122" i="3"/>
  <c r="AC122" i="3"/>
  <c r="G122" i="3" s="1"/>
  <c r="H123" i="3"/>
  <c r="AC123" i="3"/>
  <c r="G123" i="3" s="1"/>
  <c r="H124" i="3"/>
  <c r="AC124" i="3"/>
  <c r="H125" i="3"/>
  <c r="AC125" i="3"/>
  <c r="G125" i="3"/>
  <c r="H126" i="3"/>
  <c r="AC126" i="3"/>
  <c r="G126" i="3" s="1"/>
  <c r="H127" i="3"/>
  <c r="AC127" i="3"/>
  <c r="G127" i="3" s="1"/>
  <c r="H128" i="3"/>
  <c r="AC128" i="3"/>
  <c r="H129" i="3"/>
  <c r="AC129" i="3"/>
  <c r="G129" i="3"/>
  <c r="H130" i="3"/>
  <c r="AC130" i="3"/>
  <c r="G130" i="3" s="1"/>
  <c r="H131" i="3"/>
  <c r="AC131" i="3"/>
  <c r="G131" i="3" s="1"/>
  <c r="H132" i="3"/>
  <c r="AC132" i="3"/>
  <c r="H133" i="3"/>
  <c r="AC133" i="3"/>
  <c r="G133" i="3"/>
  <c r="H134" i="3"/>
  <c r="AC134" i="3"/>
  <c r="G134" i="3" s="1"/>
  <c r="H135" i="3"/>
  <c r="AC135" i="3"/>
  <c r="G135" i="3" s="1"/>
  <c r="H136" i="3"/>
  <c r="AC136" i="3"/>
  <c r="H137" i="3"/>
  <c r="AC137" i="3"/>
  <c r="G137" i="3"/>
  <c r="H138" i="3"/>
  <c r="AC138" i="3"/>
  <c r="G138" i="3" s="1"/>
  <c r="H139" i="3"/>
  <c r="AC139" i="3"/>
  <c r="G139" i="3" s="1"/>
  <c r="H140" i="3"/>
  <c r="AC140" i="3"/>
  <c r="H141" i="3"/>
  <c r="AC141" i="3"/>
  <c r="G141" i="3"/>
  <c r="H142" i="3"/>
  <c r="AC142" i="3"/>
  <c r="G142" i="3" s="1"/>
  <c r="H143" i="3"/>
  <c r="AC143" i="3"/>
  <c r="G143" i="3" s="1"/>
  <c r="H144" i="3"/>
  <c r="AC144" i="3"/>
  <c r="H145" i="3"/>
  <c r="AC145" i="3"/>
  <c r="G145" i="3"/>
  <c r="H146" i="3"/>
  <c r="AC146" i="3"/>
  <c r="G146" i="3" s="1"/>
  <c r="H147" i="3"/>
  <c r="AC147" i="3"/>
  <c r="G147" i="3" s="1"/>
  <c r="H148" i="3"/>
  <c r="AC148" i="3"/>
  <c r="H149" i="3"/>
  <c r="AC149" i="3"/>
  <c r="G149" i="3"/>
  <c r="H150" i="3"/>
  <c r="AC150" i="3"/>
  <c r="G150" i="3" s="1"/>
  <c r="H151" i="3"/>
  <c r="AC151" i="3"/>
  <c r="G151" i="3" s="1"/>
  <c r="H152" i="3"/>
  <c r="AC152" i="3"/>
  <c r="H153" i="3"/>
  <c r="AC153" i="3"/>
  <c r="G153" i="3"/>
  <c r="H154" i="3"/>
  <c r="AC154" i="3"/>
  <c r="G154" i="3" s="1"/>
  <c r="H155" i="3"/>
  <c r="AC155" i="3"/>
  <c r="G155" i="3" s="1"/>
  <c r="H156" i="3"/>
  <c r="AC156" i="3"/>
  <c r="H157" i="3"/>
  <c r="AC157" i="3"/>
  <c r="G157" i="3"/>
  <c r="H158" i="3"/>
  <c r="AC158" i="3"/>
  <c r="G158" i="3" s="1"/>
  <c r="H159" i="3"/>
  <c r="AC159" i="3"/>
  <c r="G159" i="3" s="1"/>
  <c r="H160" i="3"/>
  <c r="AC160" i="3"/>
  <c r="H161" i="3"/>
  <c r="AC161" i="3"/>
  <c r="G161" i="3"/>
  <c r="H162" i="3"/>
  <c r="AC162" i="3"/>
  <c r="G162" i="3" s="1"/>
  <c r="H163" i="3"/>
  <c r="AC163" i="3"/>
  <c r="G163" i="3" s="1"/>
  <c r="H164" i="3"/>
  <c r="AC164" i="3"/>
  <c r="H165" i="3"/>
  <c r="AC165" i="3"/>
  <c r="G165" i="3"/>
  <c r="H166" i="3"/>
  <c r="AC166" i="3"/>
  <c r="G166" i="3" s="1"/>
  <c r="H167" i="3"/>
  <c r="AC167" i="3"/>
  <c r="G167" i="3" s="1"/>
  <c r="H168" i="3"/>
  <c r="AC168" i="3"/>
  <c r="H169" i="3"/>
  <c r="AC169" i="3"/>
  <c r="G169" i="3"/>
  <c r="H170" i="3"/>
  <c r="AC170" i="3"/>
  <c r="G170" i="3" s="1"/>
  <c r="H171" i="3"/>
  <c r="AC171" i="3"/>
  <c r="G171" i="3" s="1"/>
  <c r="H172" i="3"/>
  <c r="AC172" i="3"/>
  <c r="H173" i="3"/>
  <c r="AC173" i="3"/>
  <c r="G173" i="3"/>
  <c r="H174" i="3"/>
  <c r="AC174" i="3"/>
  <c r="G174" i="3" s="1"/>
  <c r="H175" i="3"/>
  <c r="AC175" i="3"/>
  <c r="G175" i="3" s="1"/>
  <c r="H176" i="3"/>
  <c r="AC176" i="3"/>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c r="H198" i="3"/>
  <c r="AC198" i="3"/>
  <c r="G198" i="3" s="1"/>
  <c r="H199" i="3"/>
  <c r="AC199" i="3"/>
  <c r="G199" i="3"/>
  <c r="H200" i="3"/>
  <c r="AC200" i="3"/>
  <c r="H201" i="3"/>
  <c r="AC201" i="3"/>
  <c r="G201" i="3"/>
  <c r="H202" i="3"/>
  <c r="AC202" i="3"/>
  <c r="G202" i="3" s="1"/>
  <c r="H203" i="3"/>
  <c r="AC203" i="3"/>
  <c r="G203" i="3" s="1"/>
  <c r="H204" i="3"/>
  <c r="AC204" i="3"/>
  <c r="H205" i="3"/>
  <c r="AC205" i="3"/>
  <c r="G205" i="3"/>
  <c r="H206" i="3"/>
  <c r="AC206" i="3"/>
  <c r="G206" i="3" s="1"/>
  <c r="H207" i="3"/>
  <c r="AC207" i="3"/>
  <c r="G207" i="3"/>
  <c r="H208" i="3"/>
  <c r="AC208" i="3"/>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H219" i="3"/>
  <c r="AC219" i="3"/>
  <c r="G219" i="3"/>
  <c r="H220" i="3"/>
  <c r="AC220" i="3"/>
  <c r="G220" i="3" s="1"/>
  <c r="H221" i="3"/>
  <c r="AC221" i="3"/>
  <c r="G221" i="3"/>
  <c r="H222" i="3"/>
  <c r="AC222" i="3"/>
  <c r="G222" i="3" s="1"/>
  <c r="H223" i="3"/>
  <c r="AC223" i="3"/>
  <c r="G223" i="3"/>
  <c r="H224" i="3"/>
  <c r="AC224" i="3"/>
  <c r="G224" i="3" s="1"/>
  <c r="H225" i="3"/>
  <c r="AC225" i="3"/>
  <c r="G225" i="3"/>
  <c r="H226" i="3"/>
  <c r="AC226" i="3"/>
  <c r="H227" i="3"/>
  <c r="AC227" i="3"/>
  <c r="G227" i="3"/>
  <c r="H228" i="3"/>
  <c r="AC228" i="3"/>
  <c r="G228" i="3" s="1"/>
  <c r="H229" i="3"/>
  <c r="AC229" i="3"/>
  <c r="G229" i="3"/>
  <c r="H230" i="3"/>
  <c r="AC230" i="3"/>
  <c r="H231" i="3"/>
  <c r="AC231" i="3"/>
  <c r="G231" i="3"/>
  <c r="H232" i="3"/>
  <c r="AC232" i="3"/>
  <c r="G232" i="3" s="1"/>
  <c r="H233" i="3"/>
  <c r="AC233" i="3"/>
  <c r="G233" i="3"/>
  <c r="H234" i="3"/>
  <c r="AC234" i="3"/>
  <c r="G234" i="3" s="1"/>
  <c r="H235" i="3"/>
  <c r="AC235" i="3"/>
  <c r="G235" i="3"/>
  <c r="H236" i="3"/>
  <c r="AC236" i="3"/>
  <c r="G236" i="3" s="1"/>
  <c r="H237" i="3"/>
  <c r="AC237" i="3"/>
  <c r="G237" i="3"/>
  <c r="H238" i="3"/>
  <c r="AC238" i="3"/>
  <c r="H239" i="3"/>
  <c r="AC239" i="3"/>
  <c r="G239" i="3"/>
  <c r="H240" i="3"/>
  <c r="AC240" i="3"/>
  <c r="H241" i="3"/>
  <c r="AC241" i="3"/>
  <c r="G241" i="3"/>
  <c r="H242" i="3"/>
  <c r="AC242" i="3"/>
  <c r="G242" i="3" s="1"/>
  <c r="H243" i="3"/>
  <c r="AC243" i="3"/>
  <c r="G243" i="3"/>
  <c r="H244" i="3"/>
  <c r="AC244" i="3"/>
  <c r="H245" i="3"/>
  <c r="AC245" i="3"/>
  <c r="G245" i="3"/>
  <c r="H246" i="3"/>
  <c r="AC246" i="3"/>
  <c r="G246" i="3" s="1"/>
  <c r="H247" i="3"/>
  <c r="AC247" i="3"/>
  <c r="G247" i="3"/>
  <c r="H248" i="3"/>
  <c r="AC248" i="3"/>
  <c r="G248" i="3" s="1"/>
  <c r="H249" i="3"/>
  <c r="AC249" i="3"/>
  <c r="G249" i="3"/>
  <c r="H250" i="3"/>
  <c r="AC250" i="3"/>
  <c r="H251" i="3"/>
  <c r="AC251" i="3"/>
  <c r="G251" i="3"/>
  <c r="H252" i="3"/>
  <c r="AC252" i="3"/>
  <c r="G252" i="3" s="1"/>
  <c r="H253" i="3"/>
  <c r="AC253" i="3"/>
  <c r="G253" i="3"/>
  <c r="H254" i="3"/>
  <c r="AC254" i="3"/>
  <c r="G254" i="3" s="1"/>
  <c r="H255" i="3"/>
  <c r="AC255" i="3"/>
  <c r="G255" i="3" s="1"/>
  <c r="H256" i="3"/>
  <c r="AC256" i="3"/>
  <c r="H257" i="3"/>
  <c r="AC257" i="3"/>
  <c r="G257" i="3"/>
  <c r="H258" i="3"/>
  <c r="AC258" i="3"/>
  <c r="G258" i="3" s="1"/>
  <c r="H259" i="3"/>
  <c r="AC259" i="3"/>
  <c r="G259" i="3" s="1"/>
  <c r="H260" i="3"/>
  <c r="AC260" i="3"/>
  <c r="H261" i="3"/>
  <c r="AC261" i="3"/>
  <c r="G261" i="3"/>
  <c r="H262" i="3"/>
  <c r="AC262" i="3"/>
  <c r="G262" i="3" s="1"/>
  <c r="H263" i="3"/>
  <c r="AC263" i="3"/>
  <c r="G263" i="3" s="1"/>
  <c r="H264" i="3"/>
  <c r="AC264" i="3"/>
  <c r="H265" i="3"/>
  <c r="AC265" i="3"/>
  <c r="G265" i="3"/>
  <c r="H266" i="3"/>
  <c r="AC266" i="3"/>
  <c r="G266" i="3" s="1"/>
  <c r="H267" i="3"/>
  <c r="AC267" i="3"/>
  <c r="G267" i="3" s="1"/>
  <c r="H268" i="3"/>
  <c r="AC268" i="3"/>
  <c r="H269" i="3"/>
  <c r="AC269" i="3"/>
  <c r="G269" i="3"/>
  <c r="H270" i="3"/>
  <c r="AC270" i="3"/>
  <c r="G270" i="3" s="1"/>
  <c r="H271" i="3"/>
  <c r="AC271" i="3"/>
  <c r="G271" i="3" s="1"/>
  <c r="H272" i="3"/>
  <c r="AC272" i="3"/>
  <c r="H273" i="3"/>
  <c r="AC273" i="3"/>
  <c r="G273" i="3"/>
  <c r="H274" i="3"/>
  <c r="AC274" i="3"/>
  <c r="G274" i="3" s="1"/>
  <c r="H275" i="3"/>
  <c r="AC275" i="3"/>
  <c r="G275" i="3" s="1"/>
  <c r="H276" i="3"/>
  <c r="AC276" i="3"/>
  <c r="H277" i="3"/>
  <c r="AC277" i="3"/>
  <c r="G277" i="3"/>
  <c r="H278" i="3"/>
  <c r="AC278" i="3"/>
  <c r="G278" i="3" s="1"/>
  <c r="H279" i="3"/>
  <c r="AC279" i="3"/>
  <c r="G279" i="3" s="1"/>
  <c r="H280" i="3"/>
  <c r="AC280" i="3"/>
  <c r="H281" i="3"/>
  <c r="AC281" i="3"/>
  <c r="G281" i="3"/>
  <c r="H282" i="3"/>
  <c r="AC282" i="3"/>
  <c r="G282" i="3" s="1"/>
  <c r="H283" i="3"/>
  <c r="AC283" i="3"/>
  <c r="G283" i="3" s="1"/>
  <c r="H284" i="3"/>
  <c r="AC284" i="3"/>
  <c r="H285" i="3"/>
  <c r="AC285" i="3"/>
  <c r="G285" i="3"/>
  <c r="H286" i="3"/>
  <c r="AC286" i="3"/>
  <c r="G286" i="3" s="1"/>
  <c r="H287" i="3"/>
  <c r="AC287" i="3"/>
  <c r="G287" i="3" s="1"/>
  <c r="H288" i="3"/>
  <c r="AC288" i="3"/>
  <c r="H289" i="3"/>
  <c r="AC289" i="3"/>
  <c r="G289" i="3"/>
  <c r="H290" i="3"/>
  <c r="AC290" i="3"/>
  <c r="G290" i="3" s="1"/>
  <c r="H291" i="3"/>
  <c r="AC291" i="3"/>
  <c r="G291" i="3" s="1"/>
  <c r="H292" i="3"/>
  <c r="AC292" i="3"/>
  <c r="H293" i="3"/>
  <c r="AC293" i="3"/>
  <c r="G293" i="3"/>
  <c r="H294" i="3"/>
  <c r="AC294" i="3"/>
  <c r="G294" i="3" s="1"/>
  <c r="H295" i="3"/>
  <c r="AC295" i="3"/>
  <c r="G295" i="3" s="1"/>
  <c r="H296" i="3"/>
  <c r="AC296" i="3"/>
  <c r="H297" i="3"/>
  <c r="AC297" i="3"/>
  <c r="G297" i="3"/>
  <c r="H298" i="3"/>
  <c r="AC298" i="3"/>
  <c r="G298" i="3" s="1"/>
  <c r="H299" i="3"/>
  <c r="AC299" i="3"/>
  <c r="G299" i="3" s="1"/>
  <c r="H300" i="3"/>
  <c r="AC300" i="3"/>
  <c r="H301" i="3"/>
  <c r="AC301" i="3"/>
  <c r="G301" i="3"/>
  <c r="H302" i="3"/>
  <c r="AC302" i="3"/>
  <c r="G302" i="3" s="1"/>
  <c r="H303" i="3"/>
  <c r="AC303" i="3"/>
  <c r="G303" i="3" s="1"/>
  <c r="H304" i="3"/>
  <c r="AC304" i="3"/>
  <c r="H305" i="3"/>
  <c r="AC305" i="3"/>
  <c r="G305" i="3"/>
  <c r="H306" i="3"/>
  <c r="AC306" i="3"/>
  <c r="G306" i="3" s="1"/>
  <c r="H307" i="3"/>
  <c r="AC307" i="3"/>
  <c r="G307" i="3" s="1"/>
  <c r="H308" i="3"/>
  <c r="AC308" i="3"/>
  <c r="H309" i="3"/>
  <c r="AC309" i="3"/>
  <c r="G309" i="3"/>
  <c r="H310" i="3"/>
  <c r="AC310" i="3"/>
  <c r="G310" i="3" s="1"/>
  <c r="H311" i="3"/>
  <c r="AC311" i="3"/>
  <c r="G311" i="3" s="1"/>
  <c r="H312" i="3"/>
  <c r="AC312" i="3"/>
  <c r="H313" i="3"/>
  <c r="AC313" i="3"/>
  <c r="G313" i="3"/>
  <c r="H314" i="3"/>
  <c r="AC314" i="3"/>
  <c r="G314" i="3" s="1"/>
  <c r="H315" i="3"/>
  <c r="AC315" i="3"/>
  <c r="G315" i="3" s="1"/>
  <c r="H316" i="3"/>
  <c r="AC316" i="3"/>
  <c r="H317" i="3"/>
  <c r="AC317" i="3"/>
  <c r="G317" i="3"/>
  <c r="H318" i="3"/>
  <c r="AC318" i="3"/>
  <c r="G318" i="3" s="1"/>
  <c r="H319" i="3"/>
  <c r="AC319" i="3"/>
  <c r="G319" i="3" s="1"/>
  <c r="H320" i="3"/>
  <c r="AC320" i="3"/>
  <c r="H321" i="3"/>
  <c r="AC321" i="3"/>
  <c r="G321" i="3"/>
  <c r="H322" i="3"/>
  <c r="AC322" i="3"/>
  <c r="G322" i="3" s="1"/>
  <c r="H323" i="3"/>
  <c r="AC323" i="3"/>
  <c r="G323" i="3" s="1"/>
  <c r="H324" i="3"/>
  <c r="AC324" i="3"/>
  <c r="H325" i="3"/>
  <c r="AC325" i="3"/>
  <c r="G325" i="3"/>
  <c r="H326" i="3"/>
  <c r="AC326" i="3"/>
  <c r="G326" i="3" s="1"/>
  <c r="H327" i="3"/>
  <c r="AC327" i="3"/>
  <c r="G327" i="3" s="1"/>
  <c r="H328" i="3"/>
  <c r="AC328" i="3"/>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H382" i="3"/>
  <c r="AC382" i="3"/>
  <c r="G382" i="3"/>
  <c r="H383" i="3"/>
  <c r="AC383" i="3"/>
  <c r="G383" i="3" s="1"/>
  <c r="H384" i="3"/>
  <c r="AC384" i="3"/>
  <c r="H385" i="3"/>
  <c r="AC385" i="3"/>
  <c r="G385" i="3"/>
  <c r="H386" i="3"/>
  <c r="AC386" i="3"/>
  <c r="G386" i="3" s="1"/>
  <c r="H387" i="3"/>
  <c r="AC387" i="3"/>
  <c r="G387" i="3" s="1"/>
  <c r="H388" i="3"/>
  <c r="AC388" i="3"/>
  <c r="H389" i="3"/>
  <c r="AC389" i="3"/>
  <c r="G389" i="3"/>
  <c r="H390" i="3"/>
  <c r="AC390" i="3"/>
  <c r="G390" i="3" s="1"/>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H415" i="3"/>
  <c r="AC415" i="3"/>
  <c r="G415" i="3"/>
  <c r="H416" i="3"/>
  <c r="AC416" i="3"/>
  <c r="G416" i="3" s="1"/>
  <c r="H417" i="3"/>
  <c r="AC417" i="3"/>
  <c r="G417" i="3" s="1"/>
  <c r="H418" i="3"/>
  <c r="AC418" i="3"/>
  <c r="G418" i="3"/>
  <c r="H419" i="3"/>
  <c r="AC419" i="3"/>
  <c r="G419" i="3" s="1"/>
  <c r="H420" i="3"/>
  <c r="AC420" i="3"/>
  <c r="G420" i="3" s="1"/>
  <c r="H421" i="3"/>
  <c r="AC421" i="3"/>
  <c r="H422" i="3"/>
  <c r="AC422" i="3"/>
  <c r="G422" i="3"/>
  <c r="H423" i="3"/>
  <c r="AC423" i="3"/>
  <c r="G423" i="3" s="1"/>
  <c r="H424" i="3"/>
  <c r="AC424" i="3"/>
  <c r="G424" i="3" s="1"/>
  <c r="H425" i="3"/>
  <c r="AC425" i="3"/>
  <c r="H426" i="3"/>
  <c r="AC426" i="3"/>
  <c r="G426" i="3"/>
  <c r="H427" i="3"/>
  <c r="AC427" i="3"/>
  <c r="G427" i="3" s="1"/>
  <c r="H428" i="3"/>
  <c r="AC428" i="3"/>
  <c r="G428" i="3" s="1"/>
  <c r="H429" i="3"/>
  <c r="AC429" i="3"/>
  <c r="H430" i="3"/>
  <c r="AC430" i="3"/>
  <c r="G430" i="3"/>
  <c r="H431" i="3"/>
  <c r="AC431" i="3"/>
  <c r="G431" i="3" s="1"/>
  <c r="H432" i="3"/>
  <c r="AC432" i="3"/>
  <c r="G432" i="3" s="1"/>
  <c r="H433" i="3"/>
  <c r="AC433" i="3"/>
  <c r="H434" i="3"/>
  <c r="AC434" i="3"/>
  <c r="G434" i="3"/>
  <c r="H435" i="3"/>
  <c r="AC435" i="3"/>
  <c r="G435" i="3" s="1"/>
  <c r="H436" i="3"/>
  <c r="AC436" i="3"/>
  <c r="G436" i="3" s="1"/>
  <c r="H437" i="3"/>
  <c r="AC437" i="3"/>
  <c r="H438" i="3"/>
  <c r="AC438" i="3"/>
  <c r="G438" i="3"/>
  <c r="H439" i="3"/>
  <c r="AC439" i="3"/>
  <c r="G439" i="3" s="1"/>
  <c r="H440" i="3"/>
  <c r="AC440" i="3"/>
  <c r="G440" i="3" s="1"/>
  <c r="H441" i="3"/>
  <c r="AC441" i="3"/>
  <c r="H442" i="3"/>
  <c r="AC442" i="3"/>
  <c r="G442" i="3"/>
  <c r="H443" i="3"/>
  <c r="AC443" i="3"/>
  <c r="G443" i="3" s="1"/>
  <c r="H444" i="3"/>
  <c r="AC444" i="3"/>
  <c r="G444" i="3" s="1"/>
  <c r="H445" i="3"/>
  <c r="AC445" i="3"/>
  <c r="H446" i="3"/>
  <c r="AC446" i="3"/>
  <c r="G446" i="3"/>
  <c r="H447" i="3"/>
  <c r="AC447" i="3"/>
  <c r="G447" i="3" s="1"/>
  <c r="H448" i="3"/>
  <c r="AC448" i="3"/>
  <c r="G448" i="3" s="1"/>
  <c r="H449" i="3"/>
  <c r="AC449" i="3"/>
  <c r="H450" i="3"/>
  <c r="AC450" i="3"/>
  <c r="G450" i="3"/>
  <c r="H451" i="3"/>
  <c r="AC451" i="3"/>
  <c r="G451" i="3" s="1"/>
  <c r="H452" i="3"/>
  <c r="AC452" i="3"/>
  <c r="G452" i="3" s="1"/>
  <c r="H453" i="3"/>
  <c r="AC453" i="3"/>
  <c r="H454" i="3"/>
  <c r="AC454" i="3"/>
  <c r="G454" i="3"/>
  <c r="H455" i="3"/>
  <c r="AC455" i="3"/>
  <c r="G455" i="3" s="1"/>
  <c r="H456" i="3"/>
  <c r="AC456" i="3"/>
  <c r="G456" i="3" s="1"/>
  <c r="H457" i="3"/>
  <c r="AC457" i="3"/>
  <c r="H458" i="3"/>
  <c r="AC458" i="3"/>
  <c r="G458" i="3"/>
  <c r="H459" i="3"/>
  <c r="AC459" i="3"/>
  <c r="G459" i="3" s="1"/>
  <c r="H460" i="3"/>
  <c r="AC460" i="3"/>
  <c r="G460" i="3" s="1"/>
  <c r="H461" i="3"/>
  <c r="AC461" i="3"/>
  <c r="H462" i="3"/>
  <c r="AC462" i="3"/>
  <c r="G462" i="3"/>
  <c r="H463" i="3"/>
  <c r="AC463" i="3"/>
  <c r="G463" i="3" s="1"/>
  <c r="H464" i="3"/>
  <c r="AC464" i="3"/>
  <c r="G464" i="3" s="1"/>
  <c r="H465" i="3"/>
  <c r="AC465" i="3"/>
  <c r="H466" i="3"/>
  <c r="AC466" i="3"/>
  <c r="G466" i="3"/>
  <c r="H467" i="3"/>
  <c r="AC467" i="3"/>
  <c r="G467" i="3" s="1"/>
  <c r="H468" i="3"/>
  <c r="AC468" i="3"/>
  <c r="G468" i="3" s="1"/>
  <c r="H469" i="3"/>
  <c r="AC469" i="3"/>
  <c r="H470" i="3"/>
  <c r="AC470" i="3"/>
  <c r="G470" i="3"/>
  <c r="H471" i="3"/>
  <c r="AC471" i="3"/>
  <c r="G471" i="3" s="1"/>
  <c r="H472" i="3"/>
  <c r="AC472" i="3"/>
  <c r="G472" i="3" s="1"/>
  <c r="H473" i="3"/>
  <c r="AC473" i="3"/>
  <c r="H474" i="3"/>
  <c r="AC474" i="3"/>
  <c r="G474" i="3"/>
  <c r="H475" i="3"/>
  <c r="AC475" i="3"/>
  <c r="G475" i="3" s="1"/>
  <c r="H476" i="3"/>
  <c r="AC476" i="3"/>
  <c r="G476" i="3" s="1"/>
  <c r="H477" i="3"/>
  <c r="AC477" i="3"/>
  <c r="H478" i="3"/>
  <c r="AC478" i="3"/>
  <c r="G478" i="3"/>
  <c r="H479" i="3"/>
  <c r="AC479" i="3"/>
  <c r="G479" i="3" s="1"/>
  <c r="H480" i="3"/>
  <c r="AC480" i="3"/>
  <c r="G480" i="3" s="1"/>
  <c r="H481" i="3"/>
  <c r="AC481" i="3"/>
  <c r="H482" i="3"/>
  <c r="AC482" i="3"/>
  <c r="G482" i="3"/>
  <c r="H483" i="3"/>
  <c r="AC483" i="3"/>
  <c r="G483" i="3" s="1"/>
  <c r="H484" i="3"/>
  <c r="AC484" i="3"/>
  <c r="G484" i="3" s="1"/>
  <c r="H485" i="3"/>
  <c r="AC485" i="3"/>
  <c r="H486" i="3"/>
  <c r="AC486" i="3"/>
  <c r="G486" i="3"/>
  <c r="H487" i="3"/>
  <c r="AC487" i="3"/>
  <c r="G487" i="3" s="1"/>
  <c r="H488" i="3"/>
  <c r="AC488" i="3"/>
  <c r="G488" i="3" s="1"/>
  <c r="H489" i="3"/>
  <c r="AC489" i="3"/>
  <c r="H490" i="3"/>
  <c r="AC490" i="3"/>
  <c r="G490" i="3"/>
  <c r="H491" i="3"/>
  <c r="AC491" i="3"/>
  <c r="G491" i="3" s="1"/>
  <c r="H492" i="3"/>
  <c r="AC492" i="3"/>
  <c r="G492" i="3" s="1"/>
  <c r="H493" i="3"/>
  <c r="AC493" i="3"/>
  <c r="H494" i="3"/>
  <c r="AC494" i="3"/>
  <c r="G494" i="3"/>
  <c r="H495" i="3"/>
  <c r="AC495" i="3"/>
  <c r="G495" i="3" s="1"/>
  <c r="H496" i="3"/>
  <c r="AC496" i="3"/>
  <c r="G496" i="3" s="1"/>
  <c r="H497" i="3"/>
  <c r="AC497" i="3"/>
  <c r="H498" i="3"/>
  <c r="AC498" i="3"/>
  <c r="G498" i="3"/>
  <c r="H499" i="3"/>
  <c r="AC499" i="3"/>
  <c r="G499" i="3" s="1"/>
  <c r="H500" i="3"/>
  <c r="AC500" i="3"/>
  <c r="H501" i="3"/>
  <c r="AC501" i="3"/>
  <c r="G501" i="3"/>
  <c r="H502" i="3"/>
  <c r="AC502" i="3"/>
  <c r="G502" i="3" s="1"/>
  <c r="H503" i="3"/>
  <c r="AC503" i="3"/>
  <c r="G503" i="3" s="1"/>
  <c r="H504" i="3"/>
  <c r="AC504" i="3"/>
  <c r="H505" i="3"/>
  <c r="AC505" i="3"/>
  <c r="G505" i="3"/>
  <c r="H506" i="3"/>
  <c r="AC506" i="3"/>
  <c r="G506" i="3" s="1"/>
  <c r="H507" i="3"/>
  <c r="AC507" i="3"/>
  <c r="G507" i="3" s="1"/>
  <c r="H508" i="3"/>
  <c r="AC508" i="3"/>
  <c r="H509" i="3"/>
  <c r="AC509" i="3"/>
  <c r="G509" i="3"/>
  <c r="H510" i="3"/>
  <c r="AC510" i="3"/>
  <c r="G510" i="3" s="1"/>
  <c r="H511" i="3"/>
  <c r="AC511" i="3"/>
  <c r="H512" i="3"/>
  <c r="AC512" i="3"/>
  <c r="G512" i="3"/>
  <c r="H513" i="3"/>
  <c r="AC513" i="3"/>
  <c r="G513" i="3" s="1"/>
  <c r="H514" i="3"/>
  <c r="AC514" i="3"/>
  <c r="H515" i="3"/>
  <c r="AC515" i="3"/>
  <c r="G515" i="3"/>
  <c r="H516" i="3"/>
  <c r="AC516" i="3"/>
  <c r="G516" i="3" s="1"/>
  <c r="H517" i="3"/>
  <c r="AC517" i="3"/>
  <c r="G517" i="3" s="1"/>
  <c r="H518" i="3"/>
  <c r="AC518" i="3"/>
  <c r="G518" i="3" s="1"/>
  <c r="H519" i="3"/>
  <c r="AC519" i="3"/>
  <c r="H520" i="3"/>
  <c r="AC520" i="3"/>
  <c r="G520" i="3"/>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s="1"/>
  <c r="H531" i="3"/>
  <c r="AC531" i="3"/>
  <c r="H532" i="3"/>
  <c r="AC532" i="3"/>
  <c r="G532" i="3"/>
  <c r="H533" i="3"/>
  <c r="AC533" i="3"/>
  <c r="G533" i="3" s="1"/>
  <c r="H534" i="3"/>
  <c r="AC534" i="3"/>
  <c r="G534" i="3" s="1"/>
  <c r="H535" i="3"/>
  <c r="AC535" i="3"/>
  <c r="H536" i="3"/>
  <c r="AC536" i="3"/>
  <c r="G536" i="3"/>
  <c r="H537" i="3"/>
  <c r="AC537" i="3"/>
  <c r="G537" i="3" s="1"/>
  <c r="H538" i="3"/>
  <c r="AC538" i="3"/>
  <c r="G538" i="3" s="1"/>
  <c r="H539" i="3"/>
  <c r="AC539" i="3"/>
  <c r="H540" i="3"/>
  <c r="AC540" i="3"/>
  <c r="G540" i="3"/>
  <c r="H541" i="3"/>
  <c r="AC541" i="3"/>
  <c r="G541" i="3" s="1"/>
  <c r="H542" i="3"/>
  <c r="AC542" i="3"/>
  <c r="G542" i="3" s="1"/>
  <c r="H543" i="3"/>
  <c r="AC543" i="3"/>
  <c r="H544" i="3"/>
  <c r="AC544" i="3"/>
  <c r="G544" i="3"/>
  <c r="H545" i="3"/>
  <c r="AC545" i="3"/>
  <c r="G545" i="3" s="1"/>
  <c r="H546" i="3"/>
  <c r="AC546" i="3"/>
  <c r="G546" i="3" s="1"/>
  <c r="H547" i="3"/>
  <c r="AC547" i="3"/>
  <c r="H548" i="3"/>
  <c r="AC548" i="3"/>
  <c r="G548" i="3"/>
  <c r="H549" i="3"/>
  <c r="AC549" i="3"/>
  <c r="G549" i="3" s="1"/>
  <c r="H550" i="3"/>
  <c r="AC550" i="3"/>
  <c r="G550" i="3" s="1"/>
  <c r="H551" i="3"/>
  <c r="AC551" i="3"/>
  <c r="H552" i="3"/>
  <c r="AC552" i="3"/>
  <c r="G552" i="3"/>
  <c r="H553" i="3"/>
  <c r="AC553" i="3"/>
  <c r="G553" i="3" s="1"/>
  <c r="H554" i="3"/>
  <c r="AC554" i="3"/>
  <c r="G554" i="3" s="1"/>
  <c r="H555" i="3"/>
  <c r="AC555" i="3"/>
  <c r="H556" i="3"/>
  <c r="AC556" i="3"/>
  <c r="G556" i="3"/>
  <c r="H557" i="3"/>
  <c r="AC557" i="3"/>
  <c r="G557" i="3" s="1"/>
  <c r="H558" i="3"/>
  <c r="AC558" i="3"/>
  <c r="G558" i="3" s="1"/>
  <c r="H559" i="3"/>
  <c r="AC559" i="3"/>
  <c r="H560" i="3"/>
  <c r="AC560" i="3"/>
  <c r="G560" i="3"/>
  <c r="H561" i="3"/>
  <c r="AC561" i="3"/>
  <c r="H562" i="3"/>
  <c r="AC562" i="3"/>
  <c r="G562" i="3"/>
  <c r="H563" i="3"/>
  <c r="AC563" i="3"/>
  <c r="G563" i="3" s="1"/>
  <c r="H564" i="3"/>
  <c r="AC564" i="3"/>
  <c r="G564" i="3"/>
  <c r="H565" i="3"/>
  <c r="AC565" i="3"/>
  <c r="H566" i="3"/>
  <c r="AC566" i="3"/>
  <c r="G566" i="3"/>
  <c r="H567" i="3"/>
  <c r="AC567" i="3"/>
  <c r="G567" i="3" s="1"/>
  <c r="H568" i="3"/>
  <c r="AC568" i="3"/>
  <c r="G568" i="3" s="1"/>
  <c r="H569" i="3"/>
  <c r="AC569" i="3"/>
  <c r="H570" i="3"/>
  <c r="AC570" i="3"/>
  <c r="G570" i="3"/>
  <c r="H571" i="3"/>
  <c r="AC571" i="3"/>
  <c r="H572" i="3"/>
  <c r="AC572" i="3"/>
  <c r="G572" i="3"/>
  <c r="D73" i="39"/>
  <c r="E73" i="39"/>
  <c r="F73" i="39" s="1"/>
  <c r="G73" i="39" s="1"/>
  <c r="H73" i="39" s="1"/>
  <c r="I73" i="39" s="1"/>
  <c r="J73" i="39" s="1"/>
  <c r="K73" i="39" s="1"/>
  <c r="L73" i="39" s="1"/>
  <c r="M73" i="39" s="1"/>
  <c r="N73" i="39" s="1"/>
  <c r="I40" i="39"/>
  <c r="G40" i="39"/>
  <c r="E40" i="3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A18" i="3" s="1"/>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A36" i="3" s="1"/>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A44" i="3" s="1"/>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A60" i="3" s="1"/>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A64" i="3" s="1"/>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A72" i="3" s="1"/>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A80" i="3" s="1"/>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A84" i="3" s="1"/>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A88" i="3" s="1"/>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A96" i="3" s="1"/>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A100" i="3" s="1"/>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A104" i="3" s="1"/>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L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L145" i="3" s="1"/>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L147" i="3" s="1"/>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L153" i="3" s="1"/>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L163" i="3" s="1"/>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L169" i="3" s="1"/>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L177" i="3" s="1"/>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L179" i="3" s="1"/>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L287" i="3" s="1"/>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L289" i="3" s="1"/>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L291" i="3" s="1"/>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L293" i="3" s="1"/>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L295" i="3" s="1"/>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L297" i="3" s="1"/>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L303" i="3" s="1"/>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L305" i="3" s="1"/>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L307" i="3" s="1"/>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L309" i="3" s="1"/>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L311" i="3" s="1"/>
  <c r="BO311" i="3"/>
  <c r="BP311" i="3"/>
  <c r="BQ311" i="3"/>
  <c r="BR311" i="3"/>
  <c r="BS311" i="3"/>
  <c r="BT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L313" i="3" s="1"/>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L315" i="3" s="1"/>
  <c r="BO315" i="3"/>
  <c r="BP315" i="3"/>
  <c r="BQ315" i="3"/>
  <c r="BR315" i="3"/>
  <c r="BS315" i="3"/>
  <c r="BT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L317" i="3" s="1"/>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L319" i="3" s="1"/>
  <c r="BO319" i="3"/>
  <c r="BP319" i="3"/>
  <c r="BQ319" i="3"/>
  <c r="BR319" i="3"/>
  <c r="BS319" i="3"/>
  <c r="BT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L321" i="3" s="1"/>
  <c r="BO321" i="3"/>
  <c r="BP321" i="3"/>
  <c r="BQ321" i="3"/>
  <c r="BR321" i="3"/>
  <c r="BS321" i="3"/>
  <c r="BT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L323" i="3" s="1"/>
  <c r="BO323" i="3"/>
  <c r="BP323" i="3"/>
  <c r="BQ323" i="3"/>
  <c r="BR323" i="3"/>
  <c r="BS323" i="3"/>
  <c r="BT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L325" i="3" s="1"/>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L329" i="3" s="1"/>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L331" i="3" s="1"/>
  <c r="BO331" i="3"/>
  <c r="BP331" i="3"/>
  <c r="BQ331" i="3"/>
  <c r="BR331" i="3"/>
  <c r="BS331" i="3"/>
  <c r="BT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L333" i="3" s="1"/>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L337" i="3" s="1"/>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L339" i="3" s="1"/>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L341" i="3" s="1"/>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L343" i="3" s="1"/>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L345" i="3" s="1"/>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L347" i="3" s="1"/>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L349" i="3" s="1"/>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L351" i="3" s="1"/>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L353" i="3" s="1"/>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L355" i="3" s="1"/>
  <c r="BO355" i="3"/>
  <c r="BP355" i="3"/>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L357" i="3" s="1"/>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L359" i="3" s="1"/>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L361" i="3" s="1"/>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L363" i="3" s="1"/>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L365" i="3" s="1"/>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L371" i="3" s="1"/>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L373" i="3" s="1"/>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L379" i="3" s="1"/>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L381" i="3" s="1"/>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L383" i="3" s="1"/>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L385" i="3" s="1"/>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L387" i="3" s="1"/>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L389" i="3" s="1"/>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L391" i="3" s="1"/>
  <c r="BO391" i="3"/>
  <c r="BP391" i="3"/>
  <c r="BQ391" i="3"/>
  <c r="BR391" i="3"/>
  <c r="BS391" i="3"/>
  <c r="BT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L395" i="3" s="1"/>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L397" i="3" s="1"/>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L401" i="3" s="1"/>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L403" i="3" s="1"/>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L405" i="3" s="1"/>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L407" i="3" s="1"/>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L409" i="3" s="1"/>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L411" i="3" s="1"/>
  <c r="BO411" i="3"/>
  <c r="BP411" i="3"/>
  <c r="BQ411" i="3"/>
  <c r="BR411" i="3"/>
  <c r="BS411" i="3"/>
  <c r="BT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L413" i="3" s="1"/>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L415" i="3" s="1"/>
  <c r="BO415" i="3"/>
  <c r="BP415" i="3"/>
  <c r="BQ415" i="3"/>
  <c r="BR415" i="3"/>
  <c r="BS415" i="3"/>
  <c r="BT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L417" i="3" s="1"/>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L421" i="3" s="1"/>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L425" i="3" s="1"/>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L429" i="3" s="1"/>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L433" i="3" s="1"/>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L437" i="3" s="1"/>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L443" i="3" s="1"/>
  <c r="BO443" i="3"/>
  <c r="BP443" i="3"/>
  <c r="BQ443" i="3"/>
  <c r="BR443" i="3"/>
  <c r="BS443" i="3"/>
  <c r="BT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I13" i="39"/>
  <c r="G13" i="39"/>
  <c r="E13" i="39"/>
  <c r="I5" i="3"/>
  <c r="F19" i="6" s="1"/>
  <c r="AD5" i="3"/>
  <c r="AH5" i="3"/>
  <c r="AL5" i="3"/>
  <c r="J5" i="3"/>
  <c r="K5" i="3"/>
  <c r="L5" i="3"/>
  <c r="M5" i="3"/>
  <c r="N5" i="3"/>
  <c r="O5" i="3"/>
  <c r="P5" i="3"/>
  <c r="Q5" i="3"/>
  <c r="R5" i="3"/>
  <c r="S5" i="3"/>
  <c r="T5" i="3"/>
  <c r="U5" i="3"/>
  <c r="V5" i="3"/>
  <c r="W5" i="3"/>
  <c r="X5" i="3"/>
  <c r="Y5" i="3"/>
  <c r="Z5" i="3"/>
  <c r="AA5" i="3"/>
  <c r="AB5" i="3"/>
  <c r="AE5" i="3"/>
  <c r="AF5" i="3"/>
  <c r="AG5" i="3"/>
  <c r="AI5" i="3"/>
  <c r="AJ5" i="3"/>
  <c r="AK5" i="3"/>
  <c r="AM5" i="3"/>
  <c r="AN5" i="3"/>
  <c r="AO5" i="3"/>
  <c r="AP5" i="3"/>
  <c r="AQ5" i="3"/>
  <c r="AR5" i="3"/>
  <c r="AS5" i="3"/>
  <c r="D3" i="4"/>
  <c r="D19" i="4"/>
  <c r="F6" i="1" s="1"/>
  <c r="C12" i="39" s="1"/>
  <c r="I9" i="39"/>
  <c r="G9" i="39"/>
  <c r="E9" i="39"/>
  <c r="I7" i="39"/>
  <c r="G7" i="39"/>
  <c r="E7" i="39"/>
  <c r="AH5" i="59"/>
  <c r="AG5" i="59"/>
  <c r="AE5" i="59"/>
  <c r="AF5" i="59" s="1"/>
  <c r="AD5" i="59"/>
  <c r="Q6" i="59"/>
  <c r="Q5" i="59"/>
  <c r="AB5" i="59" s="1"/>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P22" i="59"/>
  <c r="AA5" i="59"/>
  <c r="O6" i="59"/>
  <c r="O5" i="59"/>
  <c r="Y5" i="59" s="1"/>
  <c r="Z5" i="59" s="1"/>
  <c r="O7" i="59"/>
  <c r="O8" i="59"/>
  <c r="O9" i="59"/>
  <c r="O10" i="59"/>
  <c r="O11" i="59"/>
  <c r="O12" i="59"/>
  <c r="C13" i="59" s="1"/>
  <c r="O13" i="59"/>
  <c r="O14" i="59"/>
  <c r="O15" i="59"/>
  <c r="O16" i="59"/>
  <c r="C17" i="59" s="1"/>
  <c r="O17" i="59"/>
  <c r="O18" i="59"/>
  <c r="O19" i="59"/>
  <c r="O20" i="59"/>
  <c r="C21" i="59" s="1"/>
  <c r="O21" i="59"/>
  <c r="O22" i="59"/>
  <c r="N6" i="59"/>
  <c r="N5" i="59"/>
  <c r="X5" i="59" s="1"/>
  <c r="N7" i="59"/>
  <c r="N8" i="59"/>
  <c r="N9" i="59"/>
  <c r="N10" i="59"/>
  <c r="N11" i="59"/>
  <c r="N12" i="59"/>
  <c r="N13" i="59"/>
  <c r="N14" i="59"/>
  <c r="N15" i="59"/>
  <c r="N16" i="59"/>
  <c r="N17" i="59"/>
  <c r="N18" i="59"/>
  <c r="N19" i="59"/>
  <c r="N20" i="59"/>
  <c r="N21" i="59"/>
  <c r="N22" i="59"/>
  <c r="F7" i="59"/>
  <c r="F6" i="59" s="1"/>
  <c r="F5" i="59" s="1"/>
  <c r="E7" i="59"/>
  <c r="E6" i="59"/>
  <c r="E5" i="59" s="1"/>
  <c r="C7" i="59"/>
  <c r="C6" i="59" s="1"/>
  <c r="B7" i="59"/>
  <c r="B6" i="59" s="1"/>
  <c r="B5" i="59" s="1"/>
  <c r="B2" i="1"/>
  <c r="G19" i="46" s="1"/>
  <c r="D7" i="59"/>
  <c r="D8" i="59"/>
  <c r="B11" i="59"/>
  <c r="B10" i="59" s="1"/>
  <c r="B9" i="59" s="1"/>
  <c r="C11" i="59"/>
  <c r="C10" i="59"/>
  <c r="C9" i="59" s="1"/>
  <c r="D9" i="59" s="1"/>
  <c r="E11" i="59"/>
  <c r="E10" i="59"/>
  <c r="E9" i="59" s="1"/>
  <c r="F11" i="59"/>
  <c r="F10" i="59" s="1"/>
  <c r="F9" i="59" s="1"/>
  <c r="D11" i="59"/>
  <c r="D12" i="59"/>
  <c r="B13" i="59"/>
  <c r="B14" i="59" s="1"/>
  <c r="B15" i="59" s="1"/>
  <c r="E13" i="59"/>
  <c r="F13" i="59"/>
  <c r="F14" i="59" s="1"/>
  <c r="F15" i="59" s="1"/>
  <c r="E14" i="59"/>
  <c r="E15" i="59" s="1"/>
  <c r="D16" i="59"/>
  <c r="B17" i="59"/>
  <c r="B18" i="59" s="1"/>
  <c r="B19" i="59" s="1"/>
  <c r="E17" i="59"/>
  <c r="F17" i="59"/>
  <c r="F18" i="59" s="1"/>
  <c r="F19" i="59" s="1"/>
  <c r="E18" i="59"/>
  <c r="E19" i="59" s="1"/>
  <c r="D20" i="59"/>
  <c r="B21" i="59"/>
  <c r="B22" i="59" s="1"/>
  <c r="B23" i="59" s="1"/>
  <c r="E21" i="59"/>
  <c r="F21" i="59"/>
  <c r="F22" i="59" s="1"/>
  <c r="F23" i="59" s="1"/>
  <c r="E22" i="59"/>
  <c r="E23" i="59" s="1"/>
  <c r="M19" i="46"/>
  <c r="G2" i="46"/>
  <c r="C6" i="46" s="1"/>
  <c r="G17" i="46"/>
  <c r="I17" i="46"/>
  <c r="C17" i="46"/>
  <c r="G20" i="46"/>
  <c r="J20" i="46"/>
  <c r="I20" i="46"/>
  <c r="C24" i="46"/>
  <c r="F39" i="46"/>
  <c r="F38" i="46"/>
  <c r="F37" i="46"/>
  <c r="D5" i="46"/>
  <c r="F36" i="46"/>
  <c r="F35" i="46"/>
  <c r="F34" i="46"/>
  <c r="A6" i="1"/>
  <c r="A7" i="1"/>
  <c r="F7" i="1"/>
  <c r="J50" i="15"/>
  <c r="J51" i="15" s="1"/>
  <c r="M47" i="15"/>
  <c r="M48" i="44"/>
  <c r="J51" i="44"/>
  <c r="J52" i="44" s="1"/>
  <c r="C1" i="65"/>
  <c r="H1" i="65" s="1"/>
  <c r="C18" i="46"/>
  <c r="F33" i="46"/>
  <c r="C10" i="46"/>
  <c r="C11" i="46" s="1"/>
  <c r="E15" i="46"/>
  <c r="E17"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12" i="46" s="1"/>
  <c r="C99" i="46"/>
  <c r="C100" i="46" s="1"/>
  <c r="C108" i="46"/>
  <c r="D99" i="46"/>
  <c r="D100" i="46"/>
  <c r="D108" i="46"/>
  <c r="H113" i="46"/>
  <c r="AH6" i="59"/>
  <c r="AG6" i="59"/>
  <c r="AE6" i="59"/>
  <c r="AF6" i="59"/>
  <c r="AD6" i="59"/>
  <c r="I3" i="59"/>
  <c r="L3" i="59"/>
  <c r="K3" i="59"/>
  <c r="AG3" i="59" s="1"/>
  <c r="J3" i="59"/>
  <c r="AE7" i="59"/>
  <c r="AF7" i="59" s="1"/>
  <c r="AG7" i="59"/>
  <c r="AH7" i="59"/>
  <c r="AD7" i="59"/>
  <c r="AB6" i="59"/>
  <c r="AA6" i="59"/>
  <c r="Y6" i="59"/>
  <c r="Z6" i="59"/>
  <c r="X6" i="59"/>
  <c r="L4" i="9"/>
  <c r="A30" i="51" s="1"/>
  <c r="M4" i="9"/>
  <c r="A30" i="64"/>
  <c r="K59" i="15"/>
  <c r="P62" i="15" s="1"/>
  <c r="Q74" i="44"/>
  <c r="Q61" i="44"/>
  <c r="Q60" i="44"/>
  <c r="Q53" i="44"/>
  <c r="A16" i="55"/>
  <c r="A15" i="55"/>
  <c r="C43" i="9"/>
  <c r="K47" i="9"/>
  <c r="A14" i="55" s="1"/>
  <c r="L24" i="4"/>
  <c r="L25" i="4"/>
  <c r="L26" i="4"/>
  <c r="A10" i="55"/>
  <c r="A9" i="55"/>
  <c r="A8" i="55"/>
  <c r="A6" i="54"/>
  <c r="A8" i="54"/>
  <c r="A7" i="54"/>
  <c r="C57" i="10"/>
  <c r="A28" i="51"/>
  <c r="A27" i="51"/>
  <c r="AB7" i="59"/>
  <c r="Y7" i="59"/>
  <c r="Z7" i="59"/>
  <c r="X7" i="59"/>
  <c r="AA7" i="59"/>
  <c r="K75" i="9"/>
  <c r="K6" i="4"/>
  <c r="O76" i="9" s="1"/>
  <c r="L76" i="9"/>
  <c r="B22" i="31"/>
  <c r="E19" i="66"/>
  <c r="F19" i="66"/>
  <c r="E23" i="66"/>
  <c r="F23" i="66"/>
  <c r="B3" i="66"/>
  <c r="V11" i="59"/>
  <c r="U11" i="59"/>
  <c r="T11" i="59"/>
  <c r="S11" i="59"/>
  <c r="V7" i="59"/>
  <c r="U7" i="59"/>
  <c r="S7" i="59"/>
  <c r="AD3" i="59"/>
  <c r="AE3" i="59"/>
  <c r="AF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AB21" i="59"/>
  <c r="AA21" i="59"/>
  <c r="Y21" i="59"/>
  <c r="X21" i="59"/>
  <c r="S2" i="31"/>
  <c r="M2" i="31"/>
  <c r="N2" i="31"/>
  <c r="O2" i="31"/>
  <c r="P2" i="31"/>
  <c r="Q2" i="31"/>
  <c r="R2" i="31"/>
  <c r="C3" i="65"/>
  <c r="N1" i="65"/>
  <c r="T7" i="59"/>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A21" i="64"/>
  <c r="B75" i="63" s="1"/>
  <c r="B73" i="63"/>
  <c r="A28" i="64"/>
  <c r="A27" i="64"/>
  <c r="A15" i="64"/>
  <c r="A14" i="64"/>
  <c r="A11" i="64"/>
  <c r="A3" i="64"/>
  <c r="A45" i="9"/>
  <c r="A44" i="9"/>
  <c r="K39" i="9" s="1"/>
  <c r="C56" i="10"/>
  <c r="C55" i="10"/>
  <c r="C54" i="10"/>
  <c r="B49" i="63"/>
  <c r="B44" i="63"/>
  <c r="B40" i="63"/>
  <c r="B30" i="63"/>
  <c r="B27" i="63"/>
  <c r="B25" i="63"/>
  <c r="A11" i="51"/>
  <c r="A26" i="64"/>
  <c r="A26" i="51"/>
  <c r="B19" i="63" s="1"/>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s="1"/>
  <c r="B41" i="63"/>
  <c r="G5" i="54"/>
  <c r="B34" i="63" s="1"/>
  <c r="E5" i="54"/>
  <c r="B32" i="63" s="1"/>
  <c r="R2" i="54"/>
  <c r="B24" i="63" s="1"/>
  <c r="B49" i="50"/>
  <c r="B5" i="63"/>
  <c r="B40" i="50"/>
  <c r="B3" i="63"/>
  <c r="N4" i="63"/>
  <c r="B21" i="63"/>
  <c r="B67" i="63"/>
  <c r="I19" i="46"/>
  <c r="D72" i="59"/>
  <c r="F71" i="59"/>
  <c r="F70" i="59" s="1"/>
  <c r="E71" i="59"/>
  <c r="E70" i="59"/>
  <c r="E69" i="59" s="1"/>
  <c r="C71" i="59"/>
  <c r="D71" i="59" s="1"/>
  <c r="B71" i="59"/>
  <c r="B70" i="59" s="1"/>
  <c r="F69" i="59"/>
  <c r="B69" i="59"/>
  <c r="D68" i="59"/>
  <c r="F67" i="59"/>
  <c r="F66" i="59" s="1"/>
  <c r="E67" i="59"/>
  <c r="E66" i="59"/>
  <c r="E65" i="59" s="1"/>
  <c r="C67" i="59"/>
  <c r="D67" i="59" s="1"/>
  <c r="B67" i="59"/>
  <c r="B66" i="59" s="1"/>
  <c r="F65" i="59"/>
  <c r="B65"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O51" i="59" s="1"/>
  <c r="B51" i="59"/>
  <c r="N51" i="59"/>
  <c r="F50" i="59"/>
  <c r="F49" i="59"/>
  <c r="B50" i="59"/>
  <c r="D48" i="59"/>
  <c r="Q47" i="59"/>
  <c r="P47" i="59"/>
  <c r="O47" i="59"/>
  <c r="N47" i="59"/>
  <c r="Q46" i="59"/>
  <c r="P46" i="59"/>
  <c r="O46" i="59"/>
  <c r="N46" i="59"/>
  <c r="Q45" i="59"/>
  <c r="P45" i="59"/>
  <c r="O45" i="59"/>
  <c r="N45" i="59"/>
  <c r="Q44" i="59"/>
  <c r="F45" i="59"/>
  <c r="P44" i="59"/>
  <c r="E45" i="59"/>
  <c r="E46" i="59" s="1"/>
  <c r="E47" i="59" s="1"/>
  <c r="U47" i="59" s="1"/>
  <c r="O44" i="59"/>
  <c r="C45" i="59" s="1"/>
  <c r="D45" i="59" s="1"/>
  <c r="N44" i="59"/>
  <c r="B45" i="59" s="1"/>
  <c r="B46" i="59"/>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D41" i="59" s="1"/>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D37" i="59" s="1"/>
  <c r="N36" i="59"/>
  <c r="B37" i="59" s="1"/>
  <c r="B38" i="59"/>
  <c r="B39" i="59" s="1"/>
  <c r="S39" i="59" s="1"/>
  <c r="D36" i="59"/>
  <c r="Q35" i="59"/>
  <c r="P35" i="59"/>
  <c r="O35" i="59"/>
  <c r="N35" i="59"/>
  <c r="Q34" i="59"/>
  <c r="P34" i="59"/>
  <c r="O34" i="59"/>
  <c r="N34" i="59"/>
  <c r="Q33" i="59"/>
  <c r="P33" i="59"/>
  <c r="O33" i="59"/>
  <c r="N33" i="59"/>
  <c r="Q32" i="59"/>
  <c r="F33" i="59" s="1"/>
  <c r="F34" i="59"/>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P28" i="59"/>
  <c r="E29" i="59" s="1"/>
  <c r="E30" i="59" s="1"/>
  <c r="E31" i="59" s="1"/>
  <c r="U31" i="59" s="1"/>
  <c r="O28" i="59"/>
  <c r="C29" i="59"/>
  <c r="C30" i="59" s="1"/>
  <c r="D30" i="59" s="1"/>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c r="C26" i="59" s="1"/>
  <c r="N24" i="59"/>
  <c r="B25" i="59"/>
  <c r="B26" i="59" s="1"/>
  <c r="B27" i="59" s="1"/>
  <c r="S27" i="59" s="1"/>
  <c r="D24" i="59"/>
  <c r="Q23" i="59"/>
  <c r="P23" i="59"/>
  <c r="O23" i="59"/>
  <c r="N23" i="59"/>
  <c r="AB22" i="59"/>
  <c r="Y22" i="59"/>
  <c r="Z22" i="59" s="1"/>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s="1"/>
  <c r="S35" i="59" s="1"/>
  <c r="E34" i="59"/>
  <c r="E35" i="59"/>
  <c r="U35" i="59" s="1"/>
  <c r="S51" i="59"/>
  <c r="Z21" i="59"/>
  <c r="AA22" i="59"/>
  <c r="V15" i="59"/>
  <c r="V19" i="59"/>
  <c r="V23" i="59"/>
  <c r="F26" i="59"/>
  <c r="F27" i="59" s="1"/>
  <c r="V27" i="59" s="1"/>
  <c r="F30" i="59"/>
  <c r="F31" i="59"/>
  <c r="V31" i="59" s="1"/>
  <c r="F38" i="59"/>
  <c r="F39" i="59" s="1"/>
  <c r="V39" i="59" s="1"/>
  <c r="F42" i="59"/>
  <c r="F43" i="59"/>
  <c r="V43" i="59" s="1"/>
  <c r="F46" i="59"/>
  <c r="F47" i="59" s="1"/>
  <c r="V47" i="59" s="1"/>
  <c r="D25" i="59"/>
  <c r="C34" i="59"/>
  <c r="C35" i="59" s="1"/>
  <c r="D33" i="59"/>
  <c r="C38" i="59"/>
  <c r="C39" i="59" s="1"/>
  <c r="C42" i="59"/>
  <c r="D42" i="59" s="1"/>
  <c r="C46" i="59"/>
  <c r="C47" i="59" s="1"/>
  <c r="E49" i="59"/>
  <c r="P48" i="59" s="1"/>
  <c r="N50" i="59"/>
  <c r="B49" i="59"/>
  <c r="N48" i="59" s="1"/>
  <c r="Q50" i="59"/>
  <c r="T51" i="59"/>
  <c r="D51" i="59"/>
  <c r="P51" i="59"/>
  <c r="U51" i="59"/>
  <c r="Q51" i="59"/>
  <c r="C54" i="59"/>
  <c r="E54" i="59"/>
  <c r="E53" i="59" s="1"/>
  <c r="D55" i="59"/>
  <c r="C58" i="59"/>
  <c r="E58" i="59"/>
  <c r="E57" i="59" s="1"/>
  <c r="D59" i="59"/>
  <c r="C62" i="59"/>
  <c r="E62" i="59"/>
  <c r="E61" i="59" s="1"/>
  <c r="D63" i="59"/>
  <c r="C70" i="59"/>
  <c r="D70" i="59" s="1"/>
  <c r="U16" i="4"/>
  <c r="S16" i="4"/>
  <c r="Q16" i="4"/>
  <c r="O16" i="4"/>
  <c r="N16" i="4" s="1"/>
  <c r="M16" i="4"/>
  <c r="K16" i="4"/>
  <c r="P49" i="59"/>
  <c r="C69" i="59"/>
  <c r="D69" i="59" s="1"/>
  <c r="D62" i="59"/>
  <c r="C61" i="59"/>
  <c r="D61" i="59"/>
  <c r="D54" i="59"/>
  <c r="C53" i="59"/>
  <c r="D53" i="59" s="1"/>
  <c r="D58" i="59"/>
  <c r="C57" i="59"/>
  <c r="D57" i="59"/>
  <c r="N49" i="59"/>
  <c r="D46" i="59"/>
  <c r="C43" i="59"/>
  <c r="T43" i="59" s="1"/>
  <c r="D38" i="59"/>
  <c r="D34" i="59"/>
  <c r="L16" i="4"/>
  <c r="D43"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c r="C22" i="20"/>
  <c r="B65" i="46" s="1"/>
  <c r="S18" i="36"/>
  <c r="S21" i="37"/>
  <c r="S27" i="40"/>
  <c r="C27" i="40"/>
  <c r="C31" i="39"/>
  <c r="B74" i="46"/>
  <c r="E66" i="36"/>
  <c r="H18" i="35"/>
  <c r="J18" i="35"/>
  <c r="H21" i="37"/>
  <c r="J21" i="37"/>
  <c r="E84" i="34"/>
  <c r="F84" i="34"/>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H81" i="46"/>
  <c r="G99" i="46"/>
  <c r="G108" i="46"/>
  <c r="H99" i="46"/>
  <c r="H108" i="46"/>
  <c r="I99" i="46"/>
  <c r="I108" i="46"/>
  <c r="J99" i="46"/>
  <c r="J108" i="46"/>
  <c r="K99" i="46"/>
  <c r="K108" i="46"/>
  <c r="L99" i="46"/>
  <c r="M99" i="46"/>
  <c r="M108" i="46" s="1"/>
  <c r="N99" i="46"/>
  <c r="N108" i="46" s="1"/>
  <c r="L108" i="46"/>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F13" i="1"/>
  <c r="AP13" i="1" s="1"/>
  <c r="D11" i="1"/>
  <c r="D12" i="1"/>
  <c r="D13" i="1"/>
  <c r="D6" i="1"/>
  <c r="D7" i="1"/>
  <c r="D8" i="1"/>
  <c r="D9" i="1"/>
  <c r="F10" i="1"/>
  <c r="AP10" i="1" s="1"/>
  <c r="D10" i="1"/>
  <c r="C42" i="1"/>
  <c r="A12" i="1"/>
  <c r="R12" i="1"/>
  <c r="A13" i="1"/>
  <c r="B13" i="1"/>
  <c r="E13" i="1" s="1"/>
  <c r="A8" i="1"/>
  <c r="A9" i="1"/>
  <c r="A10" i="1"/>
  <c r="R10" i="1" s="1"/>
  <c r="A11" i="1"/>
  <c r="T4" i="1"/>
  <c r="K12" i="1"/>
  <c r="M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A2" i="9"/>
  <c r="T16" i="4"/>
  <c r="D14" i="4"/>
  <c r="G36" i="4"/>
  <c r="K2" i="54"/>
  <c r="B23" i="63"/>
  <c r="A3" i="51"/>
  <c r="R41" i="4"/>
  <c r="Q41" i="4"/>
  <c r="P41" i="4"/>
  <c r="O41" i="4"/>
  <c r="N41" i="4"/>
  <c r="M41" i="4"/>
  <c r="L41" i="4"/>
  <c r="K40" i="4"/>
  <c r="T40" i="4"/>
  <c r="F23" i="4"/>
  <c r="I19" i="4"/>
  <c r="H19" i="4"/>
  <c r="G19" i="4"/>
  <c r="F9" i="1"/>
  <c r="AP9" i="1" s="1"/>
  <c r="F19" i="4"/>
  <c r="F8" i="1"/>
  <c r="G8" i="1" s="1"/>
  <c r="E19" i="4"/>
  <c r="B2" i="52"/>
  <c r="E22" i="52" s="1"/>
  <c r="I2" i="46"/>
  <c r="N12" i="46" s="1"/>
  <c r="A7" i="46"/>
  <c r="F41" i="4"/>
  <c r="J52" i="40"/>
  <c r="H61" i="49"/>
  <c r="H39" i="46"/>
  <c r="H38" i="46"/>
  <c r="H37" i="46"/>
  <c r="H36" i="46"/>
  <c r="H35" i="46"/>
  <c r="H34" i="46"/>
  <c r="E20" i="6"/>
  <c r="E21" i="6"/>
  <c r="K8" i="1"/>
  <c r="M8" i="1" s="1"/>
  <c r="E22" i="6"/>
  <c r="E23" i="6"/>
  <c r="E24" i="6"/>
  <c r="E25" i="6"/>
  <c r="E26" i="6"/>
  <c r="D38" i="4"/>
  <c r="C39" i="4"/>
  <c r="C35" i="4"/>
  <c r="E16" i="12"/>
  <c r="F14" i="12"/>
  <c r="F15" i="12"/>
  <c r="F17" i="12"/>
  <c r="E19" i="12"/>
  <c r="E21" i="12"/>
  <c r="E22" i="12"/>
  <c r="F23" i="12"/>
  <c r="F24" i="12"/>
  <c r="F25" i="12"/>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D124" i="39"/>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N67" i="9"/>
  <c r="K44" i="9"/>
  <c r="K43" i="9"/>
  <c r="B31" i="1"/>
  <c r="E10" i="11" s="1"/>
  <c r="B22" i="1"/>
  <c r="C2" i="65" s="1"/>
  <c r="B23" i="1"/>
  <c r="BC11" i="3"/>
  <c r="BD11" i="3"/>
  <c r="C11" i="11"/>
  <c r="C10" i="11"/>
  <c r="C30" i="40"/>
  <c r="G13"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H46" i="21" s="1"/>
  <c r="B128" i="21"/>
  <c r="B126" i="21"/>
  <c r="H44" i="21" s="1"/>
  <c r="B98" i="21"/>
  <c r="B96" i="21"/>
  <c r="H30" i="21" s="1"/>
  <c r="U30" i="21" s="1"/>
  <c r="B94" i="21"/>
  <c r="B92" i="21"/>
  <c r="H28" i="21" s="1"/>
  <c r="B90" i="21"/>
  <c r="B74" i="21"/>
  <c r="F14" i="21" s="1"/>
  <c r="AA14" i="21" s="1"/>
  <c r="B72" i="21"/>
  <c r="B70" i="21"/>
  <c r="F12" i="21" s="1"/>
  <c r="S12" i="21" s="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c r="Q46" i="21"/>
  <c r="Z46" i="21"/>
  <c r="P47" i="21"/>
  <c r="R47" i="21"/>
  <c r="T47" i="21"/>
  <c r="V47" i="21"/>
  <c r="P48" i="21"/>
  <c r="P49" i="21"/>
  <c r="F8" i="21"/>
  <c r="AA8" i="21" s="1"/>
  <c r="E13" i="11"/>
  <c r="E12" i="11"/>
  <c r="BB12" i="3"/>
  <c r="F9" i="12"/>
  <c r="D9" i="12"/>
  <c r="E9" i="12"/>
  <c r="G9" i="12"/>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T5"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AB8" i="21" s="1"/>
  <c r="H9" i="21"/>
  <c r="AB9" i="21" s="1"/>
  <c r="H10" i="21"/>
  <c r="U10" i="21" s="1"/>
  <c r="J34" i="21"/>
  <c r="W34" i="21" s="1"/>
  <c r="H36" i="21"/>
  <c r="U36" i="21" s="1"/>
  <c r="F35" i="21"/>
  <c r="AA35" i="21" s="1"/>
  <c r="J33" i="21"/>
  <c r="W33" i="21" s="1"/>
  <c r="H33" i="21"/>
  <c r="U33" i="21" s="1"/>
  <c r="F33" i="21"/>
  <c r="J10" i="21"/>
  <c r="AC10" i="21" s="1"/>
  <c r="H26" i="21"/>
  <c r="AB26" i="21" s="1"/>
  <c r="J12" i="2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W36" i="35"/>
  <c r="S31" i="35"/>
  <c r="W31" i="35"/>
  <c r="F36" i="34"/>
  <c r="S36" i="34" s="1"/>
  <c r="W9" i="34"/>
  <c r="W39" i="34"/>
  <c r="H39" i="33"/>
  <c r="AB39" i="33"/>
  <c r="F26" i="33"/>
  <c r="AA26" i="33"/>
  <c r="U33" i="33"/>
  <c r="S40" i="33"/>
  <c r="W33" i="33"/>
  <c r="S8" i="21"/>
  <c r="H39" i="37"/>
  <c r="AB39" i="37"/>
  <c r="AB27" i="35"/>
  <c r="S10" i="40"/>
  <c r="W10" i="40"/>
  <c r="S11" i="40"/>
  <c r="U11" i="40"/>
  <c r="S36" i="40"/>
  <c r="U36" i="40"/>
  <c r="S36" i="39"/>
  <c r="AC40" i="21"/>
  <c r="AA38" i="21"/>
  <c r="C29" i="39"/>
  <c r="U36" i="39"/>
  <c r="S42" i="39"/>
  <c r="H32" i="33"/>
  <c r="AB32" i="33" s="1"/>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J14" i="21"/>
  <c r="W14" i="21" s="1"/>
  <c r="H14" i="21"/>
  <c r="U14" i="21" s="1"/>
  <c r="J28" i="21"/>
  <c r="AC28" i="21" s="1"/>
  <c r="F30" i="21"/>
  <c r="S30" i="21" s="1"/>
  <c r="J44" i="21"/>
  <c r="AC44" i="21" s="1"/>
  <c r="F44" i="21"/>
  <c r="AA44" i="21" s="1"/>
  <c r="J46" i="21"/>
  <c r="W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AC32" i="36" s="1"/>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14" i="21"/>
  <c r="AC14" i="21"/>
  <c r="W31" i="34"/>
  <c r="S46" i="33"/>
  <c r="U36" i="37"/>
  <c r="AC13" i="36"/>
  <c r="AB45" i="33"/>
  <c r="AB31" i="33"/>
  <c r="AA27" i="33"/>
  <c r="AC28" i="3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F23" i="37"/>
  <c r="S23" i="37" s="1"/>
  <c r="F79" i="37"/>
  <c r="G79" i="37" s="1"/>
  <c r="F39" i="33"/>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W23" i="37" s="1"/>
  <c r="F17" i="37"/>
  <c r="AA17" i="37" s="1"/>
  <c r="AB43" i="33"/>
  <c r="AC33" i="36"/>
  <c r="AC12" i="35"/>
  <c r="W23" i="35"/>
  <c r="AC23" i="37"/>
  <c r="S27" i="37"/>
  <c r="U39" i="37"/>
  <c r="AC8" i="37"/>
  <c r="AC36" i="34"/>
  <c r="AB8" i="34"/>
  <c r="AA13" i="33"/>
  <c r="AC33" i="21"/>
  <c r="F43" i="33"/>
  <c r="AA43" i="33" s="1"/>
  <c r="AA23" i="37"/>
  <c r="S10" i="35"/>
  <c r="AB44" i="33"/>
  <c r="H107" i="37"/>
  <c r="I107" i="37" s="1"/>
  <c r="J107" i="37"/>
  <c r="K107" i="37" s="1"/>
  <c r="L107" i="37" s="1"/>
  <c r="M107" i="37" s="1"/>
  <c r="H19" i="34"/>
  <c r="AB19" i="34" s="1"/>
  <c r="J10" i="37"/>
  <c r="W10" i="37" s="1"/>
  <c r="F36" i="35"/>
  <c r="J9" i="37"/>
  <c r="W9" i="37" s="1"/>
  <c r="H9" i="37"/>
  <c r="U9" i="37" s="1"/>
  <c r="F9" i="37"/>
  <c r="S9" i="37" s="1"/>
  <c r="F11" i="37"/>
  <c r="S11" i="37" s="1"/>
  <c r="J12" i="37"/>
  <c r="AC12" i="37" s="1"/>
  <c r="H12" i="37"/>
  <c r="F12" i="37"/>
  <c r="AA12" i="37" s="1"/>
  <c r="H15" i="37"/>
  <c r="U15" i="37" s="1"/>
  <c r="E94" i="37"/>
  <c r="F94" i="37" s="1"/>
  <c r="F31" i="37"/>
  <c r="S31" i="37"/>
  <c r="G94" i="37"/>
  <c r="H94" i="37" s="1"/>
  <c r="I94" i="37" s="1"/>
  <c r="J94" i="37" s="1"/>
  <c r="K94" i="37" s="1"/>
  <c r="L94" i="37" s="1"/>
  <c r="M94" i="37" s="1"/>
  <c r="H31" i="37"/>
  <c r="AB31" i="37"/>
  <c r="J15" i="37"/>
  <c r="W15" i="37"/>
  <c r="AB10" i="37"/>
  <c r="J11" i="37"/>
  <c r="W11" i="37"/>
  <c r="U31" i="37"/>
  <c r="E90" i="40"/>
  <c r="F21" i="40"/>
  <c r="S21" i="40"/>
  <c r="W36" i="40"/>
  <c r="F90" i="40"/>
  <c r="G90" i="40" s="1"/>
  <c r="J21" i="40"/>
  <c r="AC21" i="40"/>
  <c r="S27" i="31"/>
  <c r="BT5" i="3"/>
  <c r="J57" i="39"/>
  <c r="H13" i="40"/>
  <c r="U13" i="40"/>
  <c r="H12" i="48"/>
  <c r="I4" i="4"/>
  <c r="K141" i="21"/>
  <c r="K143" i="21"/>
  <c r="K144" i="21"/>
  <c r="I59" i="40"/>
  <c r="C59" i="40" s="1"/>
  <c r="I60" i="40"/>
  <c r="C60" i="40" s="1"/>
  <c r="W9" i="33"/>
  <c r="H7" i="48"/>
  <c r="H16" i="48"/>
  <c r="H9" i="48"/>
  <c r="H8" i="48"/>
  <c r="AB16" i="35"/>
  <c r="AB15" i="37"/>
  <c r="AA13" i="40"/>
  <c r="E78" i="40"/>
  <c r="F78" i="40" s="1"/>
  <c r="G78" i="40"/>
  <c r="H78" i="40" s="1"/>
  <c r="I78" i="40" s="1"/>
  <c r="J78" i="40" s="1"/>
  <c r="K78" i="40" s="1"/>
  <c r="L78" i="40" s="1"/>
  <c r="M78" i="40" s="1"/>
  <c r="BH5" i="3"/>
  <c r="R16" i="4"/>
  <c r="P16" i="4"/>
  <c r="D3" i="35"/>
  <c r="G4" i="4"/>
  <c r="S37" i="34"/>
  <c r="J16" i="35"/>
  <c r="W16" i="35"/>
  <c r="AC26" i="36"/>
  <c r="W25" i="35"/>
  <c r="H11" i="37"/>
  <c r="AB11" i="37" s="1"/>
  <c r="W37" i="37"/>
  <c r="AA36" i="37"/>
  <c r="S42" i="33"/>
  <c r="U32" i="33"/>
  <c r="AC29" i="33"/>
  <c r="AC11" i="36"/>
  <c r="AC10" i="36"/>
  <c r="AB45" i="34"/>
  <c r="AC14" i="37"/>
  <c r="AB35" i="35"/>
  <c r="S25" i="35"/>
  <c r="W44" i="33"/>
  <c r="W30" i="33"/>
  <c r="W32" i="36"/>
  <c r="U28" i="33"/>
  <c r="AB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U26" i="21"/>
  <c r="AA33" i="21"/>
  <c r="S33" i="2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c r="F30" i="34"/>
  <c r="S30" i="34"/>
  <c r="J30" i="34"/>
  <c r="W30" i="34"/>
  <c r="H32" i="34"/>
  <c r="AB32" i="34"/>
  <c r="F32" i="34"/>
  <c r="AA32" i="34"/>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S28" i="33"/>
  <c r="S14" i="21"/>
  <c r="AA44" i="34"/>
  <c r="AB29" i="35"/>
  <c r="U29" i="35"/>
  <c r="AC19" i="33"/>
  <c r="W19" i="33"/>
  <c r="U43" i="34"/>
  <c r="AB43" i="34"/>
  <c r="AC34" i="37"/>
  <c r="S35" i="37"/>
  <c r="AA35" i="37"/>
  <c r="AB10" i="35"/>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s="1"/>
  <c r="F34" i="39"/>
  <c r="AA34" i="39"/>
  <c r="H34" i="39"/>
  <c r="AB34" i="39"/>
  <c r="J34" i="39"/>
  <c r="AC34" i="39"/>
  <c r="F39" i="39"/>
  <c r="H39" i="39"/>
  <c r="AB39" i="39" s="1"/>
  <c r="J39" i="39"/>
  <c r="J29" i="35"/>
  <c r="AC29" i="35"/>
  <c r="F29" i="35"/>
  <c r="S29" i="35"/>
  <c r="W30" i="36"/>
  <c r="AC30" i="36"/>
  <c r="F37" i="39"/>
  <c r="S37" i="39"/>
  <c r="H37" i="39"/>
  <c r="U37" i="39"/>
  <c r="J37" i="39"/>
  <c r="W37" i="39"/>
  <c r="BJ5" i="3"/>
  <c r="BB5"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AB10"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c r="AA23"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B41" i="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W27" i="39"/>
  <c r="S23"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B37" i="39"/>
  <c r="AA29" i="35"/>
  <c r="U3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c r="F97" i="39"/>
  <c r="J23" i="39"/>
  <c r="AC23" i="39" s="1"/>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AC15" i="34"/>
  <c r="U20" i="35"/>
  <c r="AB20" i="35"/>
  <c r="W23" i="40"/>
  <c r="D73" i="9"/>
  <c r="N73" i="9"/>
  <c r="AP11" i="1"/>
  <c r="B11" i="1"/>
  <c r="E11" i="1" s="1"/>
  <c r="K11" i="1"/>
  <c r="M11" i="1" s="1"/>
  <c r="O11" i="1" s="1"/>
  <c r="B9" i="1"/>
  <c r="E9" i="1"/>
  <c r="K9" i="1"/>
  <c r="M9" i="1" s="1"/>
  <c r="O9" i="1" s="1"/>
  <c r="B7" i="1"/>
  <c r="E7" i="1" s="1"/>
  <c r="K7" i="1"/>
  <c r="M7" i="1" s="1"/>
  <c r="C20" i="43"/>
  <c r="AP6" i="1"/>
  <c r="G11" i="1"/>
  <c r="M22" i="44"/>
  <c r="F32" i="15"/>
  <c r="F59" i="15" s="1"/>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U35" i="21"/>
  <c r="AC46" i="2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AC21" i="39"/>
  <c r="AC17" i="39"/>
  <c r="S14" i="39"/>
  <c r="AB15" i="39"/>
  <c r="U11" i="39"/>
  <c r="U23" i="39"/>
  <c r="AB38" i="39"/>
  <c r="U31" i="39"/>
  <c r="AB31" i="39"/>
  <c r="S25" i="39"/>
  <c r="S38" i="39"/>
  <c r="S22" i="31"/>
  <c r="B22" i="63"/>
  <c r="M20" i="15"/>
  <c r="D96" i="9"/>
  <c r="F28" i="15"/>
  <c r="C28" i="15" s="1"/>
  <c r="M18" i="15"/>
  <c r="A18" i="64"/>
  <c r="B74" i="63" s="1"/>
  <c r="C53" i="10"/>
  <c r="A25" i="64" s="1"/>
  <c r="A18" i="51"/>
  <c r="B14" i="63" s="1"/>
  <c r="F3" i="35"/>
  <c r="K1" i="43"/>
  <c r="K1" i="12"/>
  <c r="BK5" i="3"/>
  <c r="BO5" i="3"/>
  <c r="BP5" i="3"/>
  <c r="BN5" i="3"/>
  <c r="BC5" i="3"/>
  <c r="E8" i="6"/>
  <c r="E58" i="39" s="1"/>
  <c r="BD5" i="3"/>
  <c r="BR5" i="3"/>
  <c r="G28" i="6" s="1"/>
  <c r="BS5" i="3"/>
  <c r="BQ5" i="3"/>
  <c r="BM5" i="3"/>
  <c r="F29" i="6" s="1"/>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s="1"/>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AP7" i="1"/>
  <c r="G9" i="1"/>
  <c r="B6" i="63"/>
  <c r="L5" i="54"/>
  <c r="B39" i="63" s="1"/>
  <c r="K5" i="54"/>
  <c r="B38" i="63" s="1"/>
  <c r="T41" i="4"/>
  <c r="A17" i="64" s="1"/>
  <c r="B46" i="50"/>
  <c r="B4" i="63" s="1"/>
  <c r="C46" i="36"/>
  <c r="D46" i="36" s="1"/>
  <c r="C59" i="34"/>
  <c r="D59" i="34" s="1"/>
  <c r="C48" i="35"/>
  <c r="D48" i="35"/>
  <c r="C52" i="37"/>
  <c r="D52" i="37"/>
  <c r="F7" i="33"/>
  <c r="J7" i="33"/>
  <c r="C67" i="40"/>
  <c r="D65" i="40"/>
  <c r="P24" i="46"/>
  <c r="B68" i="40"/>
  <c r="P25" i="46"/>
  <c r="B73" i="39"/>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c r="B12" i="1"/>
  <c r="E12" i="1"/>
  <c r="S12" i="1"/>
  <c r="O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U27" i="21"/>
  <c r="S27" i="21"/>
  <c r="W29" i="21"/>
  <c r="G96" i="40"/>
  <c r="J27" i="40"/>
  <c r="AC27" i="40" s="1"/>
  <c r="W37" i="40"/>
  <c r="S17" i="40"/>
  <c r="W30" i="40"/>
  <c r="S34" i="40"/>
  <c r="U17" i="40"/>
  <c r="U38" i="40"/>
  <c r="S40" i="40"/>
  <c r="S42" i="40"/>
  <c r="G105" i="39"/>
  <c r="J31" i="39"/>
  <c r="W31" i="39" s="1"/>
  <c r="S45" i="39"/>
  <c r="AB43" i="39"/>
  <c r="AB33" i="39"/>
  <c r="AC46" i="39"/>
  <c r="S34" i="39"/>
  <c r="W42" i="39"/>
  <c r="W36" i="39"/>
  <c r="W23"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AG6" i="1"/>
  <c r="G6" i="1"/>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21" i="12" s="1"/>
  <c r="C21" i="12" s="1"/>
  <c r="E12" i="6"/>
  <c r="E64" i="39" s="1"/>
  <c r="G29" i="6"/>
  <c r="E13" i="6"/>
  <c r="E65" i="39" s="1"/>
  <c r="E11" i="6"/>
  <c r="E58" i="40" s="1"/>
  <c r="H70" i="46"/>
  <c r="H72" i="46"/>
  <c r="A9" i="51"/>
  <c r="B9" i="63" s="1"/>
  <c r="A25" i="51"/>
  <c r="B18" i="63" s="1"/>
  <c r="E52" i="37"/>
  <c r="F52" i="37"/>
  <c r="G52" i="37" s="1"/>
  <c r="E48" i="35"/>
  <c r="F48" i="35" s="1"/>
  <c r="D72" i="39"/>
  <c r="E70" i="39"/>
  <c r="W7" i="33"/>
  <c r="AC7" i="33"/>
  <c r="V48" i="33"/>
  <c r="I48" i="33" s="1"/>
  <c r="U7" i="33"/>
  <c r="AB7" i="33"/>
  <c r="T48" i="33"/>
  <c r="G48" i="33" s="1"/>
  <c r="D67" i="40"/>
  <c r="E65" i="40"/>
  <c r="S7" i="33"/>
  <c r="AA7" i="33"/>
  <c r="R48" i="33"/>
  <c r="R49" i="33" s="1"/>
  <c r="G66" i="36"/>
  <c r="J18" i="36"/>
  <c r="AE8" i="1"/>
  <c r="AE6" i="1"/>
  <c r="F33" i="44"/>
  <c r="F31" i="15"/>
  <c r="F58" i="15"/>
  <c r="M17" i="15"/>
  <c r="M19" i="44"/>
  <c r="W18" i="36"/>
  <c r="AC18" i="36"/>
  <c r="L20" i="6"/>
  <c r="F7" i="21"/>
  <c r="AA7" i="21" s="1"/>
  <c r="J7" i="21"/>
  <c r="AC7" i="21" s="1"/>
  <c r="H7" i="21"/>
  <c r="U7" i="21" s="1"/>
  <c r="E67" i="40"/>
  <c r="F65" i="40"/>
  <c r="E72" i="39"/>
  <c r="F70" i="39"/>
  <c r="S8" i="1"/>
  <c r="S9" i="1"/>
  <c r="F72" i="39"/>
  <c r="G70" i="39"/>
  <c r="H70" i="39" s="1"/>
  <c r="F67" i="40"/>
  <c r="G65" i="40"/>
  <c r="H65" i="40" s="1"/>
  <c r="G67" i="40"/>
  <c r="G72" i="39"/>
  <c r="R9" i="1"/>
  <c r="R8" i="1"/>
  <c r="N76" i="9"/>
  <c r="C46" i="9"/>
  <c r="K33" i="9" s="1"/>
  <c r="K34" i="9" s="1"/>
  <c r="O41" i="9"/>
  <c r="R8" i="54"/>
  <c r="B54" i="63" s="1"/>
  <c r="E13" i="67"/>
  <c r="N6" i="65"/>
  <c r="F9" i="67"/>
  <c r="E10" i="67"/>
  <c r="F14" i="67"/>
  <c r="J3" i="65"/>
  <c r="F10" i="67"/>
  <c r="E12" i="67"/>
  <c r="I5" i="65"/>
  <c r="E8" i="67"/>
  <c r="E11" i="67"/>
  <c r="N4" i="65"/>
  <c r="N3" i="65"/>
  <c r="F11" i="67"/>
  <c r="I6" i="65"/>
  <c r="J6" i="65"/>
  <c r="J4" i="65"/>
  <c r="B11" i="67"/>
  <c r="I3" i="65"/>
  <c r="N7" i="65"/>
  <c r="E14" i="67"/>
  <c r="E9" i="67"/>
  <c r="J7" i="65"/>
  <c r="B12" i="67"/>
  <c r="F8" i="67"/>
  <c r="B8" i="67"/>
  <c r="J5" i="65"/>
  <c r="I4" i="65"/>
  <c r="F13" i="67"/>
  <c r="B13" i="67"/>
  <c r="B14" i="67"/>
  <c r="N5" i="65"/>
  <c r="I7" i="65"/>
  <c r="B9" i="67"/>
  <c r="F12" i="67"/>
  <c r="B10" i="67"/>
  <c r="P75" i="15" l="1"/>
  <c r="BL570" i="3"/>
  <c r="BA570" i="3"/>
  <c r="AZ570" i="3" s="1"/>
  <c r="BL569" i="3"/>
  <c r="AZ569" i="3" s="1"/>
  <c r="BL566" i="3"/>
  <c r="BA566" i="3"/>
  <c r="AZ566" i="3" s="1"/>
  <c r="BL565" i="3"/>
  <c r="AZ565" i="3" s="1"/>
  <c r="BL562" i="3"/>
  <c r="BA562" i="3"/>
  <c r="AZ562" i="3" s="1"/>
  <c r="BL561" i="3"/>
  <c r="AZ561" i="3" s="1"/>
  <c r="BL558" i="3"/>
  <c r="BA558" i="3"/>
  <c r="AZ558" i="3" s="1"/>
  <c r="BL557" i="3"/>
  <c r="AZ557" i="3" s="1"/>
  <c r="BL554" i="3"/>
  <c r="BA554" i="3"/>
  <c r="AZ554" i="3" s="1"/>
  <c r="BL553" i="3"/>
  <c r="AZ553" i="3" s="1"/>
  <c r="BL550" i="3"/>
  <c r="BA550" i="3"/>
  <c r="BL549" i="3"/>
  <c r="AZ549" i="3" s="1"/>
  <c r="BL546" i="3"/>
  <c r="BA546" i="3"/>
  <c r="AZ546" i="3" s="1"/>
  <c r="BL545" i="3"/>
  <c r="AZ545" i="3" s="1"/>
  <c r="BL542" i="3"/>
  <c r="BA542" i="3"/>
  <c r="AZ542" i="3" s="1"/>
  <c r="BL541" i="3"/>
  <c r="AZ541" i="3" s="1"/>
  <c r="BL538" i="3"/>
  <c r="BA538" i="3"/>
  <c r="AZ538" i="3" s="1"/>
  <c r="BL537" i="3"/>
  <c r="AZ537" i="3" s="1"/>
  <c r="BL534" i="3"/>
  <c r="BA534" i="3"/>
  <c r="AZ534" i="3" s="1"/>
  <c r="BL533" i="3"/>
  <c r="AZ533" i="3" s="1"/>
  <c r="BL530" i="3"/>
  <c r="BA530" i="3"/>
  <c r="AZ530" i="3" s="1"/>
  <c r="BL529" i="3"/>
  <c r="AZ529" i="3" s="1"/>
  <c r="BL526" i="3"/>
  <c r="BA526" i="3"/>
  <c r="AZ526" i="3" s="1"/>
  <c r="BL525" i="3"/>
  <c r="AZ525" i="3" s="1"/>
  <c r="BL522" i="3"/>
  <c r="BA522" i="3"/>
  <c r="BL521" i="3"/>
  <c r="AZ521" i="3" s="1"/>
  <c r="BL518" i="3"/>
  <c r="BA518" i="3"/>
  <c r="AZ518" i="3" s="1"/>
  <c r="BL517" i="3"/>
  <c r="AZ517" i="3" s="1"/>
  <c r="BL514" i="3"/>
  <c r="BA514" i="3"/>
  <c r="AZ514" i="3" s="1"/>
  <c r="BL513" i="3"/>
  <c r="AZ513" i="3" s="1"/>
  <c r="BL510" i="3"/>
  <c r="BA510" i="3"/>
  <c r="AZ510" i="3" s="1"/>
  <c r="BL509" i="3"/>
  <c r="AZ509" i="3" s="1"/>
  <c r="BL506" i="3"/>
  <c r="BA506" i="3"/>
  <c r="AZ506" i="3" s="1"/>
  <c r="BL505" i="3"/>
  <c r="AZ505" i="3" s="1"/>
  <c r="BL502" i="3"/>
  <c r="BA502" i="3"/>
  <c r="AZ502" i="3" s="1"/>
  <c r="BL501" i="3"/>
  <c r="AZ501" i="3" s="1"/>
  <c r="BL498" i="3"/>
  <c r="BA498" i="3"/>
  <c r="AZ498" i="3" s="1"/>
  <c r="BL497" i="3"/>
  <c r="AZ497" i="3" s="1"/>
  <c r="BL494" i="3"/>
  <c r="BA494" i="3"/>
  <c r="AZ494" i="3" s="1"/>
  <c r="BL493" i="3"/>
  <c r="AZ493" i="3" s="1"/>
  <c r="BL490" i="3"/>
  <c r="BA490" i="3"/>
  <c r="AZ490" i="3" s="1"/>
  <c r="BL489" i="3"/>
  <c r="AZ489" i="3" s="1"/>
  <c r="BL486" i="3"/>
  <c r="BA486" i="3"/>
  <c r="AZ486" i="3" s="1"/>
  <c r="BL485" i="3"/>
  <c r="AZ485" i="3" s="1"/>
  <c r="BL482" i="3"/>
  <c r="BA482" i="3"/>
  <c r="AZ482" i="3" s="1"/>
  <c r="BL481" i="3"/>
  <c r="AZ481" i="3" s="1"/>
  <c r="BL478" i="3"/>
  <c r="BA478" i="3"/>
  <c r="AZ478" i="3" s="1"/>
  <c r="BL477" i="3"/>
  <c r="AZ477" i="3" s="1"/>
  <c r="BL474" i="3"/>
  <c r="BA474" i="3"/>
  <c r="BL473" i="3"/>
  <c r="AZ473" i="3" s="1"/>
  <c r="BL470" i="3"/>
  <c r="BA470" i="3"/>
  <c r="AZ470" i="3" s="1"/>
  <c r="BL469" i="3"/>
  <c r="AZ469" i="3" s="1"/>
  <c r="BL466" i="3"/>
  <c r="BA466" i="3"/>
  <c r="BL465" i="3"/>
  <c r="AZ465" i="3" s="1"/>
  <c r="BL462" i="3"/>
  <c r="BA462" i="3"/>
  <c r="AZ462" i="3" s="1"/>
  <c r="BL461" i="3"/>
  <c r="AZ461" i="3" s="1"/>
  <c r="BL458" i="3"/>
  <c r="BL572" i="3"/>
  <c r="BA572" i="3"/>
  <c r="AZ572" i="3" s="1"/>
  <c r="BL571" i="3"/>
  <c r="AZ571" i="3" s="1"/>
  <c r="BL568" i="3"/>
  <c r="BA568" i="3"/>
  <c r="BL567" i="3"/>
  <c r="AZ567" i="3" s="1"/>
  <c r="BL564" i="3"/>
  <c r="BA564" i="3"/>
  <c r="AZ564" i="3" s="1"/>
  <c r="BL563" i="3"/>
  <c r="AZ563" i="3" s="1"/>
  <c r="BL560" i="3"/>
  <c r="BA560" i="3"/>
  <c r="BL559" i="3"/>
  <c r="AZ559" i="3" s="1"/>
  <c r="BL556" i="3"/>
  <c r="BA556" i="3"/>
  <c r="AZ556" i="3" s="1"/>
  <c r="BL555" i="3"/>
  <c r="AZ555" i="3" s="1"/>
  <c r="BL552" i="3"/>
  <c r="BA552" i="3"/>
  <c r="BL551" i="3"/>
  <c r="AZ551" i="3" s="1"/>
  <c r="BL548" i="3"/>
  <c r="BA548" i="3"/>
  <c r="AZ548" i="3" s="1"/>
  <c r="BL547" i="3"/>
  <c r="AZ547" i="3" s="1"/>
  <c r="BL544" i="3"/>
  <c r="BA544" i="3"/>
  <c r="BL543" i="3"/>
  <c r="AZ543" i="3" s="1"/>
  <c r="BL540" i="3"/>
  <c r="BA540" i="3"/>
  <c r="AZ540" i="3" s="1"/>
  <c r="BL539" i="3"/>
  <c r="AZ539" i="3" s="1"/>
  <c r="BL536" i="3"/>
  <c r="BA536" i="3"/>
  <c r="BL535" i="3"/>
  <c r="AZ535" i="3" s="1"/>
  <c r="BL532" i="3"/>
  <c r="BA532" i="3"/>
  <c r="AZ532" i="3" s="1"/>
  <c r="BL531" i="3"/>
  <c r="AZ531" i="3" s="1"/>
  <c r="BL528" i="3"/>
  <c r="BA528" i="3"/>
  <c r="BL527" i="3"/>
  <c r="AZ527" i="3" s="1"/>
  <c r="BL524" i="3"/>
  <c r="BA524" i="3"/>
  <c r="AZ524" i="3" s="1"/>
  <c r="BL523" i="3"/>
  <c r="AZ523" i="3" s="1"/>
  <c r="BL520" i="3"/>
  <c r="BA520" i="3"/>
  <c r="BL519" i="3"/>
  <c r="AZ519" i="3" s="1"/>
  <c r="BL516" i="3"/>
  <c r="BA516" i="3"/>
  <c r="AZ516" i="3" s="1"/>
  <c r="BL515" i="3"/>
  <c r="AZ515" i="3" s="1"/>
  <c r="BL512" i="3"/>
  <c r="BA512" i="3"/>
  <c r="BL511" i="3"/>
  <c r="AZ511" i="3" s="1"/>
  <c r="BL508" i="3"/>
  <c r="BA508" i="3"/>
  <c r="AZ508" i="3" s="1"/>
  <c r="BL507" i="3"/>
  <c r="AZ507" i="3" s="1"/>
  <c r="BL504" i="3"/>
  <c r="BA504" i="3"/>
  <c r="BL503" i="3"/>
  <c r="AZ503" i="3" s="1"/>
  <c r="BL500" i="3"/>
  <c r="BA500" i="3"/>
  <c r="AZ500" i="3" s="1"/>
  <c r="BL499" i="3"/>
  <c r="AZ499" i="3" s="1"/>
  <c r="BL496" i="3"/>
  <c r="BA496" i="3"/>
  <c r="BL495" i="3"/>
  <c r="AZ495" i="3" s="1"/>
  <c r="BL492" i="3"/>
  <c r="BA492" i="3"/>
  <c r="AZ492" i="3" s="1"/>
  <c r="BL491" i="3"/>
  <c r="AZ491" i="3" s="1"/>
  <c r="BL488" i="3"/>
  <c r="BA488" i="3"/>
  <c r="BL487" i="3"/>
  <c r="AZ487" i="3" s="1"/>
  <c r="BL484" i="3"/>
  <c r="BA484" i="3"/>
  <c r="AZ484" i="3" s="1"/>
  <c r="BL483" i="3"/>
  <c r="AZ483" i="3" s="1"/>
  <c r="BL480" i="3"/>
  <c r="BA480" i="3"/>
  <c r="BL479" i="3"/>
  <c r="AZ479" i="3" s="1"/>
  <c r="BL476" i="3"/>
  <c r="BA476" i="3"/>
  <c r="AZ476" i="3" s="1"/>
  <c r="BL475" i="3"/>
  <c r="AZ475" i="3" s="1"/>
  <c r="BL472" i="3"/>
  <c r="BA472" i="3"/>
  <c r="BL471" i="3"/>
  <c r="AZ471" i="3" s="1"/>
  <c r="BL468" i="3"/>
  <c r="BA468" i="3"/>
  <c r="AZ468" i="3" s="1"/>
  <c r="BL467" i="3"/>
  <c r="AZ467" i="3" s="1"/>
  <c r="BL464" i="3"/>
  <c r="BA464" i="3"/>
  <c r="BL463" i="3"/>
  <c r="AZ463" i="3" s="1"/>
  <c r="BL460" i="3"/>
  <c r="BA460" i="3"/>
  <c r="AZ460" i="3" s="1"/>
  <c r="BL459" i="3"/>
  <c r="AZ459" i="3" s="1"/>
  <c r="BL257" i="3"/>
  <c r="BA257" i="3"/>
  <c r="BL256" i="3"/>
  <c r="AZ256" i="3" s="1"/>
  <c r="BL253" i="3"/>
  <c r="BA253" i="3"/>
  <c r="AZ253" i="3" s="1"/>
  <c r="BL252" i="3"/>
  <c r="AZ252" i="3" s="1"/>
  <c r="BL249" i="3"/>
  <c r="BA249" i="3"/>
  <c r="BL248" i="3"/>
  <c r="AZ248" i="3" s="1"/>
  <c r="BL245" i="3"/>
  <c r="BA245" i="3"/>
  <c r="AZ245" i="3" s="1"/>
  <c r="BL244" i="3"/>
  <c r="AZ244" i="3" s="1"/>
  <c r="BL241" i="3"/>
  <c r="BA241" i="3"/>
  <c r="BL240" i="3"/>
  <c r="AZ240" i="3" s="1"/>
  <c r="BL237" i="3"/>
  <c r="BA237" i="3"/>
  <c r="AZ237" i="3" s="1"/>
  <c r="BL236" i="3"/>
  <c r="AZ236" i="3" s="1"/>
  <c r="BL233" i="3"/>
  <c r="BA233" i="3"/>
  <c r="BL232" i="3"/>
  <c r="AZ232" i="3" s="1"/>
  <c r="BL229" i="3"/>
  <c r="BA229" i="3"/>
  <c r="AZ229" i="3" s="1"/>
  <c r="BL228" i="3"/>
  <c r="AZ228" i="3" s="1"/>
  <c r="BL225" i="3"/>
  <c r="BA225" i="3"/>
  <c r="BL224" i="3"/>
  <c r="AZ224" i="3" s="1"/>
  <c r="BL221" i="3"/>
  <c r="BA221" i="3"/>
  <c r="AZ221" i="3" s="1"/>
  <c r="BL220" i="3"/>
  <c r="AZ220" i="3" s="1"/>
  <c r="BL217" i="3"/>
  <c r="BA217" i="3"/>
  <c r="BL216" i="3"/>
  <c r="AZ216" i="3" s="1"/>
  <c r="BL213" i="3"/>
  <c r="BA213" i="3"/>
  <c r="AZ213" i="3" s="1"/>
  <c r="BL212" i="3"/>
  <c r="AZ212" i="3" s="1"/>
  <c r="BL209" i="3"/>
  <c r="BA209" i="3"/>
  <c r="BL208" i="3"/>
  <c r="AZ208" i="3" s="1"/>
  <c r="BL205" i="3"/>
  <c r="BA205" i="3"/>
  <c r="AZ205" i="3" s="1"/>
  <c r="BL204" i="3"/>
  <c r="AZ204" i="3" s="1"/>
  <c r="BL201" i="3"/>
  <c r="BA201" i="3"/>
  <c r="BL200" i="3"/>
  <c r="AZ200" i="3" s="1"/>
  <c r="BL197" i="3"/>
  <c r="BA197" i="3"/>
  <c r="AZ197" i="3" s="1"/>
  <c r="BL196" i="3"/>
  <c r="AZ196" i="3" s="1"/>
  <c r="BL193" i="3"/>
  <c r="BA193" i="3"/>
  <c r="BL192" i="3"/>
  <c r="AZ192" i="3" s="1"/>
  <c r="BL189" i="3"/>
  <c r="BA189" i="3"/>
  <c r="AZ189" i="3" s="1"/>
  <c r="BL188" i="3"/>
  <c r="AZ188" i="3" s="1"/>
  <c r="BL185" i="3"/>
  <c r="BA185" i="3"/>
  <c r="BL184" i="3"/>
  <c r="AZ184" i="3" s="1"/>
  <c r="BL181" i="3"/>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BA425" i="3"/>
  <c r="AZ425" i="3" s="1"/>
  <c r="BL424" i="3"/>
  <c r="AZ424" i="3" s="1"/>
  <c r="BA423" i="3"/>
  <c r="AZ423" i="3" s="1"/>
  <c r="BL422" i="3"/>
  <c r="AZ422" i="3" s="1"/>
  <c r="BA421" i="3"/>
  <c r="AZ421" i="3" s="1"/>
  <c r="BL420" i="3"/>
  <c r="AZ420" i="3" s="1"/>
  <c r="BA419" i="3"/>
  <c r="AZ419" i="3" s="1"/>
  <c r="BL418" i="3"/>
  <c r="AZ418" i="3" s="1"/>
  <c r="BA417" i="3"/>
  <c r="AZ417" i="3" s="1"/>
  <c r="BL416" i="3"/>
  <c r="AZ416" i="3" s="1"/>
  <c r="BA415" i="3"/>
  <c r="AZ415" i="3" s="1"/>
  <c r="BL414" i="3"/>
  <c r="AZ414" i="3" s="1"/>
  <c r="BA413" i="3"/>
  <c r="AZ413" i="3" s="1"/>
  <c r="BL412" i="3"/>
  <c r="AZ412" i="3" s="1"/>
  <c r="BA411" i="3"/>
  <c r="AZ411" i="3" s="1"/>
  <c r="BL410" i="3"/>
  <c r="AZ410" i="3" s="1"/>
  <c r="BA409" i="3"/>
  <c r="AZ409" i="3" s="1"/>
  <c r="BL408" i="3"/>
  <c r="AZ408" i="3" s="1"/>
  <c r="BA407" i="3"/>
  <c r="AZ407" i="3" s="1"/>
  <c r="BL406" i="3"/>
  <c r="AZ406" i="3" s="1"/>
  <c r="BA405" i="3"/>
  <c r="AZ405" i="3" s="1"/>
  <c r="BL404" i="3"/>
  <c r="AZ404" i="3" s="1"/>
  <c r="BA403" i="3"/>
  <c r="AZ403" i="3" s="1"/>
  <c r="BL402" i="3"/>
  <c r="AZ402" i="3" s="1"/>
  <c r="BA401" i="3"/>
  <c r="AZ401" i="3" s="1"/>
  <c r="BL400" i="3"/>
  <c r="AZ400" i="3" s="1"/>
  <c r="BA399" i="3"/>
  <c r="AZ399" i="3" s="1"/>
  <c r="BL398" i="3"/>
  <c r="AZ398" i="3" s="1"/>
  <c r="BA397" i="3"/>
  <c r="AZ397" i="3" s="1"/>
  <c r="BL396" i="3"/>
  <c r="AZ396" i="3" s="1"/>
  <c r="BA395" i="3"/>
  <c r="AZ395" i="3" s="1"/>
  <c r="BL394" i="3"/>
  <c r="AZ394" i="3" s="1"/>
  <c r="BA393" i="3"/>
  <c r="AZ393" i="3" s="1"/>
  <c r="BL392" i="3"/>
  <c r="AZ392" i="3" s="1"/>
  <c r="BA391" i="3"/>
  <c r="AZ391" i="3" s="1"/>
  <c r="BL390" i="3"/>
  <c r="AZ390" i="3" s="1"/>
  <c r="BA389" i="3"/>
  <c r="AZ389" i="3" s="1"/>
  <c r="BL388" i="3"/>
  <c r="AZ388" i="3" s="1"/>
  <c r="BA387" i="3"/>
  <c r="AZ387" i="3" s="1"/>
  <c r="BL386" i="3"/>
  <c r="AZ386" i="3" s="1"/>
  <c r="BA385" i="3"/>
  <c r="AZ385" i="3" s="1"/>
  <c r="BL384" i="3"/>
  <c r="AZ384" i="3" s="1"/>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L255" i="3"/>
  <c r="BA255" i="3"/>
  <c r="AZ255" i="3" s="1"/>
  <c r="BL254" i="3"/>
  <c r="AZ254" i="3" s="1"/>
  <c r="BL251" i="3"/>
  <c r="BA251" i="3"/>
  <c r="BL250" i="3"/>
  <c r="AZ250" i="3" s="1"/>
  <c r="BL247" i="3"/>
  <c r="BA247" i="3"/>
  <c r="AZ247" i="3" s="1"/>
  <c r="BL246" i="3"/>
  <c r="AZ246" i="3" s="1"/>
  <c r="BL243" i="3"/>
  <c r="BA243" i="3"/>
  <c r="BL242" i="3"/>
  <c r="AZ242" i="3" s="1"/>
  <c r="BL239" i="3"/>
  <c r="BA239" i="3"/>
  <c r="AZ239" i="3" s="1"/>
  <c r="BL238" i="3"/>
  <c r="AZ238" i="3" s="1"/>
  <c r="BL235" i="3"/>
  <c r="BA235" i="3"/>
  <c r="BL234" i="3"/>
  <c r="AZ234" i="3" s="1"/>
  <c r="BL231" i="3"/>
  <c r="BA231" i="3"/>
  <c r="AZ231" i="3" s="1"/>
  <c r="BL230" i="3"/>
  <c r="AZ230" i="3" s="1"/>
  <c r="BL227" i="3"/>
  <c r="BA227" i="3"/>
  <c r="BL226" i="3"/>
  <c r="AZ226" i="3" s="1"/>
  <c r="BL223" i="3"/>
  <c r="BA223" i="3"/>
  <c r="AZ223" i="3" s="1"/>
  <c r="BL222" i="3"/>
  <c r="AZ222" i="3" s="1"/>
  <c r="BL219" i="3"/>
  <c r="BA219" i="3"/>
  <c r="BL218" i="3"/>
  <c r="AZ218" i="3" s="1"/>
  <c r="BL215" i="3"/>
  <c r="BA215" i="3"/>
  <c r="AZ215" i="3" s="1"/>
  <c r="BL214" i="3"/>
  <c r="AZ214" i="3" s="1"/>
  <c r="BL211" i="3"/>
  <c r="BA211" i="3"/>
  <c r="BL210" i="3"/>
  <c r="AZ210" i="3" s="1"/>
  <c r="BL207" i="3"/>
  <c r="BA207" i="3"/>
  <c r="AZ207" i="3" s="1"/>
  <c r="BL206" i="3"/>
  <c r="AZ206" i="3" s="1"/>
  <c r="BL203" i="3"/>
  <c r="BA203" i="3"/>
  <c r="BL202" i="3"/>
  <c r="AZ202" i="3" s="1"/>
  <c r="BL199" i="3"/>
  <c r="BA199" i="3"/>
  <c r="AZ199" i="3" s="1"/>
  <c r="BL198" i="3"/>
  <c r="AZ198" i="3" s="1"/>
  <c r="BL195" i="3"/>
  <c r="BA195" i="3"/>
  <c r="BL194" i="3"/>
  <c r="AZ194" i="3" s="1"/>
  <c r="BL191" i="3"/>
  <c r="BA191" i="3"/>
  <c r="AZ191" i="3" s="1"/>
  <c r="BL190" i="3"/>
  <c r="AZ190" i="3" s="1"/>
  <c r="BL187" i="3"/>
  <c r="BA187" i="3"/>
  <c r="BL186" i="3"/>
  <c r="AZ186" i="3" s="1"/>
  <c r="BL183" i="3"/>
  <c r="BA183" i="3"/>
  <c r="AZ183" i="3" s="1"/>
  <c r="BL182" i="3"/>
  <c r="AZ182" i="3" s="1"/>
  <c r="BL109" i="3"/>
  <c r="BA109" i="3"/>
  <c r="BL105" i="3"/>
  <c r="BA105" i="3"/>
  <c r="BL101" i="3"/>
  <c r="BA101" i="3"/>
  <c r="BL97" i="3"/>
  <c r="BA97" i="3"/>
  <c r="BL93" i="3"/>
  <c r="BA93" i="3"/>
  <c r="BL89" i="3"/>
  <c r="BA89" i="3"/>
  <c r="BL85" i="3"/>
  <c r="BA85" i="3"/>
  <c r="BL81" i="3"/>
  <c r="BA81" i="3"/>
  <c r="BL77" i="3"/>
  <c r="BA77" i="3"/>
  <c r="BL73" i="3"/>
  <c r="BA73" i="3"/>
  <c r="BL69" i="3"/>
  <c r="BA69" i="3"/>
  <c r="BL65" i="3"/>
  <c r="BA65" i="3"/>
  <c r="BL61" i="3"/>
  <c r="BA61" i="3"/>
  <c r="BL57" i="3"/>
  <c r="BA57" i="3"/>
  <c r="BL53" i="3"/>
  <c r="BA53" i="3"/>
  <c r="BL49" i="3"/>
  <c r="BA49" i="3"/>
  <c r="BL45" i="3"/>
  <c r="BA45" i="3"/>
  <c r="BL41" i="3"/>
  <c r="BA41" i="3"/>
  <c r="BL37" i="3"/>
  <c r="BA37" i="3"/>
  <c r="BL33" i="3"/>
  <c r="BA33" i="3"/>
  <c r="BA19" i="3"/>
  <c r="G571" i="3"/>
  <c r="G559" i="3"/>
  <c r="G555" i="3"/>
  <c r="G551" i="3"/>
  <c r="G547" i="3"/>
  <c r="G543" i="3"/>
  <c r="G539" i="3"/>
  <c r="G535" i="3"/>
  <c r="G531" i="3"/>
  <c r="G527" i="3"/>
  <c r="G523" i="3"/>
  <c r="G519" i="3"/>
  <c r="G514" i="3"/>
  <c r="G511" i="3"/>
  <c r="G508" i="3"/>
  <c r="G504" i="3"/>
  <c r="G500" i="3"/>
  <c r="G497" i="3"/>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L107" i="3"/>
  <c r="BA107" i="3"/>
  <c r="BL103" i="3"/>
  <c r="BA103" i="3"/>
  <c r="BL99" i="3"/>
  <c r="BA99" i="3"/>
  <c r="BL95" i="3"/>
  <c r="BA95" i="3"/>
  <c r="BL91" i="3"/>
  <c r="BA91" i="3"/>
  <c r="BL87" i="3"/>
  <c r="BA87" i="3"/>
  <c r="BL83" i="3"/>
  <c r="BA83" i="3"/>
  <c r="BL79" i="3"/>
  <c r="BA79" i="3"/>
  <c r="BL75" i="3"/>
  <c r="BA75" i="3"/>
  <c r="BL71" i="3"/>
  <c r="BA71" i="3"/>
  <c r="BL67" i="3"/>
  <c r="BA67" i="3"/>
  <c r="BL63" i="3"/>
  <c r="BA63" i="3"/>
  <c r="BL59" i="3"/>
  <c r="BA59" i="3"/>
  <c r="BL55" i="3"/>
  <c r="BA55" i="3"/>
  <c r="BL51" i="3"/>
  <c r="BA51" i="3"/>
  <c r="BL47" i="3"/>
  <c r="BA47" i="3"/>
  <c r="BL43" i="3"/>
  <c r="BA43" i="3"/>
  <c r="BL39" i="3"/>
  <c r="BA39" i="3"/>
  <c r="BL35" i="3"/>
  <c r="BA35" i="3"/>
  <c r="BA31" i="3"/>
  <c r="BA26" i="3"/>
  <c r="BA25" i="3"/>
  <c r="BA24" i="3"/>
  <c r="BA23" i="3"/>
  <c r="BA22" i="3"/>
  <c r="BA21" i="3"/>
  <c r="BA16" i="3"/>
  <c r="G569" i="3"/>
  <c r="G565" i="3"/>
  <c r="G561" i="3"/>
  <c r="G493" i="3"/>
  <c r="G489" i="3"/>
  <c r="G485" i="3"/>
  <c r="G481" i="3"/>
  <c r="G477" i="3"/>
  <c r="G473" i="3"/>
  <c r="G469" i="3"/>
  <c r="G465" i="3"/>
  <c r="G461" i="3"/>
  <c r="G457" i="3"/>
  <c r="G453" i="3"/>
  <c r="G449" i="3"/>
  <c r="G445" i="3"/>
  <c r="G441" i="3"/>
  <c r="G437" i="3"/>
  <c r="G433" i="3"/>
  <c r="G429" i="3"/>
  <c r="G425" i="3"/>
  <c r="G421" i="3"/>
  <c r="G414" i="3"/>
  <c r="G402" i="3"/>
  <c r="G398" i="3"/>
  <c r="G394" i="3"/>
  <c r="G388" i="3"/>
  <c r="G384" i="3"/>
  <c r="G381" i="3"/>
  <c r="G378" i="3"/>
  <c r="G374" i="3"/>
  <c r="G370" i="3"/>
  <c r="G366" i="3"/>
  <c r="G362" i="3"/>
  <c r="G358" i="3"/>
  <c r="G354" i="3"/>
  <c r="G350" i="3"/>
  <c r="G346" i="3"/>
  <c r="G342" i="3"/>
  <c r="G338" i="3"/>
  <c r="G334" i="3"/>
  <c r="G330" i="3"/>
  <c r="G250" i="3"/>
  <c r="G238" i="3"/>
  <c r="G230" i="3"/>
  <c r="G226" i="3"/>
  <c r="G218" i="3"/>
  <c r="G194" i="3"/>
  <c r="G190" i="3"/>
  <c r="G186" i="3"/>
  <c r="G78" i="3"/>
  <c r="G77" i="3"/>
  <c r="G70" i="3"/>
  <c r="G69" i="3"/>
  <c r="G62" i="3"/>
  <c r="G61" i="3"/>
  <c r="G54" i="3"/>
  <c r="G53" i="3"/>
  <c r="G46" i="3"/>
  <c r="G45" i="3"/>
  <c r="G38" i="3"/>
  <c r="G37" i="3"/>
  <c r="G328" i="3"/>
  <c r="G324" i="3"/>
  <c r="G320" i="3"/>
  <c r="G316" i="3"/>
  <c r="G312" i="3"/>
  <c r="G308" i="3"/>
  <c r="G304" i="3"/>
  <c r="G300" i="3"/>
  <c r="G296" i="3"/>
  <c r="G292" i="3"/>
  <c r="G288" i="3"/>
  <c r="G284" i="3"/>
  <c r="G280" i="3"/>
  <c r="G276" i="3"/>
  <c r="G272" i="3"/>
  <c r="G268" i="3"/>
  <c r="G264" i="3"/>
  <c r="G260" i="3"/>
  <c r="G256" i="3"/>
  <c r="G244" i="3"/>
  <c r="G240" i="3"/>
  <c r="G208" i="3"/>
  <c r="G204" i="3"/>
  <c r="G200" i="3"/>
  <c r="G176" i="3"/>
  <c r="G172" i="3"/>
  <c r="G168" i="3"/>
  <c r="G164" i="3"/>
  <c r="G160" i="3"/>
  <c r="G156" i="3"/>
  <c r="G152" i="3"/>
  <c r="G148" i="3"/>
  <c r="G144" i="3"/>
  <c r="G140" i="3"/>
  <c r="G136" i="3"/>
  <c r="G132" i="3"/>
  <c r="G128" i="3"/>
  <c r="G124" i="3"/>
  <c r="G120" i="3"/>
  <c r="G116" i="3"/>
  <c r="G112" i="3"/>
  <c r="G105" i="3"/>
  <c r="G104" i="3"/>
  <c r="G90" i="3"/>
  <c r="G89" i="3"/>
  <c r="G66" i="3"/>
  <c r="AZ109" i="3"/>
  <c r="BL108" i="3"/>
  <c r="AZ108" i="3" s="1"/>
  <c r="AZ105" i="3"/>
  <c r="BL104" i="3"/>
  <c r="AZ104" i="3" s="1"/>
  <c r="AZ101" i="3"/>
  <c r="BL100" i="3"/>
  <c r="AZ100" i="3" s="1"/>
  <c r="AZ97" i="3"/>
  <c r="BL96" i="3"/>
  <c r="AZ96" i="3" s="1"/>
  <c r="AZ93" i="3"/>
  <c r="BL92" i="3"/>
  <c r="AZ92" i="3" s="1"/>
  <c r="AZ89" i="3"/>
  <c r="BL88" i="3"/>
  <c r="AZ88" i="3" s="1"/>
  <c r="AZ85" i="3"/>
  <c r="BL84" i="3"/>
  <c r="AZ84" i="3" s="1"/>
  <c r="AZ81" i="3"/>
  <c r="BL80" i="3"/>
  <c r="AZ80" i="3" s="1"/>
  <c r="AZ77" i="3"/>
  <c r="BL76" i="3"/>
  <c r="AZ76" i="3" s="1"/>
  <c r="AZ107" i="3"/>
  <c r="BL106" i="3"/>
  <c r="AZ106" i="3" s="1"/>
  <c r="AZ103" i="3"/>
  <c r="BL102" i="3"/>
  <c r="AZ102" i="3" s="1"/>
  <c r="AZ99" i="3"/>
  <c r="BL98" i="3"/>
  <c r="AZ98" i="3" s="1"/>
  <c r="AZ95" i="3"/>
  <c r="BL94" i="3"/>
  <c r="AZ94" i="3" s="1"/>
  <c r="AZ91" i="3"/>
  <c r="BL90" i="3"/>
  <c r="AZ90" i="3" s="1"/>
  <c r="AZ87" i="3"/>
  <c r="BL86" i="3"/>
  <c r="AZ86" i="3" s="1"/>
  <c r="AZ83" i="3"/>
  <c r="BL82" i="3"/>
  <c r="AZ82" i="3" s="1"/>
  <c r="AZ79" i="3"/>
  <c r="BL78" i="3"/>
  <c r="AZ78" i="3" s="1"/>
  <c r="AZ75" i="3"/>
  <c r="BL74" i="3"/>
  <c r="AZ74" i="3" s="1"/>
  <c r="AZ73" i="3"/>
  <c r="BL72" i="3"/>
  <c r="AZ72" i="3" s="1"/>
  <c r="AZ71" i="3"/>
  <c r="BL70" i="3"/>
  <c r="AZ70" i="3" s="1"/>
  <c r="AZ69" i="3"/>
  <c r="BL68" i="3"/>
  <c r="AZ68" i="3" s="1"/>
  <c r="AZ67" i="3"/>
  <c r="BL66" i="3"/>
  <c r="AZ66" i="3" s="1"/>
  <c r="AZ65" i="3"/>
  <c r="BL64" i="3"/>
  <c r="AZ64" i="3" s="1"/>
  <c r="AZ63" i="3"/>
  <c r="BL62" i="3"/>
  <c r="AZ62" i="3" s="1"/>
  <c r="AZ61" i="3"/>
  <c r="BL60" i="3"/>
  <c r="AZ60" i="3" s="1"/>
  <c r="AZ59" i="3"/>
  <c r="BL58" i="3"/>
  <c r="AZ58" i="3" s="1"/>
  <c r="AZ57" i="3"/>
  <c r="BL56" i="3"/>
  <c r="AZ56" i="3" s="1"/>
  <c r="AZ55" i="3"/>
  <c r="BL54" i="3"/>
  <c r="AZ54" i="3" s="1"/>
  <c r="AZ53" i="3"/>
  <c r="BL52" i="3"/>
  <c r="AZ52" i="3" s="1"/>
  <c r="AZ51" i="3"/>
  <c r="BL50" i="3"/>
  <c r="AZ50" i="3" s="1"/>
  <c r="AZ49" i="3"/>
  <c r="BL48" i="3"/>
  <c r="AZ48" i="3" s="1"/>
  <c r="AZ47" i="3"/>
  <c r="BL46" i="3"/>
  <c r="AZ46" i="3" s="1"/>
  <c r="AZ45" i="3"/>
  <c r="BL44" i="3"/>
  <c r="AZ44" i="3" s="1"/>
  <c r="AZ43" i="3"/>
  <c r="BL42" i="3"/>
  <c r="AZ42" i="3" s="1"/>
  <c r="AZ41" i="3"/>
  <c r="BL40" i="3"/>
  <c r="AZ40" i="3" s="1"/>
  <c r="AZ39" i="3"/>
  <c r="BL38" i="3"/>
  <c r="AZ38" i="3" s="1"/>
  <c r="AZ37" i="3"/>
  <c r="BL36" i="3"/>
  <c r="AZ36" i="3" s="1"/>
  <c r="AZ35" i="3"/>
  <c r="BL34" i="3"/>
  <c r="AZ34" i="3" s="1"/>
  <c r="AZ33" i="3"/>
  <c r="BL32" i="3"/>
  <c r="AZ32" i="3" s="1"/>
  <c r="G106" i="3"/>
  <c r="G102" i="3"/>
  <c r="G98" i="3"/>
  <c r="G95" i="3"/>
  <c r="G91" i="3"/>
  <c r="G87" i="3"/>
  <c r="G83" i="3"/>
  <c r="G79" i="3"/>
  <c r="G75" i="3"/>
  <c r="G71" i="3"/>
  <c r="G67" i="3"/>
  <c r="G63" i="3"/>
  <c r="G59" i="3"/>
  <c r="G55" i="3"/>
  <c r="G51" i="3"/>
  <c r="G47" i="3"/>
  <c r="G43" i="3"/>
  <c r="G39" i="3"/>
  <c r="G35" i="3"/>
  <c r="BL31" i="3"/>
  <c r="AZ31" i="3" s="1"/>
  <c r="I70" i="39"/>
  <c r="H72" i="39"/>
  <c r="G52" i="33"/>
  <c r="H52" i="33" s="1"/>
  <c r="G53" i="33"/>
  <c r="H53" i="33" s="1"/>
  <c r="G48" i="35"/>
  <c r="H48" i="35" s="1"/>
  <c r="I48" i="35" s="1"/>
  <c r="J48" i="35" s="1"/>
  <c r="K48" i="35" s="1"/>
  <c r="L48" i="35" s="1"/>
  <c r="M48" i="35" s="1"/>
  <c r="N48" i="35" s="1"/>
  <c r="O48" i="35" s="1"/>
  <c r="J7" i="35"/>
  <c r="H7" i="35"/>
  <c r="C49" i="33"/>
  <c r="B3" i="33" s="1"/>
  <c r="C48" i="33"/>
  <c r="I52" i="33"/>
  <c r="J52" i="33" s="1"/>
  <c r="H52" i="37"/>
  <c r="I52" i="37" s="1"/>
  <c r="J52" i="37" s="1"/>
  <c r="K52" i="37" s="1"/>
  <c r="L52" i="37" s="1"/>
  <c r="M52" i="37" s="1"/>
  <c r="N52" i="37" s="1"/>
  <c r="O52" i="37" s="1"/>
  <c r="F7" i="34"/>
  <c r="E59" i="34"/>
  <c r="F59" i="34" s="1"/>
  <c r="G59" i="34" s="1"/>
  <c r="H59" i="34" s="1"/>
  <c r="I59" i="34" s="1"/>
  <c r="J59" i="34" s="1"/>
  <c r="K59" i="34" s="1"/>
  <c r="L59" i="34" s="1"/>
  <c r="M59" i="34" s="1"/>
  <c r="N59" i="34" s="1"/>
  <c r="O59" i="34" s="1"/>
  <c r="J7" i="34"/>
  <c r="H7" i="34"/>
  <c r="I65" i="40"/>
  <c r="H67" i="40"/>
  <c r="F7" i="36"/>
  <c r="E46" i="36"/>
  <c r="F46" i="36" s="1"/>
  <c r="G46" i="36" s="1"/>
  <c r="H46" i="36" s="1"/>
  <c r="I46" i="36" s="1"/>
  <c r="J46" i="36" s="1"/>
  <c r="K46" i="36" s="1"/>
  <c r="L46" i="36" s="1"/>
  <c r="M46" i="36" s="1"/>
  <c r="N46" i="36" s="1"/>
  <c r="O46" i="36" s="1"/>
  <c r="H7" i="36"/>
  <c r="J7" i="36"/>
  <c r="AA29" i="39"/>
  <c r="S29" i="39"/>
  <c r="H29" i="39"/>
  <c r="F103" i="39"/>
  <c r="G103" i="39" s="1"/>
  <c r="J29" i="39" s="1"/>
  <c r="U17" i="37"/>
  <c r="AB17" i="37"/>
  <c r="AC24" i="35"/>
  <c r="W24" i="35"/>
  <c r="D26" i="59"/>
  <c r="C27" i="59"/>
  <c r="I14" i="66"/>
  <c r="B8" i="66" s="1"/>
  <c r="E48" i="33"/>
  <c r="F7" i="37"/>
  <c r="H7" i="37"/>
  <c r="F7" i="35"/>
  <c r="E15" i="6"/>
  <c r="E67" i="39" s="1"/>
  <c r="AC36" i="33"/>
  <c r="AB14" i="40"/>
  <c r="AB12" i="37"/>
  <c r="U12" i="37"/>
  <c r="S36" i="35"/>
  <c r="AA36" i="35"/>
  <c r="AA39" i="33"/>
  <c r="S39" i="33"/>
  <c r="AB28" i="21"/>
  <c r="U28" i="21"/>
  <c r="U44" i="21"/>
  <c r="AB44" i="21"/>
  <c r="AB46" i="21"/>
  <c r="U46" i="21"/>
  <c r="U27" i="33"/>
  <c r="AB27" i="33"/>
  <c r="AB27" i="37"/>
  <c r="U27" i="37"/>
  <c r="D47" i="59"/>
  <c r="T47" i="59"/>
  <c r="D39" i="59"/>
  <c r="T39" i="59"/>
  <c r="D35" i="59"/>
  <c r="T35" i="59"/>
  <c r="B2" i="33"/>
  <c r="G12" i="1"/>
  <c r="S21" i="34"/>
  <c r="S18" i="35"/>
  <c r="C66" i="59"/>
  <c r="C50" i="59"/>
  <c r="D29" i="59"/>
  <c r="AG12" i="46"/>
  <c r="E9" i="46"/>
  <c r="E11" i="46"/>
  <c r="E8" i="46"/>
  <c r="C7" i="46" s="1"/>
  <c r="E10" i="46"/>
  <c r="AC29" i="37"/>
  <c r="AA45" i="33"/>
  <c r="AA30" i="33"/>
  <c r="AC45" i="33"/>
  <c r="AC37" i="33"/>
  <c r="AB31" i="21"/>
  <c r="U30" i="33"/>
  <c r="F46" i="21"/>
  <c r="AA46" i="21" s="1"/>
  <c r="J30" i="21"/>
  <c r="F28" i="21"/>
  <c r="S22" i="35"/>
  <c r="S38" i="33"/>
  <c r="C23" i="39"/>
  <c r="AC35" i="21"/>
  <c r="U38" i="33"/>
  <c r="S33" i="33"/>
  <c r="W38" i="33"/>
  <c r="U9" i="33"/>
  <c r="S34" i="34"/>
  <c r="H12" i="21"/>
  <c r="H39" i="21"/>
  <c r="AB39" i="21" s="1"/>
  <c r="F34" i="35"/>
  <c r="H34" i="35"/>
  <c r="F25" i="37"/>
  <c r="J25" i="37"/>
  <c r="C18" i="9"/>
  <c r="Q49" i="59"/>
  <c r="Q48" i="59"/>
  <c r="AI10" i="46"/>
  <c r="AI12" i="46"/>
  <c r="AE10" i="46"/>
  <c r="AE12" i="46"/>
  <c r="AA10" i="46"/>
  <c r="AA12" i="46"/>
  <c r="D6" i="59"/>
  <c r="C5" i="59"/>
  <c r="D5" i="59" s="1"/>
  <c r="D21" i="59"/>
  <c r="C22" i="59"/>
  <c r="D17" i="59"/>
  <c r="C18" i="59"/>
  <c r="D13" i="59"/>
  <c r="C14" i="59"/>
  <c r="BA445" i="3"/>
  <c r="AZ445" i="3" s="1"/>
  <c r="BL442" i="3"/>
  <c r="AZ442" i="3" s="1"/>
  <c r="BA441" i="3"/>
  <c r="AZ441" i="3" s="1"/>
  <c r="BL438" i="3"/>
  <c r="AZ438" i="3" s="1"/>
  <c r="BA437" i="3"/>
  <c r="AZ437" i="3" s="1"/>
  <c r="BL434" i="3"/>
  <c r="AZ434" i="3" s="1"/>
  <c r="BA433" i="3"/>
  <c r="AZ433" i="3" s="1"/>
  <c r="BL430" i="3"/>
  <c r="AZ430" i="3" s="1"/>
  <c r="BA429" i="3"/>
  <c r="AZ429" i="3" s="1"/>
  <c r="BL426" i="3"/>
  <c r="AZ426" i="3" s="1"/>
  <c r="K76" i="9"/>
  <c r="K77" i="9" s="1"/>
  <c r="K79" i="9" s="1"/>
  <c r="K81" i="9" s="1"/>
  <c r="G1" i="44"/>
  <c r="C20" i="46"/>
  <c r="J17" i="46"/>
  <c r="C16" i="46" s="1"/>
  <c r="C5" i="46" s="1"/>
  <c r="H17" i="46"/>
  <c r="D10" i="59"/>
  <c r="BL444" i="3"/>
  <c r="AZ444" i="3" s="1"/>
  <c r="BA443" i="3"/>
  <c r="AZ443" i="3" s="1"/>
  <c r="BL440" i="3"/>
  <c r="AZ440" i="3" s="1"/>
  <c r="BA439" i="3"/>
  <c r="AZ439" i="3" s="1"/>
  <c r="BL436" i="3"/>
  <c r="AZ436" i="3" s="1"/>
  <c r="BA435" i="3"/>
  <c r="AZ435" i="3" s="1"/>
  <c r="BL432" i="3"/>
  <c r="AZ432" i="3" s="1"/>
  <c r="BA431" i="3"/>
  <c r="AZ431" i="3" s="1"/>
  <c r="BL428" i="3"/>
  <c r="AZ428" i="3" s="1"/>
  <c r="BA427" i="3"/>
  <c r="AZ427" i="3" s="1"/>
  <c r="BA365" i="3"/>
  <c r="AZ365"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AZ342" i="3" s="1"/>
  <c r="BA341" i="3"/>
  <c r="AZ341" i="3" s="1"/>
  <c r="BL338" i="3"/>
  <c r="AZ338" i="3" s="1"/>
  <c r="BA337" i="3"/>
  <c r="AZ337" i="3" s="1"/>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140" i="3"/>
  <c r="AZ140" i="3" s="1"/>
  <c r="BA139" i="3"/>
  <c r="AZ139" i="3" s="1"/>
  <c r="BL136" i="3"/>
  <c r="AZ136" i="3" s="1"/>
  <c r="BA135" i="3"/>
  <c r="AZ135" i="3" s="1"/>
  <c r="BA141" i="3"/>
  <c r="AZ141" i="3" s="1"/>
  <c r="BL138" i="3"/>
  <c r="AZ138" i="3" s="1"/>
  <c r="BA137" i="3"/>
  <c r="AZ137" i="3" s="1"/>
  <c r="BA30" i="3"/>
  <c r="BA29" i="3"/>
  <c r="BA28" i="3"/>
  <c r="BA27" i="3"/>
  <c r="BL13" i="3"/>
  <c r="G31" i="3"/>
  <c r="AC5" i="3"/>
  <c r="G24" i="3"/>
  <c r="E53" i="40"/>
  <c r="G7" i="1"/>
  <c r="AP12" i="1"/>
  <c r="G1" i="15"/>
  <c r="AP8" i="1"/>
  <c r="D12" i="11"/>
  <c r="C12" i="11" s="1"/>
  <c r="E10" i="6"/>
  <c r="G30" i="3"/>
  <c r="E14" i="6"/>
  <c r="E61" i="40" s="1"/>
  <c r="G29" i="3"/>
  <c r="G28" i="3"/>
  <c r="M43" i="9"/>
  <c r="D18" i="9"/>
  <c r="M44" i="9" s="1"/>
  <c r="S41" i="39"/>
  <c r="W41" i="39"/>
  <c r="U41" i="39"/>
  <c r="G26" i="3"/>
  <c r="BL26" i="3"/>
  <c r="AZ26" i="3" s="1"/>
  <c r="BL30" i="3"/>
  <c r="BL29" i="3"/>
  <c r="AZ29" i="3" s="1"/>
  <c r="BL28" i="3"/>
  <c r="BL24" i="3"/>
  <c r="AZ24" i="3" s="1"/>
  <c r="G27" i="3"/>
  <c r="G25" i="3"/>
  <c r="G23" i="3"/>
  <c r="G22" i="3"/>
  <c r="BL27" i="3"/>
  <c r="AZ27" i="3" s="1"/>
  <c r="BL25" i="3"/>
  <c r="AZ25" i="3" s="1"/>
  <c r="BL23" i="3"/>
  <c r="AZ23" i="3" s="1"/>
  <c r="BL22" i="3"/>
  <c r="AZ22" i="3" s="1"/>
  <c r="G21" i="3"/>
  <c r="G20" i="3"/>
  <c r="G19" i="3"/>
  <c r="BL21" i="3"/>
  <c r="AZ21" i="3" s="1"/>
  <c r="BL20" i="3"/>
  <c r="AZ20" i="3" s="1"/>
  <c r="BL18" i="3"/>
  <c r="AZ18" i="3" s="1"/>
  <c r="G18" i="3"/>
  <c r="BA14" i="3"/>
  <c r="E29" i="6"/>
  <c r="K15" i="1" s="1"/>
  <c r="BL19" i="3"/>
  <c r="AZ19" i="3" s="1"/>
  <c r="E60" i="40"/>
  <c r="F30" i="6"/>
  <c r="BA17" i="3"/>
  <c r="A11" i="55"/>
  <c r="B62" i="63" s="1"/>
  <c r="AZ13" i="3"/>
  <c r="G13" i="3"/>
  <c r="I4" i="6"/>
  <c r="G3" i="46" s="1"/>
  <c r="BA15" i="3"/>
  <c r="E59" i="40"/>
  <c r="H42" i="21"/>
  <c r="AB42" i="21" s="1"/>
  <c r="J42" i="21"/>
  <c r="AC42" i="21" s="1"/>
  <c r="G123" i="21"/>
  <c r="H123" i="21" s="1"/>
  <c r="I123" i="21" s="1"/>
  <c r="J123" i="21" s="1"/>
  <c r="K123" i="21" s="1"/>
  <c r="L123" i="21" s="1"/>
  <c r="M123" i="21" s="1"/>
  <c r="F42" i="21"/>
  <c r="AA42" i="21" s="1"/>
  <c r="H113" i="21"/>
  <c r="F37" i="21"/>
  <c r="J37" i="21"/>
  <c r="H37" i="21"/>
  <c r="H101" i="21"/>
  <c r="I101" i="21" s="1"/>
  <c r="J101" i="21" s="1"/>
  <c r="K101" i="21" s="1"/>
  <c r="L101" i="21" s="1"/>
  <c r="M101" i="21" s="1"/>
  <c r="F32" i="21"/>
  <c r="H32" i="21"/>
  <c r="U32" i="21" s="1"/>
  <c r="J32" i="21"/>
  <c r="AC32" i="21" s="1"/>
  <c r="F23" i="21"/>
  <c r="S23" i="21" s="1"/>
  <c r="F85" i="21"/>
  <c r="G85" i="21" s="1"/>
  <c r="J23" i="21"/>
  <c r="W23" i="21" s="1"/>
  <c r="H23" i="21"/>
  <c r="F81" i="21"/>
  <c r="G81" i="21" s="1"/>
  <c r="F19" i="21"/>
  <c r="AA19" i="21" s="1"/>
  <c r="J19" i="21"/>
  <c r="W19" i="21" s="1"/>
  <c r="H19" i="21"/>
  <c r="AB19" i="21" s="1"/>
  <c r="H17" i="21"/>
  <c r="AB17" i="21" s="1"/>
  <c r="F79" i="21"/>
  <c r="G79" i="21" s="1"/>
  <c r="F17" i="21"/>
  <c r="J17" i="21"/>
  <c r="AC17" i="21" s="1"/>
  <c r="F77" i="21"/>
  <c r="G77" i="21" s="1"/>
  <c r="J15" i="21"/>
  <c r="F15" i="21"/>
  <c r="S15" i="21" s="1"/>
  <c r="H15" i="21"/>
  <c r="U15" i="21" s="1"/>
  <c r="W7" i="21"/>
  <c r="W8" i="21"/>
  <c r="AB7" i="21"/>
  <c r="W43" i="21"/>
  <c r="U43" i="21"/>
  <c r="AC45" i="21"/>
  <c r="S45" i="21"/>
  <c r="S46" i="21"/>
  <c r="AA43" i="21"/>
  <c r="W42" i="21"/>
  <c r="U39" i="21"/>
  <c r="AC38" i="21"/>
  <c r="E9" i="52"/>
  <c r="S39" i="21"/>
  <c r="U38" i="21"/>
  <c r="AA36" i="21"/>
  <c r="AB36" i="21"/>
  <c r="S35" i="21"/>
  <c r="AC34" i="21"/>
  <c r="AB34" i="21"/>
  <c r="AC27" i="21"/>
  <c r="W31" i="21"/>
  <c r="AA29" i="21"/>
  <c r="AA25" i="21"/>
  <c r="AA30" i="21"/>
  <c r="AC26" i="21"/>
  <c r="W28" i="21"/>
  <c r="S26" i="21"/>
  <c r="AB30" i="21"/>
  <c r="AA23" i="21"/>
  <c r="B6" i="52"/>
  <c r="B10" i="52"/>
  <c r="S21" i="21"/>
  <c r="B23" i="52"/>
  <c r="B4" i="52"/>
  <c r="E11" i="52"/>
  <c r="S19" i="21"/>
  <c r="AC19" i="21"/>
  <c r="U19" i="21"/>
  <c r="U17" i="21"/>
  <c r="W17" i="21"/>
  <c r="F69" i="21"/>
  <c r="G69" i="21" s="1"/>
  <c r="H69" i="21" s="1"/>
  <c r="I69" i="21" s="1"/>
  <c r="J69" i="21" s="1"/>
  <c r="K69" i="21" s="1"/>
  <c r="L69" i="21" s="1"/>
  <c r="M69" i="21" s="1"/>
  <c r="AB13" i="21"/>
  <c r="W10" i="21"/>
  <c r="AA9" i="21"/>
  <c r="W9" i="21"/>
  <c r="S7" i="21"/>
  <c r="AC31" i="39"/>
  <c r="S31" i="39"/>
  <c r="E5" i="52"/>
  <c r="B16" i="52"/>
  <c r="E10" i="52"/>
  <c r="B8" i="52"/>
  <c r="B9" i="52"/>
  <c r="B7" i="52"/>
  <c r="E4" i="52"/>
  <c r="E16" i="52"/>
  <c r="B11" i="52"/>
  <c r="E8" i="52"/>
  <c r="B5" i="52"/>
  <c r="B13" i="52"/>
  <c r="B22" i="52"/>
  <c r="E21" i="52"/>
  <c r="E4" i="4" s="1"/>
  <c r="B21" i="55" s="1"/>
  <c r="B72" i="63" s="1"/>
  <c r="B14" i="52"/>
  <c r="E6" i="52"/>
  <c r="E7" i="52"/>
  <c r="C4" i="4" s="1"/>
  <c r="B20" i="55" s="1"/>
  <c r="B70" i="63" s="1"/>
  <c r="B54" i="46"/>
  <c r="G17" i="3"/>
  <c r="G16" i="3"/>
  <c r="G15" i="3"/>
  <c r="G14" i="3"/>
  <c r="BL17" i="3"/>
  <c r="AZ17" i="3" s="1"/>
  <c r="BL16" i="3"/>
  <c r="AZ16" i="3" s="1"/>
  <c r="BL15" i="3"/>
  <c r="AZ15" i="3" s="1"/>
  <c r="BL14" i="3"/>
  <c r="AZ14" i="3" s="1"/>
  <c r="E62" i="40"/>
  <c r="E63" i="39"/>
  <c r="G30" i="6"/>
  <c r="G31" i="6" s="1"/>
  <c r="E28" i="6"/>
  <c r="P9" i="1"/>
  <c r="O8" i="1"/>
  <c r="P8" i="1" s="1"/>
  <c r="P12" i="1"/>
  <c r="O7" i="1"/>
  <c r="P7" i="1" s="1"/>
  <c r="P11" i="1"/>
  <c r="O13" i="1"/>
  <c r="P13" i="1" s="1"/>
  <c r="A3" i="55"/>
  <c r="B56" i="63" s="1"/>
  <c r="I1" i="65"/>
  <c r="E20" i="46"/>
  <c r="J1" i="65"/>
  <c r="C4" i="65"/>
  <c r="B39" i="1" s="1"/>
  <c r="M24" i="15"/>
  <c r="F40" i="15"/>
  <c r="M27" i="15"/>
  <c r="J15" i="15"/>
  <c r="J36" i="15"/>
  <c r="L48" i="15"/>
  <c r="M26" i="15"/>
  <c r="M28" i="15"/>
  <c r="F37" i="15"/>
  <c r="F43" i="15"/>
  <c r="M9" i="15"/>
  <c r="F6" i="15"/>
  <c r="F13" i="15"/>
  <c r="M29" i="15"/>
  <c r="F16" i="15"/>
  <c r="F42" i="15"/>
  <c r="M8" i="15"/>
  <c r="F38" i="15"/>
  <c r="F8" i="15"/>
  <c r="F9" i="15"/>
  <c r="F36" i="15"/>
  <c r="M22" i="15"/>
  <c r="L47" i="15"/>
  <c r="M6" i="15"/>
  <c r="F7" i="15"/>
  <c r="M23" i="15"/>
  <c r="F26" i="15"/>
  <c r="E2" i="65"/>
  <c r="E3" i="65"/>
  <c r="W32" i="21" l="1"/>
  <c r="AZ187" i="3"/>
  <c r="AZ195" i="3"/>
  <c r="AZ203" i="3"/>
  <c r="AZ211" i="3"/>
  <c r="AZ219" i="3"/>
  <c r="AZ227" i="3"/>
  <c r="AZ235" i="3"/>
  <c r="AZ243" i="3"/>
  <c r="AZ251" i="3"/>
  <c r="AZ185" i="3"/>
  <c r="AZ193" i="3"/>
  <c r="AZ201" i="3"/>
  <c r="AZ209" i="3"/>
  <c r="AZ217" i="3"/>
  <c r="AZ225" i="3"/>
  <c r="AZ233" i="3"/>
  <c r="AZ241" i="3"/>
  <c r="AZ249" i="3"/>
  <c r="AZ257" i="3"/>
  <c r="AZ464" i="3"/>
  <c r="AZ472" i="3"/>
  <c r="AZ480" i="3"/>
  <c r="AZ488" i="3"/>
  <c r="AZ496" i="3"/>
  <c r="AZ504" i="3"/>
  <c r="AZ512" i="3"/>
  <c r="AZ520" i="3"/>
  <c r="AZ528" i="3"/>
  <c r="AZ536" i="3"/>
  <c r="AZ544" i="3"/>
  <c r="AZ552" i="3"/>
  <c r="AZ560" i="3"/>
  <c r="AZ568" i="3"/>
  <c r="AZ466" i="3"/>
  <c r="AZ474" i="3"/>
  <c r="AZ522" i="3"/>
  <c r="AZ550" i="3"/>
  <c r="AB15" i="21"/>
  <c r="AZ28" i="3"/>
  <c r="AZ30" i="3"/>
  <c r="D14" i="59"/>
  <c r="C15" i="59"/>
  <c r="D18" i="59"/>
  <c r="C19" i="59"/>
  <c r="D22" i="59"/>
  <c r="C23" i="59"/>
  <c r="AA25" i="37"/>
  <c r="S25" i="37"/>
  <c r="AA34" i="35"/>
  <c r="S34" i="35"/>
  <c r="U12" i="21"/>
  <c r="AB12" i="21"/>
  <c r="AA28" i="21"/>
  <c r="S28" i="21"/>
  <c r="C49" i="59"/>
  <c r="D50" i="59"/>
  <c r="O50" i="59"/>
  <c r="U7" i="37"/>
  <c r="AB7" i="37"/>
  <c r="T42" i="37" s="1"/>
  <c r="G42" i="37" s="1"/>
  <c r="E53" i="33"/>
  <c r="F53" i="33" s="1"/>
  <c r="E52" i="33"/>
  <c r="F52" i="33" s="1"/>
  <c r="D27" i="59"/>
  <c r="T27" i="59"/>
  <c r="W29" i="39"/>
  <c r="AC29" i="39"/>
  <c r="W7" i="36"/>
  <c r="AC7" i="36"/>
  <c r="V36" i="36" s="1"/>
  <c r="I36" i="36" s="1"/>
  <c r="AB7" i="34"/>
  <c r="T49" i="34" s="1"/>
  <c r="G49" i="34" s="1"/>
  <c r="U7" i="34"/>
  <c r="J7" i="37"/>
  <c r="AB7" i="35"/>
  <c r="T38" i="35" s="1"/>
  <c r="G38" i="35" s="1"/>
  <c r="U7" i="35"/>
  <c r="I72" i="39"/>
  <c r="J70" i="39"/>
  <c r="W25" i="37"/>
  <c r="AC25" i="37"/>
  <c r="U34" i="35"/>
  <c r="AB34" i="35"/>
  <c r="AC30" i="21"/>
  <c r="W30" i="21"/>
  <c r="C65" i="59"/>
  <c r="D65" i="59" s="1"/>
  <c r="D66" i="59"/>
  <c r="S7" i="35"/>
  <c r="AA7" i="35"/>
  <c r="R38" i="35" s="1"/>
  <c r="S7" i="37"/>
  <c r="AA7" i="37"/>
  <c r="R42" i="37" s="1"/>
  <c r="U29" i="39"/>
  <c r="AB29" i="39"/>
  <c r="AB7" i="36"/>
  <c r="T36" i="36" s="1"/>
  <c r="G36" i="36" s="1"/>
  <c r="U7" i="36"/>
  <c r="S7" i="36"/>
  <c r="AA7" i="36"/>
  <c r="R36" i="36" s="1"/>
  <c r="I67" i="40"/>
  <c r="J65" i="40"/>
  <c r="AC7" i="34"/>
  <c r="V49" i="34" s="1"/>
  <c r="I49" i="34" s="1"/>
  <c r="W7" i="34"/>
  <c r="AA7" i="34"/>
  <c r="R49" i="34" s="1"/>
  <c r="S7" i="34"/>
  <c r="I53" i="33"/>
  <c r="J53" i="33" s="1"/>
  <c r="AC7" i="35"/>
  <c r="V38" i="35" s="1"/>
  <c r="I38" i="35" s="1"/>
  <c r="W7" i="35"/>
  <c r="E16" i="6"/>
  <c r="F64" i="15"/>
  <c r="F70" i="15"/>
  <c r="Q72" i="15"/>
  <c r="F63" i="15"/>
  <c r="C27" i="15"/>
  <c r="J53" i="15"/>
  <c r="F1" i="15" s="1"/>
  <c r="I54" i="15"/>
  <c r="L56" i="15"/>
  <c r="J57" i="15"/>
  <c r="J55" i="15" s="1"/>
  <c r="J58" i="15" s="1"/>
  <c r="Q51" i="15" s="1"/>
  <c r="M7" i="15"/>
  <c r="J6" i="15" s="1"/>
  <c r="F49" i="15"/>
  <c r="L58" i="15"/>
  <c r="Q74" i="15" s="1"/>
  <c r="L59" i="15"/>
  <c r="Q75" i="15" s="1"/>
  <c r="F50" i="15"/>
  <c r="F65" i="15"/>
  <c r="C6" i="15"/>
  <c r="F67" i="15"/>
  <c r="E66" i="39"/>
  <c r="E68" i="39" s="1"/>
  <c r="BA5" i="3"/>
  <c r="S42" i="21"/>
  <c r="U42" i="21"/>
  <c r="U37" i="21"/>
  <c r="AB37" i="21"/>
  <c r="S37" i="21"/>
  <c r="AA37" i="21"/>
  <c r="W37" i="21"/>
  <c r="AC37" i="21"/>
  <c r="AB32" i="21"/>
  <c r="AA32" i="21"/>
  <c r="S32" i="21"/>
  <c r="AC23" i="21"/>
  <c r="U23" i="21"/>
  <c r="AB23" i="21"/>
  <c r="S17" i="21"/>
  <c r="AA17" i="21"/>
  <c r="AA15" i="21"/>
  <c r="AC15" i="21"/>
  <c r="W15" i="21"/>
  <c r="G5" i="3"/>
  <c r="B3" i="3" s="1"/>
  <c r="E413" i="3" s="1"/>
  <c r="BL5" i="3"/>
  <c r="AZ5" i="3"/>
  <c r="K14" i="1"/>
  <c r="M14" i="1" s="1"/>
  <c r="O14" i="1" s="1"/>
  <c r="P14" i="1" s="1"/>
  <c r="E30" i="6"/>
  <c r="C23" i="46"/>
  <c r="C21" i="46" s="1"/>
  <c r="B113" i="46"/>
  <c r="F22" i="46"/>
  <c r="C101" i="46"/>
  <c r="H22" i="46"/>
  <c r="AE11" i="46"/>
  <c r="AE13" i="46" s="1"/>
  <c r="AJ11" i="46"/>
  <c r="AJ13" i="46" s="1"/>
  <c r="AF11" i="46"/>
  <c r="AF13" i="46" s="1"/>
  <c r="Y11" i="46"/>
  <c r="Y13" i="46" s="1"/>
  <c r="AG11" i="46"/>
  <c r="AG13" i="46" s="1"/>
  <c r="AC11" i="46"/>
  <c r="AC13" i="46" s="1"/>
  <c r="N101" i="46"/>
  <c r="K101" i="46"/>
  <c r="Z7" i="46"/>
  <c r="M101" i="46"/>
  <c r="I101" i="46"/>
  <c r="J101" i="46"/>
  <c r="G101" i="46"/>
  <c r="E22" i="46"/>
  <c r="E101" i="46"/>
  <c r="F101" i="46"/>
  <c r="G22" i="46"/>
  <c r="D101" i="46"/>
  <c r="AB11" i="46"/>
  <c r="AB13" i="46" s="1"/>
  <c r="AI11" i="46"/>
  <c r="AI13" i="46" s="1"/>
  <c r="AA11" i="46"/>
  <c r="AA13" i="46" s="1"/>
  <c r="AH11" i="46"/>
  <c r="AH13" i="46" s="1"/>
  <c r="AD11" i="46"/>
  <c r="AD13" i="46" s="1"/>
  <c r="Z11" i="46"/>
  <c r="Z13" i="46" s="1"/>
  <c r="H101" i="46"/>
  <c r="L101" i="46"/>
  <c r="N104" i="45"/>
  <c r="F17" i="11"/>
  <c r="C17" i="11" s="1"/>
  <c r="B40" i="1"/>
  <c r="F11" i="15"/>
  <c r="F13" i="44"/>
  <c r="C12" i="44" s="1"/>
  <c r="M11" i="15"/>
  <c r="J10" i="15" s="1"/>
  <c r="M13" i="44"/>
  <c r="J12" i="44" s="1"/>
  <c r="P17" i="46"/>
  <c r="N17" i="46"/>
  <c r="O17" i="46"/>
  <c r="M17" i="46"/>
  <c r="L49" i="44"/>
  <c r="M25" i="44"/>
  <c r="F28" i="44"/>
  <c r="M8" i="44"/>
  <c r="M26" i="44"/>
  <c r="F38" i="44"/>
  <c r="F46" i="44"/>
  <c r="M30" i="44"/>
  <c r="F10" i="44"/>
  <c r="F11" i="44"/>
  <c r="F9" i="44"/>
  <c r="M24" i="44"/>
  <c r="M31" i="44"/>
  <c r="F40" i="44"/>
  <c r="M10" i="44"/>
  <c r="F18" i="44"/>
  <c r="F8" i="44"/>
  <c r="AE7" i="1"/>
  <c r="F41" i="15" s="1"/>
  <c r="M29" i="44"/>
  <c r="F45" i="44"/>
  <c r="F15" i="44"/>
  <c r="M11" i="44"/>
  <c r="C16" i="15"/>
  <c r="L48" i="44"/>
  <c r="F39" i="44"/>
  <c r="J17" i="44"/>
  <c r="M28" i="44"/>
  <c r="F43" i="44"/>
  <c r="J5" i="15" l="1"/>
  <c r="L60" i="44"/>
  <c r="L59" i="44"/>
  <c r="C29" i="44"/>
  <c r="Q73" i="44"/>
  <c r="M9" i="44"/>
  <c r="J8" i="44" s="1"/>
  <c r="J7" i="44" s="1"/>
  <c r="L57" i="44"/>
  <c r="J54" i="44"/>
  <c r="J61" i="44"/>
  <c r="Q50" i="44" s="1"/>
  <c r="J60" i="44"/>
  <c r="J58" i="44"/>
  <c r="J56" i="44" s="1"/>
  <c r="J59" i="44" s="1"/>
  <c r="Q52" i="44" s="1"/>
  <c r="I55" i="44"/>
  <c r="C8" i="44"/>
  <c r="C7" i="44" s="1"/>
  <c r="R50" i="34"/>
  <c r="E49" i="34"/>
  <c r="I53" i="34"/>
  <c r="J53" i="34" s="1"/>
  <c r="I54" i="34"/>
  <c r="J54" i="34" s="1"/>
  <c r="G40" i="36"/>
  <c r="H40" i="36" s="1"/>
  <c r="G41" i="36"/>
  <c r="H41" i="36" s="1"/>
  <c r="J72" i="39"/>
  <c r="K70" i="39"/>
  <c r="I40" i="36"/>
  <c r="J40" i="36" s="1"/>
  <c r="I41" i="36"/>
  <c r="J41" i="36" s="1"/>
  <c r="G46" i="37"/>
  <c r="H46" i="37" s="1"/>
  <c r="O49" i="59"/>
  <c r="O48" i="59"/>
  <c r="D49" i="59"/>
  <c r="D23" i="59"/>
  <c r="T23" i="59"/>
  <c r="D19" i="59"/>
  <c r="T19" i="59"/>
  <c r="D15" i="59"/>
  <c r="M20" i="46" s="1"/>
  <c r="C19" i="46" s="1"/>
  <c r="T15" i="59"/>
  <c r="C29" i="46"/>
  <c r="C30" i="46" s="1"/>
  <c r="E30" i="46" s="1"/>
  <c r="I42" i="35"/>
  <c r="J42" i="35" s="1"/>
  <c r="I43" i="35"/>
  <c r="J43" i="35" s="1"/>
  <c r="J67" i="40"/>
  <c r="K65" i="40"/>
  <c r="E36" i="36"/>
  <c r="R37" i="36"/>
  <c r="R43" i="37"/>
  <c r="E42" i="37"/>
  <c r="E38" i="35"/>
  <c r="R39" i="35"/>
  <c r="G42" i="35"/>
  <c r="H42" i="35" s="1"/>
  <c r="G43" i="35"/>
  <c r="H43" i="35" s="1"/>
  <c r="AC7" i="37"/>
  <c r="V42" i="37" s="1"/>
  <c r="I42" i="37" s="1"/>
  <c r="G47" i="37" s="1"/>
  <c r="H47" i="37" s="1"/>
  <c r="W7" i="37"/>
  <c r="G53" i="34"/>
  <c r="H53" i="34" s="1"/>
  <c r="G54" i="34"/>
  <c r="H54" i="34" s="1"/>
  <c r="Q61" i="15"/>
  <c r="F68" i="15"/>
  <c r="Q62" i="15"/>
  <c r="C48" i="15"/>
  <c r="Q53" i="15"/>
  <c r="AY6" i="3"/>
  <c r="E523" i="3"/>
  <c r="E284" i="3"/>
  <c r="E515" i="3"/>
  <c r="E133" i="3"/>
  <c r="E341" i="3"/>
  <c r="E338" i="3"/>
  <c r="E286" i="3"/>
  <c r="E62" i="3"/>
  <c r="E277" i="3"/>
  <c r="E504" i="3"/>
  <c r="E529" i="3"/>
  <c r="E13" i="3"/>
  <c r="E544" i="3"/>
  <c r="E542" i="3"/>
  <c r="E518" i="3"/>
  <c r="E181" i="3"/>
  <c r="E320" i="3"/>
  <c r="E525" i="3"/>
  <c r="E449" i="3"/>
  <c r="E301" i="3"/>
  <c r="E351" i="3"/>
  <c r="E281" i="3"/>
  <c r="E317" i="3"/>
  <c r="E3" i="6"/>
  <c r="L38" i="9" s="1"/>
  <c r="B14" i="66" s="1"/>
  <c r="E557" i="3"/>
  <c r="E541" i="3"/>
  <c r="E316" i="3"/>
  <c r="E254" i="3"/>
  <c r="E494" i="3"/>
  <c r="E167" i="3"/>
  <c r="E562" i="3"/>
  <c r="E269" i="3"/>
  <c r="E42" i="3"/>
  <c r="E45" i="3"/>
  <c r="E183" i="3"/>
  <c r="E489" i="3"/>
  <c r="E176" i="3"/>
  <c r="E416" i="3"/>
  <c r="E289" i="3"/>
  <c r="E356" i="3"/>
  <c r="E244" i="3"/>
  <c r="E368" i="3"/>
  <c r="E35" i="3"/>
  <c r="E508" i="3"/>
  <c r="E258" i="3"/>
  <c r="E279" i="3"/>
  <c r="E533" i="3"/>
  <c r="E503" i="3"/>
  <c r="E380" i="3"/>
  <c r="E565" i="3"/>
  <c r="E318" i="3"/>
  <c r="E175" i="3"/>
  <c r="E268" i="3"/>
  <c r="E112" i="3"/>
  <c r="E563" i="3"/>
  <c r="E273" i="3"/>
  <c r="E553" i="3"/>
  <c r="E566" i="3"/>
  <c r="E497" i="3"/>
  <c r="E571" i="3"/>
  <c r="E506" i="3"/>
  <c r="E219" i="3"/>
  <c r="E144" i="3"/>
  <c r="T6" i="3"/>
  <c r="E360" i="3"/>
  <c r="E373" i="3"/>
  <c r="E392" i="3"/>
  <c r="E216" i="3"/>
  <c r="E396" i="3"/>
  <c r="E325" i="3"/>
  <c r="E334" i="3"/>
  <c r="E554" i="3"/>
  <c r="E458" i="3"/>
  <c r="E160" i="3"/>
  <c r="E259" i="3"/>
  <c r="E166" i="3"/>
  <c r="E28" i="3"/>
  <c r="E427" i="3"/>
  <c r="E484" i="3"/>
  <c r="E137" i="3"/>
  <c r="E406" i="3"/>
  <c r="E510" i="3"/>
  <c r="AL6" i="3"/>
  <c r="E267" i="3"/>
  <c r="E19" i="3"/>
  <c r="E108" i="3"/>
  <c r="E24" i="3"/>
  <c r="Y6" i="3"/>
  <c r="E438" i="3"/>
  <c r="E197" i="3"/>
  <c r="E139" i="3"/>
  <c r="E283" i="3"/>
  <c r="E262" i="3"/>
  <c r="E346" i="3"/>
  <c r="E252" i="3"/>
  <c r="E155" i="3"/>
  <c r="E519"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569" i="3"/>
  <c r="E353" i="3"/>
  <c r="E456" i="3"/>
  <c r="K6" i="3"/>
  <c r="E319" i="3"/>
  <c r="E491" i="3"/>
  <c r="E256" i="3"/>
  <c r="E29" i="3"/>
  <c r="E87" i="3"/>
  <c r="E242" i="3"/>
  <c r="E96" i="3"/>
  <c r="E308" i="3"/>
  <c r="E196" i="3"/>
  <c r="E204" i="3"/>
  <c r="E425" i="3"/>
  <c r="E97" i="3"/>
  <c r="E441" i="3"/>
  <c r="E83" i="3"/>
  <c r="E481" i="3"/>
  <c r="E326" i="3"/>
  <c r="E382" i="3"/>
  <c r="E240" i="3"/>
  <c r="E71" i="3"/>
  <c r="E488" i="3"/>
  <c r="E227" i="3"/>
  <c r="E516" i="3"/>
  <c r="E572" i="3"/>
  <c r="E522" i="3"/>
  <c r="E342" i="3"/>
  <c r="E312" i="3"/>
  <c r="E182" i="3"/>
  <c r="E212" i="3"/>
  <c r="E524" i="3"/>
  <c r="E81" i="3"/>
  <c r="E493" i="3"/>
  <c r="E271" i="3"/>
  <c r="AF6" i="3"/>
  <c r="E51" i="3"/>
  <c r="E126" i="3"/>
  <c r="E401" i="3"/>
  <c r="E200" i="3"/>
  <c r="E61" i="3"/>
  <c r="E400" i="3"/>
  <c r="E527" i="3"/>
  <c r="E550" i="3"/>
  <c r="Z6" i="3"/>
  <c r="E467" i="3"/>
  <c r="E119" i="3"/>
  <c r="E161" i="3"/>
  <c r="E89" i="3"/>
  <c r="E30" i="3"/>
  <c r="E502" i="3"/>
  <c r="E324" i="3"/>
  <c r="E314" i="3"/>
  <c r="E228" i="3"/>
  <c r="E150" i="3"/>
  <c r="E559" i="3"/>
  <c r="E128" i="3"/>
  <c r="E234" i="3"/>
  <c r="E239" i="3"/>
  <c r="AI6" i="3"/>
  <c r="E134" i="3"/>
  <c r="E540" i="3"/>
  <c r="E477" i="3"/>
  <c r="E526" i="3"/>
  <c r="E370" i="3"/>
  <c r="E276" i="3"/>
  <c r="E43" i="3"/>
  <c r="E207" i="3"/>
  <c r="O6" i="3"/>
  <c r="E257" i="3"/>
  <c r="E113" i="3"/>
  <c r="AE6" i="3"/>
  <c r="E168" i="3"/>
  <c r="E415" i="3"/>
  <c r="E230" i="3"/>
  <c r="E430" i="3"/>
  <c r="E94" i="3"/>
  <c r="E535" i="3"/>
  <c r="E564" i="3"/>
  <c r="E20" i="3"/>
  <c r="E509" i="3"/>
  <c r="E358" i="3"/>
  <c r="E18" i="3"/>
  <c r="E377" i="3"/>
  <c r="E17" i="3"/>
  <c r="E511" i="3"/>
  <c r="E322" i="3"/>
  <c r="S6" i="3"/>
  <c r="E26" i="3"/>
  <c r="AB6" i="3"/>
  <c r="E329" i="3"/>
  <c r="E487" i="3"/>
  <c r="E567" i="3"/>
  <c r="E310" i="3"/>
  <c r="E371" i="3"/>
  <c r="E384" i="3"/>
  <c r="E512" i="3"/>
  <c r="E501" i="3"/>
  <c r="E514" i="3"/>
  <c r="E159" i="3"/>
  <c r="E323" i="3"/>
  <c r="E315" i="3"/>
  <c r="E361" i="3"/>
  <c r="E298" i="3"/>
  <c r="E498" i="3"/>
  <c r="E95" i="3"/>
  <c r="E385" i="3"/>
  <c r="E16" i="3"/>
  <c r="E246" i="3"/>
  <c r="E551" i="3"/>
  <c r="E180" i="3"/>
  <c r="E306" i="3"/>
  <c r="E188" i="3"/>
  <c r="E40" i="3"/>
  <c r="E290" i="3"/>
  <c r="E198" i="3"/>
  <c r="E466" i="3"/>
  <c r="E211" i="3"/>
  <c r="E73" i="3"/>
  <c r="E102" i="3"/>
  <c r="E363" i="3"/>
  <c r="E80" i="3"/>
  <c r="E300" i="3"/>
  <c r="E433" i="3"/>
  <c r="E285" i="3"/>
  <c r="E58" i="3"/>
  <c r="E347" i="3"/>
  <c r="E145" i="3"/>
  <c r="E556" i="3"/>
  <c r="E85" i="3"/>
  <c r="E34" i="3"/>
  <c r="E223" i="3"/>
  <c r="E104" i="3"/>
  <c r="E214" i="3"/>
  <c r="E303" i="3"/>
  <c r="E422" i="3"/>
  <c r="E547" i="3"/>
  <c r="E337" i="3"/>
  <c r="E435" i="3"/>
  <c r="E117" i="3"/>
  <c r="E536" i="3"/>
  <c r="E91" i="3"/>
  <c r="E437" i="3"/>
  <c r="E457" i="3"/>
  <c r="E225" i="3"/>
  <c r="E127" i="3"/>
  <c r="E349" i="3"/>
  <c r="E147" i="3"/>
  <c r="E468" i="3"/>
  <c r="E199" i="3"/>
  <c r="E395" i="3"/>
  <c r="E424" i="3"/>
  <c r="E274" i="3"/>
  <c r="E33" i="3"/>
  <c r="E98" i="3"/>
  <c r="E398" i="3"/>
  <c r="E37" i="3"/>
  <c r="AT6" i="3"/>
  <c r="E67" i="3"/>
  <c r="E486" i="3"/>
  <c r="E49" i="3"/>
  <c r="E388" i="3"/>
  <c r="E520" i="3"/>
  <c r="E399" i="3"/>
  <c r="E179" i="3"/>
  <c r="E407" i="3"/>
  <c r="E136" i="3"/>
  <c r="E332" i="3"/>
  <c r="E445" i="3"/>
  <c r="E291" i="3"/>
  <c r="E88" i="3"/>
  <c r="E480" i="3"/>
  <c r="E220" i="3"/>
  <c r="E517" i="3"/>
  <c r="E453" i="3"/>
  <c r="AQ6" i="3"/>
  <c r="E162" i="3"/>
  <c r="E235" i="3"/>
  <c r="E229" i="3"/>
  <c r="E120" i="3"/>
  <c r="E191" i="3"/>
  <c r="E278" i="3"/>
  <c r="E143" i="3"/>
  <c r="E48" i="3"/>
  <c r="E455" i="3"/>
  <c r="E79" i="3"/>
  <c r="E272" i="3"/>
  <c r="E25" i="3"/>
  <c r="E479" i="3"/>
  <c r="E365" i="3"/>
  <c r="E248" i="3"/>
  <c r="E336" i="3"/>
  <c r="AR6" i="3"/>
  <c r="E65" i="3"/>
  <c r="E513" i="3"/>
  <c r="E345" i="3"/>
  <c r="E72" i="3"/>
  <c r="E440" i="3"/>
  <c r="E331" i="3"/>
  <c r="E362"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471" i="3"/>
  <c r="E100" i="3"/>
  <c r="I6" i="3"/>
  <c r="E21" i="3"/>
  <c r="M6" i="3"/>
  <c r="E44" i="3"/>
  <c r="E391" i="3"/>
  <c r="E421" i="3"/>
  <c r="E545" i="3"/>
  <c r="E460" i="3"/>
  <c r="E418" i="3"/>
  <c r="E295" i="3"/>
  <c r="E528" i="3"/>
  <c r="E439" i="3"/>
  <c r="E68" i="3"/>
  <c r="E185" i="3"/>
  <c r="E142" i="3"/>
  <c r="E423" i="3"/>
  <c r="AD6" i="3"/>
  <c r="E270" i="3"/>
  <c r="E265" i="3"/>
  <c r="E492" i="3"/>
  <c r="E77" i="3"/>
  <c r="E101" i="3"/>
  <c r="E32" i="3"/>
  <c r="E447" i="3"/>
  <c r="Q6" i="3"/>
  <c r="E500" i="3"/>
  <c r="E473" i="3"/>
  <c r="N6" i="3"/>
  <c r="E232" i="3"/>
  <c r="E189" i="3"/>
  <c r="E507" i="3"/>
  <c r="E275" i="3"/>
  <c r="L6" i="3"/>
  <c r="E429" i="3"/>
  <c r="E116" i="3"/>
  <c r="E372" i="3"/>
  <c r="E417" i="3"/>
  <c r="E156" i="3"/>
  <c r="E193" i="3"/>
  <c r="E124" i="3"/>
  <c r="E548" i="3"/>
  <c r="E454" i="3"/>
  <c r="AK6" i="3"/>
  <c r="E205" i="3"/>
  <c r="E478" i="3"/>
  <c r="E357" i="3"/>
  <c r="AS6" i="3"/>
  <c r="E444" i="3"/>
  <c r="E383" i="3"/>
  <c r="E247" i="3"/>
  <c r="E568" i="3"/>
  <c r="E539" i="3"/>
  <c r="E245" i="3"/>
  <c r="E52" i="3"/>
  <c r="E451" i="3"/>
  <c r="U6" i="3"/>
  <c r="E305" i="3"/>
  <c r="E465" i="3"/>
  <c r="E543" i="3"/>
  <c r="E154" i="3"/>
  <c r="E264" i="3"/>
  <c r="E243" i="3"/>
  <c r="E369" i="3"/>
  <c r="E309" i="3"/>
  <c r="V6" i="3"/>
  <c r="E448" i="3"/>
  <c r="E105" i="3"/>
  <c r="E74" i="3"/>
  <c r="AG6" i="3"/>
  <c r="E121" i="3"/>
  <c r="E505" i="3"/>
  <c r="E224" i="3"/>
  <c r="E419" i="3"/>
  <c r="E123" i="3"/>
  <c r="E302" i="3"/>
  <c r="E66" i="3"/>
  <c r="E386" i="3"/>
  <c r="E76" i="3"/>
  <c r="E287" i="3"/>
  <c r="E381" i="3"/>
  <c r="E222" i="3"/>
  <c r="E389" i="3"/>
  <c r="E367" i="3"/>
  <c r="E141" i="3"/>
  <c r="E393" i="3"/>
  <c r="E255" i="3"/>
  <c r="E288" i="3"/>
  <c r="E172" i="3"/>
  <c r="E107" i="3"/>
  <c r="E402" i="3"/>
  <c r="E39" i="3"/>
  <c r="E203" i="3"/>
  <c r="E261" i="3"/>
  <c r="E233" i="3"/>
  <c r="E111" i="3"/>
  <c r="E420" i="3"/>
  <c r="E560" i="3"/>
  <c r="E190" i="3"/>
  <c r="E293" i="3"/>
  <c r="W6" i="3"/>
  <c r="E469" i="3"/>
  <c r="E405" i="3"/>
  <c r="E412" i="3"/>
  <c r="E53" i="3"/>
  <c r="E27" i="3"/>
  <c r="J6" i="3"/>
  <c r="E178" i="3"/>
  <c r="E75" i="3"/>
  <c r="E60" i="3"/>
  <c r="E426" i="3"/>
  <c r="E292" i="3"/>
  <c r="E463" i="3"/>
  <c r="E57" i="3"/>
  <c r="E552" i="3"/>
  <c r="E434" i="3"/>
  <c r="E146" i="3"/>
  <c r="E311" i="3"/>
  <c r="E158" i="3"/>
  <c r="AM6" i="3"/>
  <c r="E23" i="3"/>
  <c r="E280" i="3"/>
  <c r="E157" i="3"/>
  <c r="E534" i="3"/>
  <c r="E327" i="3"/>
  <c r="E54" i="3"/>
  <c r="E452" i="3"/>
  <c r="E343" i="3"/>
  <c r="E410" i="3"/>
  <c r="E109" i="3"/>
  <c r="E148" i="3"/>
  <c r="E86" i="3"/>
  <c r="E135" i="3"/>
  <c r="E22" i="3"/>
  <c r="E459" i="3"/>
  <c r="E231" i="3"/>
  <c r="E470" i="3"/>
  <c r="E149" i="3"/>
  <c r="E249" i="3"/>
  <c r="E411" i="3"/>
  <c r="E414" i="3"/>
  <c r="E549" i="3"/>
  <c r="I3" i="6"/>
  <c r="E462" i="3"/>
  <c r="E482" i="3"/>
  <c r="AO6" i="3"/>
  <c r="E132" i="3"/>
  <c r="E359" i="3"/>
  <c r="E187" i="3"/>
  <c r="E250" i="3"/>
  <c r="E165" i="3"/>
  <c r="E110" i="3"/>
  <c r="E152" i="3"/>
  <c r="E387" i="3"/>
  <c r="E221" i="3"/>
  <c r="E442" i="3"/>
  <c r="E294" i="3"/>
  <c r="E63" i="3"/>
  <c r="E297" i="3"/>
  <c r="E472" i="3"/>
  <c r="E490" i="3"/>
  <c r="E241" i="3"/>
  <c r="E31" i="3"/>
  <c r="E238" i="3"/>
  <c r="E374" i="3"/>
  <c r="E129" i="3"/>
  <c r="E446" i="3"/>
  <c r="E376" i="3"/>
  <c r="R6" i="3"/>
  <c r="X6" i="3"/>
  <c r="E46" i="3"/>
  <c r="E69" i="3"/>
  <c r="E174" i="3"/>
  <c r="E218" i="3"/>
  <c r="E404" i="3"/>
  <c r="E266" i="3"/>
  <c r="E408" i="3"/>
  <c r="E537" i="3"/>
  <c r="E253" i="3"/>
  <c r="E321" i="3"/>
  <c r="E195" i="3"/>
  <c r="E115" i="3"/>
  <c r="E333" i="3"/>
  <c r="E206" i="3"/>
  <c r="E475" i="3"/>
  <c r="E184" i="3"/>
  <c r="E47" i="3"/>
  <c r="E397" i="3"/>
  <c r="E213" i="3"/>
  <c r="E170" i="3"/>
  <c r="E201" i="3"/>
  <c r="E215" i="3"/>
  <c r="E202" i="3"/>
  <c r="E92" i="3"/>
  <c r="E41" i="3"/>
  <c r="E428" i="3"/>
  <c r="E304" i="3"/>
  <c r="E237" i="3"/>
  <c r="E131" i="3"/>
  <c r="E36" i="3"/>
  <c r="E409" i="3"/>
  <c r="E375" i="3"/>
  <c r="E570" i="3"/>
  <c r="E282" i="3"/>
  <c r="E55" i="3"/>
  <c r="E394" i="3"/>
  <c r="E93" i="3"/>
  <c r="E348" i="3"/>
  <c r="E114" i="3"/>
  <c r="E192" i="3"/>
  <c r="E476" i="3"/>
  <c r="E313" i="3"/>
  <c r="E151" i="3"/>
  <c r="E38" i="3"/>
  <c r="E70" i="3"/>
  <c r="E431" i="3"/>
  <c r="AP6" i="3"/>
  <c r="E84" i="3"/>
  <c r="P6" i="3"/>
  <c r="E140" i="3"/>
  <c r="AH6" i="3"/>
  <c r="E64" i="3"/>
  <c r="E125" i="3"/>
  <c r="E103" i="3"/>
  <c r="E299" i="3"/>
  <c r="AA6" i="3"/>
  <c r="E450" i="3"/>
  <c r="E209" i="3"/>
  <c r="E464" i="3"/>
  <c r="E59" i="3"/>
  <c r="AN6" i="3"/>
  <c r="E561" i="3"/>
  <c r="E443" i="3"/>
  <c r="E194" i="3"/>
  <c r="E78" i="3"/>
  <c r="E390" i="3"/>
  <c r="E296" i="3"/>
  <c r="E186" i="3"/>
  <c r="E263" i="3"/>
  <c r="E82" i="3"/>
  <c r="E164" i="3"/>
  <c r="E99" i="3"/>
  <c r="D46" i="9"/>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530" i="3"/>
  <c r="AY87" i="3"/>
  <c r="AY97" i="3"/>
  <c r="AY109" i="3"/>
  <c r="AY198" i="3"/>
  <c r="AY142" i="3"/>
  <c r="AY77" i="3"/>
  <c r="AY34" i="3"/>
  <c r="AY158" i="3"/>
  <c r="AY218" i="3"/>
  <c r="AY290" i="3"/>
  <c r="AY309" i="3"/>
  <c r="AY443" i="3"/>
  <c r="AY392" i="3"/>
  <c r="AY46" i="3"/>
  <c r="AY176" i="3"/>
  <c r="AY219" i="3"/>
  <c r="AY356"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AY69" i="3"/>
  <c r="AY26" i="3"/>
  <c r="AY529" i="3"/>
  <c r="AY145" i="3"/>
  <c r="AY248" i="3"/>
  <c r="AY472" i="3"/>
  <c r="AY96" i="3"/>
  <c r="AY233"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480" i="3"/>
  <c r="AY174"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9" i="3"/>
  <c r="AY88" i="3"/>
  <c r="AY129" i="3"/>
  <c r="AY104" i="3"/>
  <c r="AY259" i="3"/>
  <c r="AY368" i="3"/>
  <c r="AY409" i="3"/>
  <c r="AY171" i="3"/>
  <c r="AY365"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08" i="3"/>
  <c r="AY78" i="3"/>
  <c r="AY299"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L102" i="46"/>
  <c r="L105" i="46"/>
  <c r="L104" i="46"/>
  <c r="L106" i="46"/>
  <c r="L107" i="46"/>
  <c r="L109" i="46"/>
  <c r="L103" i="46"/>
  <c r="E102" i="46"/>
  <c r="E104" i="46"/>
  <c r="E106" i="46"/>
  <c r="E103" i="46"/>
  <c r="E105" i="46"/>
  <c r="E107" i="46"/>
  <c r="E109" i="46"/>
  <c r="G104" i="46"/>
  <c r="G103" i="46"/>
  <c r="G109" i="46"/>
  <c r="G105" i="46"/>
  <c r="G102" i="46"/>
  <c r="G107" i="46"/>
  <c r="G106" i="46"/>
  <c r="I102" i="46"/>
  <c r="I109" i="46"/>
  <c r="I107" i="46"/>
  <c r="I105" i="46"/>
  <c r="I104" i="46"/>
  <c r="I103" i="46"/>
  <c r="I106" i="46"/>
  <c r="N105" i="46"/>
  <c r="N102" i="46"/>
  <c r="N107" i="46"/>
  <c r="N109" i="46"/>
  <c r="N103" i="46"/>
  <c r="N106" i="46"/>
  <c r="N104" i="46"/>
  <c r="H102" i="46"/>
  <c r="H107" i="46"/>
  <c r="H103" i="46"/>
  <c r="H104" i="46"/>
  <c r="H105" i="46"/>
  <c r="H106" i="46"/>
  <c r="H109" i="46"/>
  <c r="D102" i="46"/>
  <c r="D104" i="46"/>
  <c r="D106" i="46"/>
  <c r="D103" i="46"/>
  <c r="D105" i="46"/>
  <c r="D107" i="46"/>
  <c r="D109" i="46"/>
  <c r="F102" i="46"/>
  <c r="F104" i="46"/>
  <c r="F106" i="46"/>
  <c r="F103" i="46"/>
  <c r="F105" i="46"/>
  <c r="F107" i="46"/>
  <c r="F109" i="46"/>
  <c r="D22" i="46"/>
  <c r="J107" i="46"/>
  <c r="J109" i="46"/>
  <c r="J102" i="46"/>
  <c r="J104" i="46"/>
  <c r="J103" i="46"/>
  <c r="J105" i="46"/>
  <c r="J106" i="46"/>
  <c r="M107" i="46"/>
  <c r="M102" i="46"/>
  <c r="M109" i="46"/>
  <c r="M106" i="46"/>
  <c r="M104" i="46"/>
  <c r="M103" i="46"/>
  <c r="M105" i="46"/>
  <c r="K107" i="46"/>
  <c r="K103" i="46"/>
  <c r="K109" i="46"/>
  <c r="K104" i="46"/>
  <c r="K105" i="46"/>
  <c r="K106" i="46"/>
  <c r="K102" i="46"/>
  <c r="C103" i="46"/>
  <c r="C105" i="46"/>
  <c r="C107" i="46"/>
  <c r="C109" i="46"/>
  <c r="C102" i="46"/>
  <c r="C104" i="46"/>
  <c r="C106" i="46"/>
  <c r="I116" i="46"/>
  <c r="J116" i="46" s="1"/>
  <c r="K116" i="46" s="1"/>
  <c r="L116" i="46" s="1"/>
  <c r="M116" i="46" s="1"/>
  <c r="G118" i="46"/>
  <c r="H118" i="46" s="1"/>
  <c r="I118" i="46"/>
  <c r="J118" i="46" s="1"/>
  <c r="K118" i="46" s="1"/>
  <c r="L118" i="46" s="1"/>
  <c r="M118" i="46"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5" i="46"/>
  <c r="J115" i="46" s="1"/>
  <c r="K115" i="46" s="1"/>
  <c r="L115" i="46" s="1"/>
  <c r="M115" i="46" s="1"/>
  <c r="I117" i="46"/>
  <c r="J117" i="46" s="1"/>
  <c r="K117" i="46" s="1"/>
  <c r="L117" i="46" s="1"/>
  <c r="M117" i="46" s="1"/>
  <c r="J18" i="15"/>
  <c r="J26" i="15"/>
  <c r="J29" i="15" s="1"/>
  <c r="J24" i="15"/>
  <c r="C10" i="15"/>
  <c r="C5" i="15" s="1"/>
  <c r="C52" i="15"/>
  <c r="F21" i="43"/>
  <c r="F26" i="44"/>
  <c r="C26" i="44" s="1"/>
  <c r="F24" i="15"/>
  <c r="C24" i="15" s="1"/>
  <c r="F26" i="12"/>
  <c r="C18" i="44"/>
  <c r="L47" i="44" l="1"/>
  <c r="C47" i="15"/>
  <c r="C59" i="15" s="1"/>
  <c r="C34" i="44"/>
  <c r="C40" i="44"/>
  <c r="E29" i="46"/>
  <c r="J28" i="44"/>
  <c r="J31" i="44" s="1"/>
  <c r="Q67" i="44" s="1"/>
  <c r="J20" i="44"/>
  <c r="J26" i="44"/>
  <c r="E43" i="35"/>
  <c r="F43" i="35" s="1"/>
  <c r="E42" i="35"/>
  <c r="F42" i="35" s="1"/>
  <c r="C43" i="37"/>
  <c r="B3" i="37" s="1"/>
  <c r="B2" i="37" s="1"/>
  <c r="C42" i="37"/>
  <c r="E40" i="36"/>
  <c r="F40" i="36" s="1"/>
  <c r="E41" i="36"/>
  <c r="F41" i="36" s="1"/>
  <c r="C50" i="34"/>
  <c r="B3" i="34" s="1"/>
  <c r="B2" i="34" s="1"/>
  <c r="C49" i="34"/>
  <c r="Q75" i="44"/>
  <c r="Q62" i="44"/>
  <c r="I47" i="37"/>
  <c r="J47" i="37" s="1"/>
  <c r="I46" i="37"/>
  <c r="J46" i="37" s="1"/>
  <c r="C38" i="35"/>
  <c r="C39" i="35"/>
  <c r="B3" i="35" s="1"/>
  <c r="B2" i="35" s="1"/>
  <c r="E47" i="37"/>
  <c r="F47" i="37" s="1"/>
  <c r="E46" i="37"/>
  <c r="F46" i="37" s="1"/>
  <c r="C37" i="36"/>
  <c r="B3" i="36" s="1"/>
  <c r="B2" i="36" s="1"/>
  <c r="C36" i="36"/>
  <c r="L65" i="40"/>
  <c r="K67" i="40"/>
  <c r="C35" i="46"/>
  <c r="C36" i="46"/>
  <c r="C33" i="46"/>
  <c r="C34" i="46"/>
  <c r="C39" i="46"/>
  <c r="T14" i="46"/>
  <c r="V14" i="46" s="1"/>
  <c r="T13" i="46"/>
  <c r="V13" i="46" s="1"/>
  <c r="C37" i="46"/>
  <c r="T16" i="46"/>
  <c r="V16" i="46" s="1"/>
  <c r="T15" i="46"/>
  <c r="V15" i="46" s="1"/>
  <c r="T8" i="46"/>
  <c r="V8" i="46" s="1"/>
  <c r="T10" i="46"/>
  <c r="V10" i="46" s="1"/>
  <c r="T9" i="46"/>
  <c r="V9" i="46" s="1"/>
  <c r="C38" i="46"/>
  <c r="T12" i="46"/>
  <c r="V12" i="46" s="1"/>
  <c r="T11" i="46"/>
  <c r="V11" i="46" s="1"/>
  <c r="L70" i="39"/>
  <c r="K72" i="39"/>
  <c r="E54" i="34"/>
  <c r="F54" i="34" s="1"/>
  <c r="E53" i="34"/>
  <c r="F53" i="34" s="1"/>
  <c r="Q54" i="44"/>
  <c r="F1" i="44"/>
  <c r="Q63" i="44"/>
  <c r="Q76" i="44"/>
  <c r="H6" i="3"/>
  <c r="D16" i="43"/>
  <c r="C16" i="43" s="1"/>
  <c r="D10" i="11"/>
  <c r="D16" i="12"/>
  <c r="D19" i="12" s="1"/>
  <c r="C19" i="12" s="1"/>
  <c r="C21" i="4"/>
  <c r="O5" i="54" s="1"/>
  <c r="B45" i="63" s="1"/>
  <c r="E6" i="6"/>
  <c r="D6" i="6" s="1"/>
  <c r="AC6" i="3"/>
  <c r="E19" i="6"/>
  <c r="D3" i="21" s="1"/>
  <c r="F27" i="6"/>
  <c r="F31" i="6" s="1"/>
  <c r="D24" i="6"/>
  <c r="D26" i="6"/>
  <c r="D22" i="6"/>
  <c r="D11" i="6"/>
  <c r="D12" i="6"/>
  <c r="D9" i="6"/>
  <c r="D5" i="6"/>
  <c r="D29" i="6"/>
  <c r="F46" i="9"/>
  <c r="E46" i="9"/>
  <c r="E63" i="40"/>
  <c r="C22" i="4"/>
  <c r="D21" i="6"/>
  <c r="D25" i="6"/>
  <c r="D10" i="6"/>
  <c r="D13" i="6"/>
  <c r="D23" i="6"/>
  <c r="D14" i="6"/>
  <c r="D28" i="6"/>
  <c r="D20" i="6"/>
  <c r="D8" i="6"/>
  <c r="D15" i="6"/>
  <c r="K38" i="9"/>
  <c r="C14" i="66" s="1"/>
  <c r="C40" i="39"/>
  <c r="S6" i="46"/>
  <c r="T6" i="46" s="1"/>
  <c r="V6" i="46" s="1"/>
  <c r="S2" i="46"/>
  <c r="T2" i="46" s="1"/>
  <c r="V2" i="46" s="1"/>
  <c r="S5" i="46"/>
  <c r="T5" i="46" s="1"/>
  <c r="V5" i="46" s="1"/>
  <c r="S7" i="46"/>
  <c r="T7" i="46" s="1"/>
  <c r="V7" i="46" s="1"/>
  <c r="S4" i="46"/>
  <c r="T4" i="46" s="1"/>
  <c r="V4" i="46" s="1"/>
  <c r="S3" i="46"/>
  <c r="T3" i="46" s="1"/>
  <c r="V3" i="46" s="1"/>
  <c r="C115" i="46"/>
  <c r="D113" i="46" s="1"/>
  <c r="J22" i="46" s="1"/>
  <c r="C23" i="43"/>
  <c r="D21" i="43" s="1"/>
  <c r="C27" i="12"/>
  <c r="D26" i="12" s="1"/>
  <c r="C32" i="12" s="1"/>
  <c r="D30" i="12" s="1"/>
  <c r="C32" i="15"/>
  <c r="C38" i="15"/>
  <c r="L52" i="44"/>
  <c r="Q49" i="44" l="1"/>
  <c r="Q55" i="44" s="1"/>
  <c r="C65" i="15"/>
  <c r="Q58" i="44"/>
  <c r="Q69" i="44"/>
  <c r="L58" i="44"/>
  <c r="L61" i="44" s="1"/>
  <c r="Q68" i="44" s="1"/>
  <c r="Q77" i="44" s="1"/>
  <c r="E38" i="46"/>
  <c r="G38" i="46"/>
  <c r="I38" i="46" s="1"/>
  <c r="E37" i="46"/>
  <c r="G37" i="46"/>
  <c r="I37" i="46" s="1"/>
  <c r="G34" i="46"/>
  <c r="I34" i="46" s="1"/>
  <c r="E34" i="46"/>
  <c r="G36" i="46"/>
  <c r="I36" i="46" s="1"/>
  <c r="E36" i="46"/>
  <c r="M70" i="39"/>
  <c r="L72" i="39"/>
  <c r="E39" i="46"/>
  <c r="G39" i="46"/>
  <c r="I39" i="46" s="1"/>
  <c r="E33" i="46"/>
  <c r="G33" i="46"/>
  <c r="I33" i="46" s="1"/>
  <c r="C27" i="46" s="1"/>
  <c r="E35" i="46"/>
  <c r="G35" i="46"/>
  <c r="I35" i="46" s="1"/>
  <c r="L67" i="40"/>
  <c r="M65" i="40"/>
  <c r="D22" i="12"/>
  <c r="C22" i="12" s="1"/>
  <c r="C20" i="12" s="1"/>
  <c r="E6" i="3"/>
  <c r="D30" i="6"/>
  <c r="C16" i="12"/>
  <c r="D13" i="11"/>
  <c r="C13" i="11" s="1"/>
  <c r="D16" i="6"/>
  <c r="E32" i="6"/>
  <c r="L19" i="6" s="1"/>
  <c r="L27" i="6" s="1"/>
  <c r="E27" i="6"/>
  <c r="C9" i="12"/>
  <c r="K6" i="1"/>
  <c r="D19" i="6"/>
  <c r="D27" i="6" s="1"/>
  <c r="D31" i="6" s="1"/>
  <c r="I6" i="6" s="1"/>
  <c r="C13" i="39" s="1"/>
  <c r="A20" i="64"/>
  <c r="A20" i="51"/>
  <c r="B15" i="63" s="1"/>
  <c r="A6" i="51"/>
  <c r="B7" i="63" s="1"/>
  <c r="A6" i="64"/>
  <c r="N5" i="54"/>
  <c r="B43" i="63" s="1"/>
  <c r="F40" i="39"/>
  <c r="J40" i="39"/>
  <c r="H40" i="39"/>
  <c r="F7" i="67"/>
  <c r="Q59" i="44" l="1"/>
  <c r="Q64" i="44" s="1"/>
  <c r="E4" i="67"/>
  <c r="N65" i="40"/>
  <c r="N67" i="40" s="1"/>
  <c r="F9" i="40" s="1"/>
  <c r="M67" i="40"/>
  <c r="J9" i="40" s="1"/>
  <c r="C26" i="46"/>
  <c r="N70" i="39"/>
  <c r="N72" i="39" s="1"/>
  <c r="M72" i="39"/>
  <c r="H9" i="40"/>
  <c r="H9" i="39"/>
  <c r="C11" i="21"/>
  <c r="H13" i="39"/>
  <c r="J13" i="39"/>
  <c r="F13" i="39"/>
  <c r="H16" i="1"/>
  <c r="K16" i="1"/>
  <c r="G16" i="1"/>
  <c r="M6" i="1"/>
  <c r="Q16" i="1"/>
  <c r="AP16" i="1"/>
  <c r="F22" i="11" s="1"/>
  <c r="K19" i="6"/>
  <c r="K24" i="6"/>
  <c r="M24" i="6" s="1"/>
  <c r="I24" i="6" s="1"/>
  <c r="K23" i="6"/>
  <c r="M23" i="6" s="1"/>
  <c r="I23" i="6" s="1"/>
  <c r="K21" i="6"/>
  <c r="M21" i="6" s="1"/>
  <c r="I21" i="6" s="1"/>
  <c r="E31" i="6"/>
  <c r="I5" i="6" s="1"/>
  <c r="K26" i="6"/>
  <c r="M26" i="6" s="1"/>
  <c r="I26" i="6" s="1"/>
  <c r="K22" i="6"/>
  <c r="M22" i="6" s="1"/>
  <c r="I22" i="6" s="1"/>
  <c r="K25" i="6"/>
  <c r="M25" i="6" s="1"/>
  <c r="I25" i="6" s="1"/>
  <c r="K20" i="6"/>
  <c r="U40" i="39"/>
  <c r="AB40" i="39"/>
  <c r="S40" i="39"/>
  <c r="AA40" i="39"/>
  <c r="AC40" i="39"/>
  <c r="W40" i="39"/>
  <c r="E7" i="67"/>
  <c r="E3" i="67" l="1"/>
  <c r="AC9" i="40"/>
  <c r="V44" i="40" s="1"/>
  <c r="I44" i="40" s="1"/>
  <c r="W9" i="40"/>
  <c r="AB9" i="40"/>
  <c r="T44" i="40" s="1"/>
  <c r="G44" i="40" s="1"/>
  <c r="U9" i="40"/>
  <c r="F9" i="39"/>
  <c r="J9" i="39"/>
  <c r="U9" i="39"/>
  <c r="AB9" i="39"/>
  <c r="B2" i="46"/>
  <c r="AA9" i="40"/>
  <c r="R44" i="40" s="1"/>
  <c r="S9" i="40"/>
  <c r="M20" i="6"/>
  <c r="I20" i="6" s="1"/>
  <c r="H20" i="6" s="1"/>
  <c r="R20" i="6" s="1"/>
  <c r="R7" i="1" s="1"/>
  <c r="S7" i="1"/>
  <c r="S13" i="39"/>
  <c r="AA13" i="39"/>
  <c r="AB13" i="39"/>
  <c r="U13" i="39"/>
  <c r="W13" i="39"/>
  <c r="AC13" i="39"/>
  <c r="J11" i="21"/>
  <c r="H11" i="21"/>
  <c r="F11" i="21"/>
  <c r="S22" i="6"/>
  <c r="H22" i="6"/>
  <c r="R22" i="6" s="1"/>
  <c r="S25" i="6"/>
  <c r="H25" i="6"/>
  <c r="R25" i="6" s="1"/>
  <c r="S26" i="6"/>
  <c r="H26" i="6"/>
  <c r="R26" i="6" s="1"/>
  <c r="H21" i="6"/>
  <c r="R21" i="6" s="1"/>
  <c r="S21" i="6"/>
  <c r="H24" i="6"/>
  <c r="R24" i="6" s="1"/>
  <c r="S24" i="6"/>
  <c r="C15" i="43"/>
  <c r="O6" i="1"/>
  <c r="O16" i="1" s="1"/>
  <c r="M16" i="1"/>
  <c r="S23" i="6"/>
  <c r="H23" i="6"/>
  <c r="R23" i="6" s="1"/>
  <c r="S6" i="1"/>
  <c r="M19" i="6"/>
  <c r="K27" i="6"/>
  <c r="F18" i="11"/>
  <c r="C18" i="11" s="1"/>
  <c r="C19" i="11" s="1"/>
  <c r="C20" i="11" s="1"/>
  <c r="C21" i="11" s="1"/>
  <c r="C22" i="11" s="1"/>
  <c r="C23" i="11" s="1"/>
  <c r="B2" i="11" s="1"/>
  <c r="F33" i="12"/>
  <c r="C34" i="12" s="1"/>
  <c r="D33" i="12" s="1"/>
  <c r="F24" i="43"/>
  <c r="C26" i="43" s="1"/>
  <c r="D24" i="43" s="1"/>
  <c r="J12" i="40"/>
  <c r="F12" i="40"/>
  <c r="F12" i="39"/>
  <c r="H12" i="39"/>
  <c r="H12" i="40"/>
  <c r="J12" i="39"/>
  <c r="C19" i="44"/>
  <c r="F37" i="44"/>
  <c r="B7" i="67"/>
  <c r="M21" i="15"/>
  <c r="F35" i="15"/>
  <c r="M23" i="44"/>
  <c r="C17" i="15"/>
  <c r="B2" i="67" l="1"/>
  <c r="D4" i="46"/>
  <c r="B3" i="46"/>
  <c r="B4" i="46"/>
  <c r="AA9" i="39"/>
  <c r="S9" i="39"/>
  <c r="G48" i="40"/>
  <c r="H48" i="40" s="1"/>
  <c r="G49" i="40"/>
  <c r="H49" i="40" s="1"/>
  <c r="I48" i="40"/>
  <c r="J48" i="40" s="1"/>
  <c r="R45" i="40"/>
  <c r="E44" i="40"/>
  <c r="AC9" i="39"/>
  <c r="W9" i="39"/>
  <c r="S20" i="6"/>
  <c r="J22" i="44"/>
  <c r="C36" i="44"/>
  <c r="C34" i="15"/>
  <c r="F62" i="15"/>
  <c r="C61" i="15" s="1"/>
  <c r="J20" i="15"/>
  <c r="S16" i="1"/>
  <c r="T10" i="1" s="1"/>
  <c r="P6" i="1"/>
  <c r="P16" i="1" s="1"/>
  <c r="C13" i="12" s="1"/>
  <c r="AB11" i="21"/>
  <c r="T48" i="21" s="1"/>
  <c r="G48" i="21" s="1"/>
  <c r="U11" i="21"/>
  <c r="AA11" i="21"/>
  <c r="R48" i="21" s="1"/>
  <c r="S11" i="21"/>
  <c r="AC11" i="21"/>
  <c r="V48" i="21" s="1"/>
  <c r="I48" i="21" s="1"/>
  <c r="W11" i="21"/>
  <c r="AB12" i="40"/>
  <c r="U12" i="40"/>
  <c r="S12" i="39"/>
  <c r="AA12" i="39"/>
  <c r="AC12" i="40"/>
  <c r="W12" i="40"/>
  <c r="T11" i="1"/>
  <c r="W12" i="39"/>
  <c r="AC12" i="39"/>
  <c r="V49" i="39" s="1"/>
  <c r="I49" i="39" s="1"/>
  <c r="I53" i="39" s="1"/>
  <c r="J53" i="39" s="1"/>
  <c r="U12" i="39"/>
  <c r="AB12" i="39"/>
  <c r="T49" i="39" s="1"/>
  <c r="G49" i="39" s="1"/>
  <c r="AA12" i="40"/>
  <c r="S12" i="40"/>
  <c r="B3" i="11"/>
  <c r="B5" i="11"/>
  <c r="B4" i="11"/>
  <c r="M27" i="6"/>
  <c r="I19" i="6"/>
  <c r="C13" i="43"/>
  <c r="L16" i="1"/>
  <c r="N16" i="1"/>
  <c r="C29" i="43" s="1"/>
  <c r="C45" i="40" l="1"/>
  <c r="C44" i="40"/>
  <c r="R49" i="39"/>
  <c r="E49" i="39" s="1"/>
  <c r="E53" i="39" s="1"/>
  <c r="F53" i="39" s="1"/>
  <c r="E48" i="40"/>
  <c r="F48" i="40" s="1"/>
  <c r="E49" i="40"/>
  <c r="F49" i="40" s="1"/>
  <c r="I49" i="40"/>
  <c r="J49" i="40" s="1"/>
  <c r="B3" i="67"/>
  <c r="B4" i="67"/>
  <c r="T8" i="1"/>
  <c r="T13" i="1"/>
  <c r="T7" i="1"/>
  <c r="T12" i="1"/>
  <c r="T9" i="1"/>
  <c r="T6" i="1"/>
  <c r="C15" i="12"/>
  <c r="I52" i="21"/>
  <c r="J52" i="21" s="1"/>
  <c r="E48" i="21"/>
  <c r="R49" i="21"/>
  <c r="G53" i="21"/>
  <c r="H53" i="21" s="1"/>
  <c r="G52" i="21"/>
  <c r="H52" i="21" s="1"/>
  <c r="C14" i="43"/>
  <c r="C17" i="43"/>
  <c r="G53" i="39"/>
  <c r="H53" i="39" s="1"/>
  <c r="G54" i="39"/>
  <c r="H54" i="39" s="1"/>
  <c r="H19" i="6"/>
  <c r="S19" i="6"/>
  <c r="S27" i="6" s="1"/>
  <c r="I27" i="6"/>
  <c r="C14" i="12"/>
  <c r="C17" i="12"/>
  <c r="C14" i="15"/>
  <c r="C16" i="44"/>
  <c r="E54" i="39" l="1"/>
  <c r="F54" i="39" s="1"/>
  <c r="R50" i="39"/>
  <c r="C50" i="39" s="1"/>
  <c r="B61" i="39" s="1"/>
  <c r="F61" i="39" s="1"/>
  <c r="I54" i="39"/>
  <c r="J54" i="39" s="1"/>
  <c r="T16" i="1"/>
  <c r="B61" i="40"/>
  <c r="F61" i="40" s="1"/>
  <c r="B55" i="40"/>
  <c r="F55" i="40" s="1"/>
  <c r="B59" i="40"/>
  <c r="F59" i="40" s="1"/>
  <c r="B58" i="40"/>
  <c r="F58" i="40" s="1"/>
  <c r="B53" i="40"/>
  <c r="F53" i="40" s="1"/>
  <c r="B62" i="40"/>
  <c r="F62" i="40" s="1"/>
  <c r="B60" i="40"/>
  <c r="F60" i="40" s="1"/>
  <c r="B57" i="40"/>
  <c r="F57" i="40" s="1"/>
  <c r="B56" i="40"/>
  <c r="F56" i="40" s="1"/>
  <c r="B54" i="40"/>
  <c r="F54" i="40" s="1"/>
  <c r="F63" i="40"/>
  <c r="B2" i="40" s="1"/>
  <c r="C20" i="44"/>
  <c r="C17" i="44"/>
  <c r="C15" i="15"/>
  <c r="C18" i="15"/>
  <c r="B64" i="39"/>
  <c r="F64" i="39" s="1"/>
  <c r="E53" i="21"/>
  <c r="F53" i="21" s="1"/>
  <c r="E52" i="21"/>
  <c r="F52" i="21" s="1"/>
  <c r="C49" i="21"/>
  <c r="B3" i="21" s="1"/>
  <c r="C48" i="21"/>
  <c r="I53" i="21"/>
  <c r="J53" i="21" s="1"/>
  <c r="C18" i="12"/>
  <c r="C23" i="12" s="1"/>
  <c r="R19" i="6"/>
  <c r="H27" i="6"/>
  <c r="C18" i="43"/>
  <c r="C19" i="43" s="1"/>
  <c r="C25" i="43" s="1"/>
  <c r="C24" i="43" s="1"/>
  <c r="B62" i="39" l="1"/>
  <c r="F62" i="39" s="1"/>
  <c r="B59" i="39"/>
  <c r="F59" i="39" s="1"/>
  <c r="B63" i="39"/>
  <c r="F63" i="39" s="1"/>
  <c r="B66" i="39"/>
  <c r="F66" i="39" s="1"/>
  <c r="B65" i="39"/>
  <c r="F65" i="39" s="1"/>
  <c r="B60" i="39"/>
  <c r="F60" i="39" s="1"/>
  <c r="C49" i="39"/>
  <c r="B58" i="39"/>
  <c r="F58" i="39" s="1"/>
  <c r="B67" i="39"/>
  <c r="F67" i="39" s="1"/>
  <c r="B5" i="40"/>
  <c r="B4" i="40"/>
  <c r="B3" i="40"/>
  <c r="C21" i="44"/>
  <c r="C22" i="44" s="1"/>
  <c r="C28" i="44" s="1"/>
  <c r="C19" i="15"/>
  <c r="C20" i="15" s="1"/>
  <c r="C23" i="15" s="1"/>
  <c r="B2" i="21"/>
  <c r="C10" i="12" s="1"/>
  <c r="C8" i="12"/>
  <c r="C22" i="43"/>
  <c r="C21" i="43" s="1"/>
  <c r="C28" i="43" s="1"/>
  <c r="C30" i="43" s="1"/>
  <c r="C32" i="43" s="1"/>
  <c r="B2" i="43" s="1"/>
  <c r="B3" i="43" s="1"/>
  <c r="R6" i="1"/>
  <c r="R16" i="1" s="1"/>
  <c r="R27" i="6"/>
  <c r="F68" i="39" l="1"/>
  <c r="B2" i="39" s="1"/>
  <c r="B4" i="39" s="1"/>
  <c r="C25" i="44"/>
  <c r="C31" i="44" s="1"/>
  <c r="C15" i="44" s="1"/>
  <c r="Q72" i="44" s="1"/>
  <c r="B4" i="43"/>
  <c r="B5" i="43"/>
  <c r="C26" i="15"/>
  <c r="C29" i="15" s="1"/>
  <c r="J19" i="15" s="1"/>
  <c r="J17" i="15" s="1"/>
  <c r="C19" i="9"/>
  <c r="C21" i="9"/>
  <c r="L43" i="9" l="1"/>
  <c r="B5" i="39"/>
  <c r="B3" i="39"/>
  <c r="C38" i="44"/>
  <c r="J21" i="44"/>
  <c r="J19" i="44" s="1"/>
  <c r="C43" i="44"/>
  <c r="Q51" i="44"/>
  <c r="C35" i="44"/>
  <c r="C33" i="44" s="1"/>
  <c r="J16" i="44"/>
  <c r="J24" i="44" s="1"/>
  <c r="C39" i="44"/>
  <c r="C33" i="15"/>
  <c r="C31" i="15" s="1"/>
  <c r="C56" i="15"/>
  <c r="C63" i="15" s="1"/>
  <c r="Q50" i="15"/>
  <c r="C13" i="15"/>
  <c r="Q71" i="15" s="1"/>
  <c r="C36" i="15"/>
  <c r="J59" i="15"/>
  <c r="J60" i="15" s="1"/>
  <c r="J14" i="15"/>
  <c r="J13" i="15" s="1"/>
  <c r="J23" i="15" s="1"/>
  <c r="C20" i="9"/>
  <c r="C32" i="44" l="1"/>
  <c r="C42" i="44" s="1"/>
  <c r="Q71" i="44" s="1"/>
  <c r="Q70" i="44" s="1"/>
  <c r="J15" i="44"/>
  <c r="J25" i="44" s="1"/>
  <c r="J18" i="44" s="1"/>
  <c r="J27" i="44" s="1"/>
  <c r="C60" i="15"/>
  <c r="C58" i="15" s="1"/>
  <c r="J35" i="15"/>
  <c r="Q49" i="15"/>
  <c r="J22" i="15"/>
  <c r="J16" i="15" s="1"/>
  <c r="J25" i="15" s="1"/>
  <c r="C55" i="15"/>
  <c r="C64" i="15" s="1"/>
  <c r="C37" i="15"/>
  <c r="C30" i="15" s="1"/>
  <c r="C39" i="15" s="1"/>
  <c r="Q70" i="15" s="1"/>
  <c r="Q69" i="15" s="1"/>
  <c r="C44" i="44" l="1"/>
  <c r="C45" i="44" s="1"/>
  <c r="B2" i="44" s="1"/>
  <c r="B5" i="44" s="1"/>
  <c r="C57" i="15"/>
  <c r="C66" i="15" s="1"/>
  <c r="C67" i="15" s="1"/>
  <c r="C70" i="15" s="1"/>
  <c r="C40" i="15"/>
  <c r="Q48" i="15" s="1"/>
  <c r="Q54" i="15" s="1"/>
  <c r="J39" i="15"/>
  <c r="J40" i="15" s="1"/>
  <c r="L51" i="15"/>
  <c r="B4" i="44" l="1"/>
  <c r="B3" i="44"/>
  <c r="C46" i="15"/>
  <c r="L57" i="15"/>
  <c r="L60" i="15" s="1"/>
  <c r="Q68" i="15"/>
  <c r="C45" i="9"/>
  <c r="Q57" i="15"/>
  <c r="Q66" i="15"/>
  <c r="C43" i="15"/>
  <c r="J42" i="15"/>
  <c r="J43" i="15" s="1"/>
  <c r="Q58" i="15" l="1"/>
  <c r="Q63" i="15" s="1"/>
  <c r="L46" i="15"/>
  <c r="B2" i="15" s="1"/>
  <c r="Q67" i="15"/>
  <c r="Q76" i="15" s="1"/>
  <c r="H14" i="66"/>
  <c r="D45" i="9"/>
  <c r="F45" i="9"/>
  <c r="O40" i="9"/>
  <c r="E45" i="9"/>
  <c r="B3" i="15" l="1"/>
  <c r="D8" i="12" s="1"/>
  <c r="D10" i="12"/>
  <c r="C6" i="12" s="1"/>
  <c r="R7" i="54"/>
  <c r="B52" i="63" s="1"/>
  <c r="K31" i="9"/>
  <c r="K32" i="9" s="1"/>
  <c r="C29" i="12" l="1"/>
  <c r="C24" i="12"/>
  <c r="C28" i="12" l="1"/>
  <c r="C26" i="12" s="1"/>
  <c r="C31" i="12" s="1"/>
  <c r="C30" i="12" s="1"/>
  <c r="C35" i="12"/>
  <c r="C33" i="12" s="1"/>
  <c r="C36" i="12" l="1"/>
  <c r="B2" i="12" s="1"/>
  <c r="B5" i="12" s="1"/>
  <c r="D19" i="9"/>
  <c r="B4" i="12" l="1"/>
  <c r="B3" i="12"/>
  <c r="G19" i="9"/>
  <c r="L44" i="9"/>
  <c r="D22" i="9"/>
  <c r="D20" i="9"/>
  <c r="D21" i="9"/>
  <c r="C32" i="9" l="1"/>
  <c r="C34" i="9" s="1"/>
  <c r="G22" i="9"/>
  <c r="G21" i="9"/>
  <c r="N43" i="9"/>
  <c r="G20" i="9"/>
  <c r="C35" i="9" l="1"/>
  <c r="F42" i="9" s="1"/>
  <c r="O43" i="9"/>
  <c r="C33" i="9"/>
  <c r="N38" i="9" s="1"/>
  <c r="K28" i="9" s="1"/>
  <c r="C42" i="9"/>
  <c r="D14" i="66" s="1"/>
  <c r="O38" i="9"/>
  <c r="K25" i="9" s="1"/>
  <c r="E42" i="9"/>
  <c r="P5" i="54" s="1"/>
  <c r="B46" i="63" s="1"/>
  <c r="M38" i="9"/>
  <c r="K27" i="9" s="1"/>
  <c r="E15" i="66"/>
  <c r="F15" i="66"/>
  <c r="C44" i="9" l="1"/>
  <c r="G14" i="66" s="1"/>
  <c r="K26" i="9"/>
  <c r="D42" i="9"/>
  <c r="Q5" i="54" s="1"/>
  <c r="B47" i="63" s="1"/>
  <c r="D63" i="9"/>
  <c r="C103" i="9" s="1"/>
  <c r="R5" i="54"/>
  <c r="B48" i="63" s="1"/>
  <c r="N68" i="9"/>
  <c r="F44" i="9"/>
  <c r="F14" i="66"/>
  <c r="E14" i="66"/>
  <c r="O39" i="9" l="1"/>
  <c r="R6" i="54" s="1"/>
  <c r="B50" i="63" s="1"/>
  <c r="N69" i="9"/>
  <c r="M85" i="9" s="1"/>
  <c r="N85" i="9" s="1"/>
  <c r="E44" i="9"/>
  <c r="D44" i="9"/>
  <c r="D77" i="9"/>
  <c r="N75" i="9" s="1"/>
  <c r="C82" i="9"/>
  <c r="C81" i="9" s="1"/>
  <c r="C85" i="9" s="1"/>
  <c r="C86" i="9" s="1"/>
  <c r="D72" i="9" s="1"/>
  <c r="D71" i="9"/>
  <c r="D66" i="9" s="1"/>
  <c r="N72" i="9" s="1"/>
  <c r="C111" i="9"/>
  <c r="C104" i="9" s="1"/>
  <c r="C113" i="9" s="1"/>
  <c r="D70" i="9"/>
  <c r="C90" i="9"/>
  <c r="C96" i="9"/>
  <c r="C91" i="9" s="1"/>
  <c r="H16" i="66"/>
  <c r="E16" i="66"/>
  <c r="F16" i="66"/>
  <c r="K29" i="9" l="1"/>
  <c r="K30" i="9" s="1"/>
  <c r="M87" i="9"/>
  <c r="N87" i="9" s="1"/>
  <c r="M86" i="9"/>
  <c r="N86" i="9" s="1"/>
  <c r="M83" i="9"/>
  <c r="N83" i="9" s="1"/>
  <c r="M88" i="9"/>
  <c r="N88" i="9" s="1"/>
  <c r="M84" i="9"/>
  <c r="N84" i="9" s="1"/>
  <c r="C97" i="9"/>
  <c r="C98" i="9" s="1"/>
  <c r="E98" i="9" s="1"/>
  <c r="E99" i="9" s="1"/>
  <c r="C114" i="9"/>
  <c r="E114" i="9" s="1"/>
  <c r="E115" i="9" s="1"/>
  <c r="N89" i="9" l="1"/>
  <c r="O89" i="9" s="1"/>
  <c r="C115" i="9"/>
  <c r="D76" i="9" s="1"/>
  <c r="D74" i="9" s="1"/>
  <c r="N74" i="9" s="1"/>
  <c r="O77" i="9" s="1"/>
  <c r="Q77" i="9" s="1"/>
  <c r="C99" i="9"/>
  <c r="E17" i="66"/>
  <c r="F17" i="66"/>
  <c r="O79" i="9" l="1"/>
  <c r="O80" i="9" s="1"/>
  <c r="O78" i="9"/>
  <c r="O81" i="9" l="1"/>
  <c r="E18" i="66" l="1"/>
  <c r="F18" i="66"/>
  <c r="B1" i="66" l="1"/>
  <c r="B2" i="66" l="1"/>
  <c r="C8" i="66"/>
  <c r="D8" i="66" l="1"/>
  <c r="E20" i="66" l="1"/>
  <c r="F20" i="66"/>
  <c r="H22" i="66" l="1"/>
  <c r="B7" i="66" s="1"/>
  <c r="E22" i="66"/>
  <c r="F22" i="66"/>
  <c r="C7" i="66" l="1"/>
  <c r="D7" i="66"/>
  <c r="B6" i="66" l="1"/>
  <c r="E21" i="66" l="1"/>
  <c r="F21" i="66"/>
  <c r="B5" i="66"/>
  <c r="C6" i="66"/>
  <c r="D6"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<sst xmlns="http://schemas.openxmlformats.org/spreadsheetml/2006/main" count="8933" uniqueCount="3363">
  <si>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</si>
  <si>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</si>
  <si>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</si>
  <si>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</si>
  <si>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</si>
  <si>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</si>
  <si>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</si>
  <si>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</si>
  <si>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</si>
  <si>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</si>
  <si>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</si>
  <si>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</si>
  <si>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</si>
  <si>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</si>
  <si>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</si>
  <si>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</si>
  <si>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</si>
  <si>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</si>
  <si>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</si>
  <si>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</si>
  <si>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</si>
  <si>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</si>
  <si>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</si>
  <si>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</si>
  <si>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</si>
  <si>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</si>
  <si>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</si>
  <si>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</si>
  <si>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</si>
  <si>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</si>
  <si>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</si>
  <si>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</si>
  <si>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</si>
  <si>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</si>
  <si>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</si>
  <si>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</si>
  <si>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</si>
  <si>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</si>
  <si>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</si>
  <si>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</si>
  <si>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</si>
  <si>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</si>
  <si>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</si>
  <si>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</si>
  <si>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</si>
  <si>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</si>
  <si>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</si>
  <si>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</si>
  <si>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</si>
  <si>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</si>
  <si>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</si>
  <si>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</si>
  <si>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</si>
  <si>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</si>
  <si>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</si>
  <si>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</si>
  <si>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</si>
  <si>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</si>
  <si>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</si>
  <si>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</si>
  <si>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</si>
  <si>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</si>
  <si>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</si>
  <si>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</si>
  <si>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</si>
  <si>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</si>
  <si>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</si>
  <si>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</si>
  <si>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</si>
  <si>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</si>
  <si>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</si>
  <si>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</si>
  <si>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</si>
  <si>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</si>
  <si>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</si>
  <si>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</si>
  <si>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</si>
  <si>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</si>
  <si>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</si>
  <si>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</si>
  <si>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</si>
  <si>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</si>
  <si>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</si>
  <si>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</si>
  <si>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</si>
  <si>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</si>
  <si>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</si>
  <si>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</si>
  <si>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</si>
  <si>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</si>
  <si>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</si>
  <si>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</si>
  <si>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</si>
  <si>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</si>
  <si>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</si>
  <si>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</si>
  <si>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</si>
  <si>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</si>
  <si>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</si>
  <si>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</si>
  <si>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</si>
  <si>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</si>
  <si>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</si>
  <si>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</si>
  <si>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</si>
  <si>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</si>
  <si>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</si>
  <si>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</si>
  <si>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</si>
  <si>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</si>
  <si>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</si>
  <si>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</si>
  <si>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</si>
  <si>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</si>
  <si>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</si>
  <si>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</si>
  <si>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</si>
  <si>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</si>
  <si>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</si>
  <si>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</si>
  <si>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</si>
  <si>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</si>
  <si>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</si>
  <si>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</si>
  <si>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</si>
  <si>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</si>
  <si>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</si>
  <si>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</si>
  <si>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</si>
  <si>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</si>
  <si>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</si>
  <si>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</si>
  <si>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</si>
  <si>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</si>
  <si>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</si>
  <si>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</si>
  <si>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</si>
  <si>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</si>
  <si>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</si>
  <si>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</si>
  <si>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</si>
  <si>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</si>
  <si>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</si>
  <si>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</si>
  <si>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</si>
  <si>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</si>
  <si>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</si>
  <si>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</si>
  <si>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</si>
  <si>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</si>
  <si>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</si>
  <si>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</si>
  <si>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</si>
  <si>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</si>
  <si>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</si>
  <si>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</si>
  <si>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</si>
  <si>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</si>
  <si>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</si>
  <si>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</si>
  <si>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</si>
  <si>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</si>
  <si>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</si>
  <si>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</si>
  <si>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</si>
  <si>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</si>
  <si>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</si>
  <si>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</si>
  <si>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</si>
  <si>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</si>
  <si>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</si>
  <si>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</si>
  <si>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</si>
  <si>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</si>
  <si>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</si>
  <si>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</si>
  <si>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</si>
  <si>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</si>
  <si>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</si>
  <si>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</si>
  <si>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</si>
  <si>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</si>
  <si>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</si>
  <si>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</si>
  <si>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</si>
  <si>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</si>
  <si>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</si>
  <si>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</si>
  <si>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</si>
  <si>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</si>
  <si>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</si>
  <si>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</si>
  <si>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</si>
  <si>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</si>
  <si>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</si>
  <si>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</si>
  <si>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</si>
  <si>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</si>
  <si>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</si>
  <si>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</si>
  <si>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</si>
  <si>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</si>
  <si>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</si>
  <si>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</si>
  <si>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</si>
  <si>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</si>
  <si>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</si>
  <si>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</si>
  <si>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</si>
  <si>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</si>
  <si>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</si>
  <si>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</si>
  <si>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</si>
  <si>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</si>
  <si>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</si>
  <si>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</si>
  <si>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</si>
  <si>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</si>
  <si>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</si>
  <si>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</si>
  <si>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</si>
  <si>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</si>
  <si>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</si>
  <si>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</si>
  <si>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</si>
  <si>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</si>
  <si>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</si>
  <si>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</si>
  <si>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</si>
  <si>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</si>
  <si>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</si>
  <si>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</si>
  <si>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</si>
  <si>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</si>
  <si>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</si>
  <si>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</si>
  <si>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</si>
  <si>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</si>
  <si>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</si>
  <si>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</si>
  <si>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</si>
  <si>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</si>
  <si>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</si>
  <si>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</si>
  <si>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</si>
  <si>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</si>
  <si>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</si>
  <si>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</si>
  <si>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</si>
  <si>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</si>
  <si>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</si>
  <si>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</si>
  <si>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</si>
  <si>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</si>
  <si>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</si>
  <si>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</si>
  <si>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</si>
  <si>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</si>
  <si>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</si>
  <si>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</si>
  <si>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</si>
  <si>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</si>
  <si>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</si>
  <si>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</si>
  <si>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</si>
  <si>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</si>
  <si>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</si>
  <si>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</si>
  <si>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</si>
  <si>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</si>
  <si>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</si>
  <si>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</si>
  <si>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</si>
  <si>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</si>
  <si>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</si>
  <si>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</si>
  <si>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</si>
  <si>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</si>
  <si>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</si>
  <si>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</si>
  <si>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</si>
  <si>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</si>
  <si>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</si>
  <si>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</si>
  <si>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</si>
  <si>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</si>
  <si>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</si>
  <si>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</si>
  <si>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</si>
  <si>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</si>
  <si>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</si>
  <si>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</si>
  <si>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</si>
  <si>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</si>
  <si>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</si>
  <si>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</si>
  <si>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</si>
  <si>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</si>
  <si>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</si>
  <si>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</si>
  <si>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</si>
  <si>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</si>
  <si>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</si>
  <si>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</si>
  <si>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</si>
  <si>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</si>
  <si>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</si>
  <si>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</si>
  <si>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</si>
  <si>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</si>
  <si>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</si>
  <si>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</si>
  <si>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</si>
  <si>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</si>
  <si>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</si>
  <si>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</si>
  <si>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</si>
  <si>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</si>
  <si>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</si>
  <si>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</si>
  <si>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</si>
  <si>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</si>
  <si>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</si>
  <si>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</si>
  <si>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</si>
  <si>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</si>
  <si>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</si>
  <si>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</si>
  <si>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</si>
  <si>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</si>
  <si>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</si>
  <si>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</si>
  <si>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</si>
  <si>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</si>
  <si>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</si>
  <si>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</si>
  <si>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</si>
  <si>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</si>
  <si>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</si>
  <si>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</si>
  <si>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</si>
  <si>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</si>
  <si>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</si>
  <si>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</si>
  <si>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</si>
  <si>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</si>
  <si>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</si>
  <si>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</si>
  <si>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</si>
  <si>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</si>
  <si>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</si>
  <si>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</si>
  <si>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</si>
  <si>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</si>
  <si>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</si>
  <si>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</si>
  <si>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</si>
  <si>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</si>
  <si>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</si>
  <si>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</si>
  <si>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</si>
  <si>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</si>
  <si>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</si>
  <si>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</si>
  <si>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</si>
  <si>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</si>
  <si>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</si>
  <si>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</si>
  <si>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</si>
  <si>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</si>
  <si>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</si>
  <si>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</si>
  <si>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</si>
  <si>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</si>
  <si>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</si>
  <si>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</si>
  <si>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</si>
  <si>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</si>
  <si>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</si>
  <si>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</si>
  <si>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</si>
  <si>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</si>
  <si>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</si>
  <si>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</si>
  <si>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</si>
  <si>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</si>
  <si>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</si>
  <si>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</si>
  <si>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</si>
  <si>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</si>
  <si>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</si>
  <si>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</si>
  <si>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</si>
  <si>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</si>
  <si>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</si>
  <si>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</si>
  <si>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</si>
  <si>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</si>
  <si>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</si>
  <si>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</si>
  <si>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</si>
  <si>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</si>
  <si>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</si>
  <si>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</si>
  <si>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</si>
  <si>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</si>
  <si>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</si>
  <si>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</si>
  <si>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</si>
  <si>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</si>
  <si>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</si>
  <si>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</si>
  <si>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</si>
  <si>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</si>
  <si>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</si>
  <si>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</si>
  <si>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</si>
  <si>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</si>
  <si>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</si>
  <si>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</si>
  <si>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</si>
  <si>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</si>
  <si>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</si>
  <si>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</si>
  <si>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</si>
  <si>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</si>
  <si>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</si>
  <si>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</si>
  <si>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</si>
  <si>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</si>
  <si>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</si>
  <si>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</si>
  <si>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</si>
  <si>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</si>
  <si>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</si>
  <si>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</si>
  <si>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</si>
  <si>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</si>
  <si>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</si>
  <si>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</si>
  <si>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</si>
  <si>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</si>
  <si>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</si>
  <si>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</si>
  <si>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</si>
  <si>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</si>
  <si>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</si>
  <si>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</si>
  <si>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</si>
  <si>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</si>
  <si>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</si>
  <si>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</si>
  <si>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</si>
  <si>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</si>
  <si>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</si>
  <si>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</si>
  <si>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</si>
  <si>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</si>
  <si>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</si>
  <si>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</si>
  <si>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</si>
  <si>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</si>
  <si>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</si>
  <si>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</si>
  <si>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</si>
  <si>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</si>
  <si>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</si>
  <si>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</si>
  <si>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</si>
  <si>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</si>
  <si>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</si>
  <si>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</si>
  <si>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</si>
  <si>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</si>
  <si>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</si>
  <si>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</si>
  <si>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</si>
  <si>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</si>
  <si>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</si>
  <si>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</si>
  <si>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</si>
  <si>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</si>
  <si>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</si>
  <si>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</si>
  <si>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</si>
  <si>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</si>
  <si>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</si>
  <si>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</si>
  <si>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</si>
  <si>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</si>
  <si>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</si>
  <si>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</si>
  <si>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</si>
  <si>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</si>
  <si>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</si>
  <si>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</si>
  <si>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</si>
  <si>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</si>
  <si>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</si>
  <si>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</si>
  <si>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</si>
  <si>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</si>
  <si>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</si>
  <si>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</si>
  <si>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</si>
  <si>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</si>
  <si>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</si>
  <si>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</si>
  <si>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</si>
  <si>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</si>
  <si>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</si>
  <si>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</si>
  <si>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</si>
  <si>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</si>
  <si>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</si>
  <si>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</si>
  <si>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</si>
  <si>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</si>
  <si>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</si>
  <si>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</si>
  <si>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</si>
  <si>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</si>
  <si>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</si>
  <si>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</si>
  <si>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</si>
  <si>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</si>
  <si>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</si>
  <si>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</si>
  <si>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</si>
  <si>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</si>
  <si>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</si>
  <si>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</si>
  <si>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</si>
  <si>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</si>
  <si>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</si>
  <si>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</si>
  <si>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</si>
  <si>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</si>
  <si>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</si>
  <si>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</si>
  <si>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</si>
  <si>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</si>
  <si>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</si>
  <si>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</si>
  <si>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</si>
  <si>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</si>
  <si>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</si>
  <si>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</si>
  <si>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</si>
  <si>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</si>
  <si>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</si>
  <si>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</si>
  <si>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</si>
  <si>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</si>
  <si>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</si>
  <si>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</si>
  <si>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</si>
  <si>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</si>
  <si>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</si>
  <si>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</si>
  <si>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</si>
  <si>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</si>
  <si>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</si>
  <si>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</si>
  <si>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</si>
  <si>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</si>
  <si>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</si>
  <si>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</si>
  <si>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</si>
  <si>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</si>
  <si>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</si>
  <si>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</si>
  <si>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</si>
  <si>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</si>
  <si>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</si>
  <si>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</si>
  <si>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</si>
  <si>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</si>
  <si>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</si>
  <si>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</si>
  <si>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</si>
  <si>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</si>
  <si>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</si>
  <si>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</si>
  <si>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</si>
  <si>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</si>
  <si>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</si>
  <si>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</si>
  <si>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</si>
  <si>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</si>
  <si>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</si>
  <si>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</si>
  <si>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</si>
  <si>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</si>
  <si>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</si>
  <si>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</si>
  <si>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</si>
  <si>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</si>
  <si>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</si>
  <si>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</si>
  <si>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</si>
  <si>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</si>
  <si>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</si>
  <si>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</si>
  <si>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</si>
  <si>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</si>
  <si>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</si>
  <si>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</si>
  <si>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</si>
  <si>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</si>
  <si>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</si>
  <si>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</si>
  <si>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</si>
  <si>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</si>
  <si>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</si>
  <si>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</si>
  <si>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</si>
  <si>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</si>
  <si>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</si>
  <si>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</si>
  <si>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</si>
  <si>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</si>
  <si>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</si>
  <si>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</si>
  <si>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</si>
  <si>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</si>
  <si>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</si>
  <si>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</si>
  <si>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</si>
  <si>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</si>
  <si>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</si>
  <si>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</si>
  <si>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</si>
  <si>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</si>
  <si>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</si>
  <si>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</si>
  <si>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</si>
  <si>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</si>
  <si>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</si>
  <si>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</si>
  <si>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</si>
  <si>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</si>
  <si>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</si>
  <si>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</si>
  <si>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</si>
  <si>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</si>
  <si>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</si>
  <si>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</si>
  <si>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</si>
  <si>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</si>
  <si>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</si>
  <si>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</si>
  <si>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</si>
  <si>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</si>
  <si>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</si>
  <si>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</si>
  <si>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</si>
  <si>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</si>
  <si>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</si>
  <si>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</si>
  <si>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</si>
  <si>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</si>
  <si>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</si>
  <si>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</si>
  <si>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</si>
  <si>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</si>
  <si>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</si>
  <si>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</si>
  <si>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</si>
  <si>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</si>
  <si>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</si>
  <si>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</si>
  <si>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</si>
  <si>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</si>
  <si>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</si>
  <si>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</si>
  <si>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</si>
  <si>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</si>
  <si>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</si>
  <si>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</si>
  <si>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</si>
  <si>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</si>
  <si>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</si>
  <si>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</si>
  <si>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</si>
  <si>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</si>
  <si>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</si>
  <si>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</si>
  <si>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</si>
  <si>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</si>
  <si>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</si>
  <si>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</si>
  <si>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</si>
  <si>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</si>
  <si>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</si>
  <si>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</si>
  <si>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</si>
  <si>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</si>
  <si>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</si>
  <si>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</si>
  <si>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</si>
  <si>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</si>
  <si>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</si>
  <si>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</si>
  <si>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</si>
  <si>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</si>
  <si>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</si>
  <si>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</si>
  <si>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</si>
  <si>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</si>
  <si>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</si>
  <si>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</si>
  <si>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</si>
  <si>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</si>
  <si>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</si>
  <si>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</si>
  <si>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</si>
  <si>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</si>
  <si>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</si>
  <si>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</si>
  <si>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</si>
  <si>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</si>
  <si>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</si>
  <si>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</si>
  <si>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</si>
  <si>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</si>
  <si>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</si>
  <si>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</si>
  <si>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</si>
  <si>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</si>
  <si>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</si>
  <si>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</si>
  <si>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</si>
  <si>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</si>
  <si>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</si>
  <si>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</si>
  <si>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</si>
  <si>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</si>
  <si>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</si>
  <si>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</si>
  <si>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</si>
  <si>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</si>
  <si>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</si>
  <si>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</si>
  <si>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</si>
  <si>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</si>
  <si>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</si>
  <si>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</si>
  <si>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</si>
  <si>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</si>
  <si>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</si>
  <si>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</si>
  <si>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</si>
  <si>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</si>
  <si>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</si>
  <si>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</si>
  <si>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</si>
  <si>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</si>
  <si>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</si>
  <si>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</si>
  <si>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</si>
  <si>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</si>
  <si>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</si>
  <si>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</si>
  <si>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</si>
  <si>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</si>
  <si>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</si>
  <si>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</si>
  <si>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</si>
  <si>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</si>
  <si>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</si>
  <si>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</si>
  <si>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</si>
  <si>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</si>
  <si>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</si>
  <si>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</si>
  <si>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</si>
  <si>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</si>
  <si>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</si>
  <si>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</si>
  <si>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</si>
  <si>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</si>
  <si>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</si>
  <si>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</si>
  <si>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</si>
  <si>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</si>
  <si>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</si>
  <si>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</si>
  <si>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</si>
  <si>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</si>
  <si>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</si>
  <si>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</si>
  <si>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</si>
  <si>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</si>
  <si>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</si>
  <si>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</si>
  <si>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</si>
  <si>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</si>
  <si>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</si>
  <si>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</si>
  <si>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</si>
  <si>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</si>
  <si>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</si>
  <si>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</si>
  <si>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</si>
  <si>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</si>
  <si>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</si>
  <si>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</si>
  <si>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</si>
  <si>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</si>
  <si>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</si>
  <si>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</si>
  <si>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</si>
  <si>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</si>
  <si>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</si>
  <si>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</si>
  <si>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</si>
  <si>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</si>
  <si>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</si>
  <si>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</si>
  <si>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</si>
  <si>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</si>
  <si>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</si>
  <si>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</si>
  <si>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</si>
  <si>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</si>
  <si>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</si>
  <si>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</si>
  <si>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</si>
  <si>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</si>
  <si>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</si>
  <si>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</si>
  <si>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</si>
  <si>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</si>
  <si>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</si>
  <si>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</si>
  <si>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</si>
  <si>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</si>
  <si>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</si>
  <si>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</si>
  <si>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</si>
  <si>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</si>
  <si>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</si>
  <si>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</si>
  <si>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</si>
  <si>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</si>
  <si>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</si>
  <si>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</si>
  <si>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</si>
  <si>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</si>
  <si>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</si>
  <si>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</si>
  <si>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</si>
  <si>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</si>
  <si>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</si>
  <si>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</si>
  <si>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</si>
  <si>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</si>
  <si>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</si>
  <si>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</si>
  <si>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</si>
  <si>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</si>
  <si>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</si>
  <si>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</si>
  <si>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</si>
  <si>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</si>
  <si>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</si>
  <si>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</si>
  <si>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</si>
  <si>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</si>
  <si>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</si>
  <si>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</si>
  <si>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</si>
  <si>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</si>
  <si>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</si>
  <si>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</si>
  <si>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</si>
  <si>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</si>
  <si>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</si>
  <si>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</si>
  <si>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</si>
  <si>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</si>
  <si>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</si>
  <si>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</si>
  <si>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</si>
  <si>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</si>
  <si>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</si>
  <si>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</si>
  <si>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</si>
  <si>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</si>
  <si>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</si>
  <si>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</si>
  <si>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</si>
  <si>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</si>
  <si>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</si>
  <si>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</si>
  <si>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</si>
  <si>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</si>
  <si>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</si>
  <si>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</si>
  <si>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</si>
  <si>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</si>
  <si>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</si>
  <si>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</si>
  <si>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</si>
  <si>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</si>
  <si>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</si>
  <si>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</si>
  <si>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</si>
  <si>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</si>
  <si>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</si>
  <si>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</si>
  <si>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</si>
  <si>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</si>
  <si>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</si>
  <si>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</si>
  <si>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</si>
  <si>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</si>
  <si>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</si>
  <si>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</si>
  <si>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</si>
  <si>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</si>
  <si>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</si>
  <si>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</si>
  <si>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</si>
  <si>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</si>
  <si>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</si>
  <si>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</si>
  <si>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</si>
  <si>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</si>
  <si>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</si>
  <si>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</si>
  <si>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</si>
  <si>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</si>
  <si>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</si>
  <si>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</si>
  <si>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</si>
  <si>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</si>
  <si>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</si>
  <si>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</si>
  <si>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</si>
  <si>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</si>
  <si>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</si>
  <si>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</si>
  <si>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</si>
  <si>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</si>
  <si>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</si>
  <si>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</si>
  <si>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</si>
  <si>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</si>
  <si>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</si>
  <si>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</si>
  <si>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</si>
  <si>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</si>
  <si>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</si>
  <si>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</si>
  <si>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</si>
  <si>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</si>
  <si>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</si>
  <si>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</si>
  <si>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</si>
  <si>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</si>
  <si>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</si>
  <si>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</si>
  <si>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</si>
  <si>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</si>
  <si>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</si>
  <si>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</si>
  <si>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</si>
  <si>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</si>
  <si>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</si>
  <si>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</si>
  <si>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</si>
  <si>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</si>
  <si>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</si>
  <si>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</si>
  <si>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</si>
  <si>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</si>
  <si>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</si>
  <si>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</si>
  <si>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</si>
  <si>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</si>
  <si>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</si>
  <si>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</si>
  <si>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</si>
  <si>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</si>
  <si>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</si>
  <si>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</si>
  <si>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</si>
  <si>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</si>
  <si>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</si>
  <si>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</si>
  <si>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</si>
  <si>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</si>
  <si>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</si>
  <si>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</si>
  <si>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</si>
  <si>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</si>
  <si>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</si>
  <si>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</si>
  <si>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</si>
  <si>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</si>
  <si>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</si>
  <si>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</si>
  <si>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</si>
  <si>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</si>
  <si>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</si>
  <si>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</si>
  <si>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</si>
  <si>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</si>
  <si>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</si>
  <si>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</si>
  <si>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</si>
  <si>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</si>
  <si>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</si>
  <si>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</si>
  <si>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</si>
  <si>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</si>
  <si>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</si>
  <si>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</si>
  <si>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</si>
  <si>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</si>
  <si>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</si>
  <si>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</si>
  <si>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</si>
  <si>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</si>
  <si>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</si>
  <si>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</si>
  <si>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</si>
  <si>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</si>
  <si>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</si>
  <si>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</si>
  <si>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</si>
  <si>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</si>
  <si>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</si>
  <si>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</si>
  <si>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</si>
  <si>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</si>
  <si>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</si>
  <si>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</si>
  <si>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</si>
  <si>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</si>
  <si>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</si>
  <si>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</si>
  <si>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</si>
  <si>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</si>
  <si>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</si>
  <si>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</si>
  <si>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</si>
  <si>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</si>
  <si>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</si>
  <si>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</si>
  <si>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</si>
  <si>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</si>
  <si>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</si>
  <si>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</si>
  <si>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</si>
  <si>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</si>
  <si>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</si>
  <si>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</si>
  <si>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</si>
  <si>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</si>
  <si>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</si>
  <si>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</si>
  <si>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</si>
  <si>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</si>
  <si>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</si>
  <si>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</si>
  <si>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</si>
  <si>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</si>
  <si>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</si>
  <si>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</si>
  <si>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</si>
  <si>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</si>
  <si>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</si>
  <si>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</si>
  <si>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</si>
  <si>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</si>
  <si>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</si>
  <si>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</si>
  <si>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</si>
  <si>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</si>
  <si>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</si>
  <si>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</si>
  <si>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</si>
  <si>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</si>
  <si>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</si>
  <si>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</si>
  <si>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</si>
  <si>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</si>
  <si>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</si>
  <si>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</si>
  <si>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</si>
  <si>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</si>
  <si>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</si>
  <si>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</si>
  <si>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</si>
  <si>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</si>
  <si>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</si>
  <si>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</si>
  <si>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</si>
  <si>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</si>
  <si>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</si>
  <si>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</si>
  <si>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</si>
  <si>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</si>
  <si>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</si>
  <si>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</si>
  <si>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</si>
  <si>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</si>
  <si>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</si>
  <si>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</si>
  <si>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</si>
  <si>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</si>
  <si>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</si>
  <si>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</si>
  <si>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</si>
  <si>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</si>
  <si>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</si>
  <si>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</si>
  <si>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</si>
  <si>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</si>
  <si>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</si>
  <si>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</si>
  <si>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</si>
  <si>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</si>
  <si>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</si>
  <si>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</si>
  <si>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</si>
  <si>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</si>
  <si>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</si>
  <si>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</si>
  <si>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</si>
  <si>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</si>
  <si>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</si>
  <si>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</si>
  <si>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</si>
  <si>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</si>
  <si>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</si>
  <si>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</si>
  <si>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</si>
  <si>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</si>
  <si>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</si>
  <si>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</si>
  <si>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</si>
  <si>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</si>
  <si>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</si>
  <si>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</si>
  <si>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</si>
  <si>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</si>
  <si>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</si>
  <si>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</si>
  <si>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</si>
  <si>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</si>
  <si>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</si>
  <si>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</si>
  <si>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</si>
  <si>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</si>
  <si>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</si>
  <si>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</si>
  <si>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</si>
  <si>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</si>
  <si>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</si>
  <si>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</si>
  <si>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</si>
  <si>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</si>
  <si>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</si>
  <si>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</si>
  <si>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</si>
  <si>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</si>
  <si>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</si>
  <si>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</si>
  <si>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</si>
  <si>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</si>
  <si>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</si>
  <si>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</si>
  <si>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</si>
  <si>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</si>
  <si>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</si>
  <si>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</si>
  <si>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</si>
  <si>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</si>
  <si>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</si>
  <si>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</si>
  <si>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</si>
  <si>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</si>
  <si>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</si>
  <si>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</si>
  <si>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</si>
  <si>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</si>
  <si>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</si>
  <si>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</si>
  <si>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</si>
  <si>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</si>
  <si>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</si>
  <si>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</si>
  <si>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</si>
  <si>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</si>
  <si>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</si>
  <si>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</si>
  <si>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</si>
  <si>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</si>
  <si>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</si>
  <si>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</si>
  <si>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</si>
  <si>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</si>
  <si>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</si>
  <si>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</si>
  <si>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</si>
  <si>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</si>
  <si>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</si>
  <si>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</si>
  <si>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</si>
  <si>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</si>
  <si>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</si>
  <si>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</si>
  <si>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</si>
  <si>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</si>
  <si>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</si>
  <si>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</si>
  <si>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</si>
  <si>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</si>
  <si>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</si>
  <si>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</si>
  <si>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</si>
  <si>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</si>
  <si>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</si>
  <si>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</si>
  <si>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</si>
  <si>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</si>
  <si>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</si>
  <si>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</si>
  <si>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</si>
  <si>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</si>
  <si>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</si>
  <si>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</si>
  <si>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</si>
  <si>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</si>
  <si>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</si>
  <si>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</si>
  <si>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</si>
  <si>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</si>
  <si>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</si>
  <si>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</si>
  <si>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</si>
  <si>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</si>
  <si>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</si>
  <si>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</si>
  <si>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</si>
  <si>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</si>
  <si>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</si>
  <si>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</si>
  <si>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</si>
  <si>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</si>
  <si>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</si>
  <si>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</si>
  <si>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</si>
  <si>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</si>
  <si>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</si>
  <si>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</si>
  <si>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</si>
  <si>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</si>
  <si>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</si>
  <si>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</si>
  <si>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</si>
  <si>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</si>
  <si>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</si>
  <si>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</si>
  <si>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</si>
  <si>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</si>
  <si>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</si>
  <si>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</si>
  <si>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</si>
  <si>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</si>
  <si>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</si>
  <si>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</si>
  <si>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</si>
  <si>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</si>
  <si>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</si>
  <si>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</si>
  <si>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</si>
  <si>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</si>
  <si>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</si>
  <si>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</si>
  <si>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</si>
  <si>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</si>
  <si>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</si>
  <si>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</si>
  <si>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</si>
  <si>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</si>
  <si>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</si>
  <si>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</si>
  <si>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</si>
  <si>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</si>
  <si>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</si>
  <si>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</si>
  <si>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</si>
  <si>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</si>
  <si>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</si>
  <si>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</si>
  <si>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</si>
  <si>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</si>
  <si>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</si>
  <si>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</si>
  <si>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</si>
  <si>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</si>
  <si>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</si>
  <si>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</si>
  <si>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</si>
  <si>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</si>
  <si>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</si>
  <si>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</si>
  <si>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</si>
  <si>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</si>
  <si>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</si>
  <si>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</si>
  <si>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</si>
  <si>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</si>
  <si>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</si>
  <si>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</si>
  <si>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</si>
  <si>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</si>
  <si>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</si>
  <si>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</si>
  <si>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</si>
  <si>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</si>
  <si>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</si>
  <si>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</si>
  <si>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</si>
  <si>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</si>
  <si>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</si>
  <si>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</si>
  <si>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</si>
  <si>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</si>
  <si>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</si>
  <si>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</si>
  <si>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</si>
  <si>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</si>
  <si>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</si>
  <si>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</si>
  <si>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</si>
  <si>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</si>
  <si>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</si>
  <si>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</si>
  <si>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</si>
  <si>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</si>
  <si>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</si>
  <si>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</si>
  <si>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</si>
  <si>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</si>
  <si>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</si>
  <si>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</si>
  <si>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</si>
  <si>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</si>
  <si>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</si>
  <si>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</si>
  <si>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</si>
  <si>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</si>
  <si>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</si>
  <si>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</si>
  <si>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</si>
  <si>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</si>
  <si>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</si>
  <si>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</si>
  <si>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</si>
  <si>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</si>
  <si>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</si>
  <si>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</si>
  <si>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</si>
  <si>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</si>
  <si>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</si>
  <si>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</si>
  <si>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</si>
  <si>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</si>
  <si>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</si>
  <si>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</si>
  <si>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</si>
  <si>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</si>
  <si>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</si>
  <si>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</si>
  <si>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</si>
  <si>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</si>
  <si>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</si>
  <si>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</si>
  <si>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</si>
  <si>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</si>
  <si>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</si>
  <si>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</si>
  <si>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</si>
  <si>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</si>
  <si>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</si>
  <si>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</si>
  <si>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</si>
  <si>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</si>
  <si>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</si>
  <si>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</si>
  <si>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</si>
  <si>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</si>
  <si>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</si>
  <si>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</si>
  <si>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</si>
  <si>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</si>
  <si>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</si>
  <si>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</si>
  <si>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</si>
  <si>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</si>
  <si>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</si>
  <si>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</si>
  <si>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</si>
  <si>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</si>
  <si>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</si>
  <si>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</si>
  <si>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</si>
  <si>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</si>
  <si>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</si>
  <si>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</si>
  <si>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</si>
  <si>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</si>
  <si>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</si>
  <si>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</si>
  <si>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</si>
  <si>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</si>
  <si>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</si>
  <si>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</si>
  <si>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</si>
  <si>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</si>
  <si>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</si>
  <si>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</si>
  <si>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</si>
  <si>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</si>
  <si>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</si>
  <si>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</si>
  <si>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</si>
  <si>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</si>
  <si>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</si>
  <si>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</si>
  <si>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</si>
  <si>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</si>
  <si>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</si>
  <si>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</si>
  <si>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</si>
  <si>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</si>
  <si>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</si>
  <si>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</si>
  <si>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</si>
  <si>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</si>
  <si>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</si>
  <si>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</si>
  <si>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</si>
  <si>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</si>
  <si>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</si>
  <si>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</si>
  <si>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</si>
  <si>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</si>
  <si>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</si>
  <si>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</si>
  <si>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</si>
  <si>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</si>
  <si>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</si>
  <si>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</si>
  <si>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</si>
  <si>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</si>
  <si>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</si>
  <si>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</si>
  <si>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</si>
  <si>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</si>
  <si>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</si>
  <si>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</si>
  <si>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</si>
  <si>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</si>
  <si>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</si>
  <si>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</si>
  <si>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</si>
  <si>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</si>
  <si>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</si>
  <si>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</si>
  <si>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</si>
  <si>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</si>
  <si>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</si>
  <si>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</si>
  <si>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</si>
  <si>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</si>
  <si>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</si>
  <si>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</si>
  <si>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</si>
  <si>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</si>
  <si>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</si>
  <si>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</si>
  <si>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</si>
  <si>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</si>
  <si>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</si>
  <si>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</si>
  <si>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</si>
  <si>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</si>
  <si>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</si>
  <si>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</si>
  <si>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</si>
  <si>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</si>
  <si>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</si>
  <si>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</si>
  <si>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</si>
  <si>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</si>
  <si>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</si>
  <si>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</si>
  <si>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</si>
  <si>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</si>
  <si>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</si>
  <si>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</si>
  <si>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</si>
  <si>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</si>
  <si>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</si>
  <si>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</si>
  <si>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</si>
  <si>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</si>
  <si>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</si>
  <si>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</si>
  <si>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</si>
  <si>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</si>
  <si>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</si>
  <si>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</si>
  <si>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</si>
  <si>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</si>
  <si>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</si>
  <si>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</si>
  <si>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</si>
  <si>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</si>
  <si>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</si>
  <si>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</si>
  <si>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</si>
  <si>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</si>
  <si>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</si>
  <si>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</si>
  <si>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</si>
  <si>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</si>
  <si>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</si>
  <si>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</si>
  <si>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</si>
  <si>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</si>
  <si>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</si>
  <si>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</si>
  <si>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</si>
  <si>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</si>
  <si>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</si>
  <si>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</si>
  <si>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</si>
  <si>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</si>
  <si>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</si>
  <si>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</si>
  <si>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</si>
  <si>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</si>
  <si>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</si>
  <si>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</si>
  <si>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</si>
  <si>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</si>
  <si>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</si>
  <si>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</si>
  <si>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</si>
  <si>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</si>
  <si>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</si>
  <si>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</si>
  <si>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</si>
  <si>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</si>
  <si>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</si>
  <si>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</si>
  <si>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</si>
  <si>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</si>
  <si>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</si>
  <si>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</si>
  <si>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</si>
  <si>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</si>
  <si>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</si>
  <si>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</si>
  <si>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</si>
  <si>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</si>
  <si>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</si>
  <si>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</si>
  <si>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</si>
  <si>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</si>
  <si>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</si>
  <si>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</si>
  <si>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</si>
  <si>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</si>
  <si>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</si>
  <si>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</si>
  <si>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</si>
  <si>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</si>
  <si>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</si>
  <si>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</si>
  <si>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</si>
  <si>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</si>
  <si>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</si>
  <si>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</si>
  <si>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</si>
  <si>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</si>
  <si>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</si>
  <si>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</si>
  <si>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</si>
  <si>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</si>
  <si>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</si>
  <si>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</si>
  <si>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</si>
  <si>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</si>
  <si>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</si>
  <si>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</si>
  <si>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</si>
  <si>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</si>
  <si>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</si>
  <si>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</si>
  <si>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</si>
  <si>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</si>
  <si>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</si>
  <si>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</si>
  <si>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</si>
  <si>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</si>
  <si>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</si>
  <si>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</si>
  <si>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</si>
  <si>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</si>
  <si>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</si>
  <si>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</si>
  <si>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</si>
  <si>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</si>
  <si>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</si>
  <si>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</si>
  <si>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</si>
  <si>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</si>
  <si>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</si>
  <si>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</si>
  <si>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</si>
  <si>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</si>
  <si>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</si>
  <si>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</si>
  <si>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</si>
  <si>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</si>
  <si>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</si>
  <si>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</si>
  <si>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</si>
  <si>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</si>
  <si>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</si>
  <si>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</si>
  <si>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</si>
  <si>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</si>
  <si>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</si>
  <si>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</si>
  <si>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</si>
  <si>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</si>
  <si>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</si>
  <si>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</si>
  <si>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</si>
  <si>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</si>
  <si>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</si>
  <si>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</si>
  <si>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</si>
  <si>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</si>
  <si>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</si>
  <si>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</si>
  <si>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</si>
  <si>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</si>
  <si>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</si>
  <si>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</si>
  <si>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</si>
  <si>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</si>
  <si>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</si>
  <si>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</si>
  <si>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</si>
  <si>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</si>
  <si>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</si>
  <si>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</si>
  <si>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</si>
  <si>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</si>
  <si>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</si>
  <si>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</si>
  <si>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</si>
  <si>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</si>
  <si>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</si>
  <si>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</si>
  <si>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</si>
  <si>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</si>
  <si>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</si>
  <si>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</si>
  <si>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</si>
  <si>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</si>
  <si>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</si>
  <si>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</si>
  <si>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</si>
  <si>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</si>
  <si>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</si>
  <si>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</si>
  <si>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</si>
  <si>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</si>
  <si>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</si>
  <si>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</si>
  <si>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</si>
  <si>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</si>
  <si>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</si>
  <si>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</si>
  <si>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</si>
  <si>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</si>
  <si>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</si>
  <si>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</si>
  <si>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</si>
  <si>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</si>
  <si>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</si>
  <si>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</si>
  <si>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</si>
  <si>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</si>
  <si>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</si>
  <si>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</si>
  <si>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</si>
  <si>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</si>
  <si>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</si>
  <si>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</si>
  <si>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</si>
  <si>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</si>
  <si>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</si>
  <si>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</si>
  <si>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</si>
  <si>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</si>
  <si>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</si>
  <si>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</si>
  <si>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</si>
  <si>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</si>
  <si>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</si>
  <si>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</si>
  <si>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</si>
  <si>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</si>
  <si>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</si>
  <si>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</si>
  <si>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</si>
  <si>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</si>
  <si>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</si>
  <si>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</si>
  <si>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</si>
  <si>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</si>
  <si>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</si>
  <si>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</si>
  <si>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</si>
  <si>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</si>
  <si>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</si>
  <si>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</si>
  <si>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</si>
  <si>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</si>
  <si>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</si>
  <si>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</si>
  <si>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</si>
  <si>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</si>
  <si>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</si>
  <si>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</si>
  <si>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</si>
  <si>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</si>
  <si>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</si>
  <si>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</si>
  <si>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</si>
  <si>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</si>
  <si>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</si>
  <si>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</si>
  <si>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</si>
  <si>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</si>
  <si>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</si>
  <si>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</si>
  <si>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</si>
  <si>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</si>
  <si>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</si>
  <si>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</si>
  <si>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</si>
  <si>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</si>
  <si>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</si>
  <si>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</si>
  <si>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</si>
  <si>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</si>
  <si>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</si>
  <si>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</si>
  <si>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</si>
  <si>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</si>
  <si>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</si>
  <si>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</si>
  <si>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</si>
  <si>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</si>
  <si>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</si>
  <si>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</si>
  <si>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</si>
  <si>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</si>
  <si>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</si>
  <si>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</si>
  <si>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</si>
  <si>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</si>
  <si>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</si>
  <si>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</si>
  <si>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</si>
  <si>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</si>
  <si>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</si>
  <si>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</si>
  <si>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</si>
  <si>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</si>
  <si>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</si>
  <si>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</si>
  <si>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</si>
  <si>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</si>
  <si>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</si>
  <si>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</si>
  <si>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</si>
  <si>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</si>
  <si>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</si>
  <si>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</si>
  <si>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</si>
  <si>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</si>
  <si>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</si>
  <si>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</si>
  <si>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</si>
  <si>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</si>
  <si>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</si>
  <si>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</si>
  <si>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</si>
  <si>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</si>
  <si>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</si>
  <si>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</si>
  <si>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</si>
  <si>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</si>
  <si>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</si>
  <si>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</si>
  <si>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</si>
  <si>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</si>
  <si>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</si>
  <si>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</si>
  <si>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</si>
  <si>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</si>
  <si>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</si>
  <si>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</si>
  <si>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</si>
  <si>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</si>
  <si>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</si>
  <si>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</si>
  <si>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</si>
  <si>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</si>
  <si>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</si>
  <si>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</si>
  <si>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</si>
  <si>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</si>
  <si>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</si>
  <si>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</si>
  <si>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</si>
  <si>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</si>
  <si>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</si>
  <si>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</si>
  <si>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</si>
  <si>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</si>
  <si>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</si>
  <si>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</si>
  <si>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</si>
  <si>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</si>
  <si>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</si>
  <si>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</si>
  <si>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</si>
  <si>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</si>
  <si>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</si>
  <si>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</si>
  <si>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</si>
  <si>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</si>
  <si>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</si>
  <si>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</si>
  <si>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</si>
  <si>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</si>
  <si>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</si>
  <si>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</si>
  <si>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</si>
  <si>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</si>
  <si>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</si>
  <si>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</si>
  <si>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</si>
  <si>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</si>
  <si>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</si>
  <si>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</si>
  <si>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</si>
  <si>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</si>
  <si>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</si>
  <si>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</si>
  <si>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</si>
  <si>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</si>
  <si>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</si>
  <si>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</si>
  <si>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</si>
  <si>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</si>
  <si>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</si>
  <si>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</si>
  <si>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</si>
  <si>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</si>
  <si>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</si>
  <si>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</si>
  <si>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</si>
  <si>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</si>
  <si>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</si>
  <si>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</si>
  <si>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</si>
  <si>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</si>
  <si>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</si>
  <si>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</si>
  <si>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</si>
  <si>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</si>
  <si>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</si>
  <si>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</si>
  <si>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</si>
  <si>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</si>
  <si>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</si>
  <si>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</si>
  <si>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</si>
  <si>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</si>
  <si>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</si>
  <si>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</si>
  <si>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</si>
  <si>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</si>
  <si>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</si>
  <si>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</si>
  <si>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</si>
  <si>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</si>
  <si>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</si>
  <si>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</si>
  <si>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</si>
  <si>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</si>
  <si>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</si>
  <si>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</si>
  <si>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</si>
  <si>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</si>
  <si>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</si>
  <si>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</si>
  <si>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</si>
  <si>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</si>
  <si>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</si>
  <si>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</si>
  <si>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</si>
  <si>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</si>
  <si>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</si>
  <si>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</si>
  <si>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</si>
  <si>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</si>
  <si>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</si>
  <si>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</si>
  <si>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</si>
  <si>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</si>
  <si>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</si>
  <si>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</si>
  <si>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</si>
  <si>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</si>
  <si>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</si>
  <si>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</si>
  <si>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</si>
  <si>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</si>
  <si>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</si>
  <si>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</si>
  <si>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</si>
  <si>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</si>
  <si>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</si>
  <si>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</si>
  <si>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</si>
  <si>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</si>
  <si>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</si>
  <si>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</si>
  <si>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</si>
  <si>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</si>
  <si>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</si>
  <si>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</si>
  <si>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</si>
  <si>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</si>
  <si>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</si>
  <si>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</si>
  <si>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</si>
  <si>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</si>
  <si>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</si>
  <si>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</si>
  <si>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</si>
  <si>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</si>
  <si>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</si>
  <si>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</si>
  <si>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</si>
  <si>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</si>
  <si>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</si>
  <si>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</si>
  <si>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</si>
  <si>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</si>
  <si>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</si>
  <si>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</si>
  <si>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</si>
  <si>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</si>
  <si>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</si>
  <si>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</si>
  <si>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</si>
  <si>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</si>
  <si>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</si>
  <si>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</si>
  <si>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</si>
  <si>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</si>
  <si>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</si>
  <si>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</si>
  <si>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</si>
  <si>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</si>
  <si>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</si>
  <si>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</si>
  <si>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</si>
  <si>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</si>
  <si>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</si>
  <si>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</si>
  <si>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</si>
  <si>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</si>
  <si>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</si>
  <si>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</si>
  <si>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</si>
  <si>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</si>
  <si>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</si>
  <si>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</si>
  <si>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</si>
  <si>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</si>
  <si>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</si>
  <si>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</si>
  <si>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</si>
  <si>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</si>
  <si>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</si>
  <si>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</si>
  <si>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</si>
  <si>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</si>
  <si>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</si>
  <si>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</si>
  <si>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</si>
  <si>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</si>
  <si>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</si>
  <si>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</si>
  <si>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</si>
  <si>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</si>
  <si>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</si>
  <si>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</si>
  <si>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</si>
  <si>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</si>
  <si>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</si>
  <si>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</si>
  <si>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</si>
  <si>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</si>
  <si>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</si>
  <si>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</si>
  <si>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</si>
  <si>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</si>
  <si>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</si>
  <si>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</si>
  <si>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</si>
  <si>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</si>
  <si>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</si>
  <si>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</si>
  <si>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</si>
  <si>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</si>
  <si>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</si>
  <si>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</si>
  <si>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</si>
  <si>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</si>
  <si>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</si>
  <si>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</si>
  <si>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</si>
  <si>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</si>
  <si>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</si>
  <si>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</si>
  <si>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</si>
  <si>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</si>
  <si>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</si>
  <si>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</si>
  <si>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</si>
  <si>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</si>
  <si>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</si>
  <si>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</si>
  <si>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</si>
  <si>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</si>
  <si>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</si>
  <si>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</si>
  <si>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</si>
  <si>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</si>
  <si>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</si>
  <si>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</si>
  <si>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</si>
  <si>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</si>
  <si>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</si>
  <si>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</si>
  <si>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</si>
  <si>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</si>
  <si>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</si>
  <si>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</si>
  <si>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</si>
  <si>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</si>
  <si>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</si>
  <si>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</si>
  <si>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</si>
  <si>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</si>
  <si>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</si>
  <si>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</si>
  <si>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</si>
  <si>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</si>
  <si>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</si>
  <si>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</si>
  <si>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</si>
  <si>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</si>
  <si>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</si>
  <si>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</si>
  <si>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</si>
  <si>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</si>
  <si>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</si>
  <si>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</si>
  <si>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</si>
  <si>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</si>
  <si>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</si>
  <si>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</si>
  <si>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</si>
  <si>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</si>
  <si>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</si>
  <si>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</si>
  <si>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</si>
  <si>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</si>
  <si>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</si>
  <si>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</si>
  <si>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</si>
  <si>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</si>
  <si>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</si>
  <si>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</si>
  <si>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</si>
  <si>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</si>
  <si>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</si>
  <si>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</si>
  <si>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</si>
  <si>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</si>
  <si>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</si>
  <si>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</si>
  <si>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</si>
  <si>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</si>
  <si>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</si>
  <si>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</si>
  <si>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</si>
  <si>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</si>
  <si>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</si>
  <si>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</si>
  <si>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</si>
  <si>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</si>
  <si>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</si>
  <si>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</si>
  <si>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</si>
  <si>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</si>
  <si>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</si>
  <si>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</si>
  <si>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</si>
  <si>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</si>
  <si>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</si>
  <si>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</si>
  <si>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</si>
  <si>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</si>
  <si>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</si>
  <si>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</si>
  <si>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</si>
  <si>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</si>
  <si>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</si>
  <si>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</si>
  <si>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</si>
  <si>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</si>
  <si>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</si>
  <si>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</si>
  <si>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</si>
  <si>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</si>
  <si>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</si>
  <si>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</si>
  <si>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</si>
  <si>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</si>
  <si>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</si>
  <si>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</si>
  <si>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</si>
  <si>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</si>
  <si>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</si>
  <si>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</si>
  <si>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</si>
  <si>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</si>
  <si>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</si>
  <si>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</si>
  <si>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</si>
  <si>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</si>
  <si>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</si>
  <si>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</si>
  <si>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</si>
  <si>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</si>
  <si>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</si>
  <si>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</si>
  <si>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</si>
  <si>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</si>
  <si>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</si>
  <si>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</si>
  <si>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</si>
  <si>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</si>
  <si>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</si>
  <si>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</si>
  <si>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</si>
  <si>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</si>
  <si>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</si>
  <si>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</si>
  <si>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</si>
  <si>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</si>
  <si>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</si>
  <si>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</si>
  <si>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</si>
  <si>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</si>
  <si>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</si>
  <si>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</si>
  <si>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</si>
  <si>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</si>
  <si>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</si>
  <si>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</si>
  <si>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</si>
  <si>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</si>
  <si>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</si>
  <si>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</si>
  <si>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</si>
  <si>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</si>
  <si>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</si>
  <si>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</si>
  <si>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</si>
  <si>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</si>
  <si>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</si>
  <si>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</si>
  <si>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</si>
  <si>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</si>
  <si>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</si>
  <si>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</si>
  <si>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</si>
  <si>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</si>
  <si>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</si>
  <si>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</si>
  <si>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</si>
  <si>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</si>
  <si>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</si>
  <si>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</si>
  <si>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</si>
  <si>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</si>
  <si>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</si>
  <si>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</si>
  <si>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</si>
  <si>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</si>
  <si>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</si>
  <si>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</si>
  <si>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</si>
  <si>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</si>
  <si>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</si>
  <si>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</si>
  <si>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</si>
  <si>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</si>
  <si>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</si>
  <si>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</si>
  <si>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</si>
  <si>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</si>
  <si>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</si>
  <si>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</si>
  <si>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</si>
  <si>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</si>
  <si>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</si>
  <si>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</si>
  <si>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</si>
  <si>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</si>
  <si>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</si>
  <si>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</si>
  <si>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</si>
  <si>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</si>
  <si>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</si>
  <si>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</si>
  <si>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</si>
  <si>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</si>
  <si>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</si>
  <si>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</si>
  <si>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</si>
  <si>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</si>
  <si>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</si>
  <si>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</si>
  <si>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</si>
  <si>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</si>
  <si>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</si>
  <si>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</si>
  <si>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</si>
  <si>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</si>
  <si>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</si>
  <si>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</si>
  <si>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</si>
  <si>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</si>
  <si>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</si>
  <si>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</si>
  <si>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</si>
  <si>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</si>
  <si>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</si>
  <si>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</si>
  <si>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</si>
  <si>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</si>
  <si>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</si>
  <si>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</si>
  <si>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</si>
  <si>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</si>
  <si>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</si>
  <si>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</si>
  <si>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</si>
  <si>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</si>
  <si>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</si>
  <si>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</si>
  <si>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</si>
  <si>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</si>
  <si>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</si>
  <si>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</si>
  <si>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</si>
  <si>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</si>
  <si>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</si>
  <si>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</si>
  <si>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</si>
  <si>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</si>
  <si>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</si>
  <si>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</si>
  <si>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</si>
  <si>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</si>
  <si>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</si>
  <si>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</si>
  <si>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</si>
  <si>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</si>
  <si>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</si>
  <si>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</si>
  <si>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</si>
  <si>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</si>
  <si>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</si>
  <si>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</si>
  <si>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</si>
  <si>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</si>
  <si>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</si>
  <si>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</si>
  <si>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</si>
  <si>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</si>
  <si>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</si>
  <si>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</si>
  <si>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</si>
  <si>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</si>
  <si>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</si>
  <si>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</si>
  <si>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</si>
  <si>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</si>
  <si>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</si>
  <si>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</si>
  <si>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</si>
  <si>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</si>
  <si>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</si>
  <si>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</si>
  <si>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</si>
  <si>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</si>
  <si>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</si>
  <si>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</si>
  <si>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</si>
  <si>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</si>
  <si>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</si>
  <si>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</si>
  <si>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</si>
  <si>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</si>
  <si>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</si>
  <si>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</si>
  <si>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</si>
  <si>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</si>
  <si>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</si>
  <si>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</si>
  <si>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</si>
  <si>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</si>
  <si>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</si>
  <si>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</si>
  <si>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</si>
  <si>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</si>
  <si>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</si>
  <si>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</si>
  <si>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</si>
  <si>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</si>
  <si>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</si>
  <si>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</si>
  <si>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</si>
  <si>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</si>
  <si>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</si>
  <si>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</si>
  <si>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</si>
  <si>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</si>
  <si>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</si>
  <si>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</si>
  <si>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</si>
  <si>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</si>
  <si>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</si>
  <si>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</si>
  <si>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</si>
  <si>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</si>
  <si>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</si>
  <si>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</si>
  <si>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</si>
  <si>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</si>
  <si>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</si>
  <si>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</si>
  <si>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</si>
  <si>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</si>
  <si>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</si>
  <si>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</si>
  <si>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</si>
  <si>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</si>
  <si>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</si>
  <si>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</si>
  <si>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</si>
  <si>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</si>
  <si>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</si>
  <si>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</si>
  <si>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</si>
  <si>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</si>
  <si>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</si>
  <si>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</si>
  <si>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</si>
  <si>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</si>
  <si>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</si>
  <si>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</si>
  <si>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</si>
  <si>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</si>
  <si>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</si>
  <si>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</si>
  <si>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</si>
  <si>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</si>
  <si>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</si>
  <si>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</si>
  <si>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</si>
  <si>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</si>
  <si>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</si>
  <si>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</si>
  <si>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</si>
  <si>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</si>
  <si>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</si>
  <si>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</si>
  <si>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</si>
  <si>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</si>
  <si>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</si>
  <si>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</si>
  <si>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</si>
  <si>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</si>
  <si>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</si>
  <si>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</si>
  <si>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</si>
  <si>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</si>
  <si>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</si>
  <si>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</si>
  <si>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</si>
  <si>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</si>
  <si>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</si>
  <si>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</si>
  <si>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</si>
  <si>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</si>
  <si>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</si>
  <si>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</si>
  <si>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</si>
  <si>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</si>
  <si>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</si>
  <si>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</si>
  <si>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</si>
  <si>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</si>
  <si>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</si>
  <si>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</si>
  <si>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</si>
  <si>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</si>
  <si>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</si>
  <si>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</si>
  <si>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</si>
  <si>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</si>
  <si>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</si>
  <si>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</si>
  <si>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</si>
  <si>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</si>
  <si>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</si>
  <si>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</si>
  <si>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</si>
  <si>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</si>
  <si>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</si>
  <si>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</si>
  <si>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</si>
  <si>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</si>
  <si>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</si>
  <si>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</si>
  <si>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</si>
  <si>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</si>
  <si>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</si>
  <si>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</si>
  <si>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</si>
  <si>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</si>
  <si>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</si>
  <si>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</si>
  <si>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</si>
  <si>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</si>
  <si>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</si>
  <si>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</si>
  <si>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</si>
  <si>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</si>
  <si>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</si>
  <si>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</si>
  <si>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</si>
  <si>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</si>
  <si>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</si>
  <si>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</si>
  <si>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</si>
  <si>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</si>
  <si>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</si>
  <si>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</si>
  <si>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</si>
  <si>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</si>
  <si>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</si>
  <si>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</si>
  <si>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</si>
  <si>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</si>
  <si>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</si>
  <si>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</si>
  <si>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</si>
  <si>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</si>
  <si>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</si>
  <si>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</si>
  <si>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</si>
  <si>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</si>
  <si>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</si>
  <si>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</si>
  <si>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</si>
  <si>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</si>
  <si>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</si>
  <si>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</si>
  <si>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</si>
  <si>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</si>
  <si>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</si>
  <si>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</si>
  <si>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</si>
  <si>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</si>
  <si>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</si>
  <si>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</si>
  <si>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</si>
  <si>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</si>
  <si>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</si>
  <si>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</si>
  <si>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</si>
  <si>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</si>
  <si>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</si>
  <si>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</si>
  <si>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</si>
  <si>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</si>
  <si>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</si>
  <si>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</si>
  <si>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</si>
  <si>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</si>
  <si>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</si>
  <si>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</si>
  <si>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</si>
  <si>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</si>
  <si>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</si>
  <si>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</si>
  <si>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</si>
  <si>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</si>
  <si>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</si>
  <si>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</si>
  <si>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</si>
  <si>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</si>
  <si>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</si>
  <si>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</si>
  <si>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</si>
  <si>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</si>
  <si>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</si>
  <si>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</si>
  <si>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</si>
  <si>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</si>
  <si>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</si>
  <si>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</si>
  <si>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</si>
  <si>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</si>
  <si>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</si>
  <si>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</si>
  <si>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</si>
  <si>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</si>
  <si>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</si>
  <si>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</si>
  <si>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</si>
  <si>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</si>
  <si>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</si>
  <si>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</si>
  <si>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</si>
  <si>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</si>
  <si>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</si>
  <si>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</si>
  <si>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</si>
  <si>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</si>
  <si>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</si>
  <si>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</si>
  <si>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</si>
  <si>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</si>
  <si>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</si>
  <si>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</si>
  <si>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</si>
  <si>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</si>
  <si>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</si>
  <si>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</si>
  <si>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</si>
  <si>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</si>
  <si>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</si>
  <si>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</si>
  <si>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</si>
  <si>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</si>
  <si>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</si>
  <si>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</si>
  <si>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</si>
  <si>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</si>
  <si>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</si>
  <si>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</si>
  <si>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</si>
  <si>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</si>
  <si>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</si>
  <si>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</si>
  <si>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</si>
  <si>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</si>
  <si>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</si>
  <si>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</si>
  <si>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</si>
  <si>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</si>
  <si>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</si>
  <si>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</si>
  <si>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</si>
  <si>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</si>
  <si>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</si>
  <si>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</si>
  <si>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</si>
  <si>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</si>
  <si>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</si>
  <si>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</si>
  <si>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</si>
  <si>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</si>
  <si>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</si>
  <si>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</si>
  <si>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</si>
  <si>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</si>
  <si>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</si>
  <si>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</si>
  <si>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</si>
  <si>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</si>
  <si>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</si>
  <si>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</si>
  <si>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</si>
  <si>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</si>
  <si>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</si>
  <si>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</si>
  <si>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</si>
  <si>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</si>
  <si>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</si>
  <si>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</si>
  <si>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</si>
  <si>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</si>
  <si>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</si>
  <si>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</si>
  <si>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</si>
  <si>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</si>
  <si>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</si>
  <si>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</si>
  <si>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</si>
  <si>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</si>
  <si>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</si>
  <si>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</si>
  <si>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</si>
  <si>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</si>
  <si>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</si>
  <si>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</si>
  <si>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</si>
  <si>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</si>
  <si>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</si>
  <si>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</si>
  <si>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</si>
  <si>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</si>
  <si>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</si>
  <si>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</si>
  <si>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</si>
  <si>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</si>
  <si>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</si>
  <si>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</si>
  <si>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</si>
  <si>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</si>
  <si>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</si>
  <si>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</si>
  <si>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</si>
  <si>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</si>
  <si>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</si>
  <si>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</si>
  <si>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</si>
  <si>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</si>
  <si>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</si>
  <si>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</si>
  <si>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</si>
  <si>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</si>
  <si>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</si>
  <si>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</si>
  <si>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</si>
  <si>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</si>
  <si>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</si>
  <si>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</si>
  <si>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</si>
  <si>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</si>
  <si>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</si>
  <si>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</si>
  <si>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</si>
  <si>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</si>
  <si>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</si>
  <si>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</si>
  <si>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</si>
  <si>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</si>
  <si>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</si>
  <si>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</si>
  <si>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</si>
  <si>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</si>
  <si>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</si>
  <si>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</si>
  <si>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</si>
  <si>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</si>
  <si>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</si>
  <si>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</si>
  <si>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</si>
  <si>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</si>
  <si>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</si>
  <si>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</si>
  <si>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</si>
  <si>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</si>
  <si>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</si>
  <si>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</si>
  <si>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</si>
  <si>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</si>
  <si>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</si>
  <si>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</si>
  <si>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</si>
  <si>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</si>
  <si>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</si>
  <si>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</si>
  <si>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</si>
  <si>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</si>
  <si>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</si>
  <si>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</si>
  <si>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</si>
  <si>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</si>
  <si>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</si>
  <si>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</si>
  <si>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</si>
  <si>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</si>
  <si>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</si>
  <si>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</si>
  <si>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</si>
  <si>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</si>
  <si>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</si>
  <si>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</si>
  <si>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</si>
  <si>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</si>
  <si>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</si>
  <si>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</si>
  <si>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</si>
  <si>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</si>
  <si>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</si>
  <si>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</si>
  <si>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</si>
  <si>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</si>
  <si>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</si>
  <si>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</si>
  <si>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</si>
  <si>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</si>
  <si>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</si>
  <si>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</si>
  <si>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</si>
  <si>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</si>
  <si>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</si>
  <si>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</si>
  <si>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</si>
  <si>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</si>
  <si>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</si>
  <si>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</si>
  <si>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</si>
  <si>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</si>
  <si>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</si>
  <si>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</si>
  <si>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</si>
  <si>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</si>
  <si>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</si>
  <si>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</si>
  <si>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</si>
  <si>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</si>
  <si>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</si>
  <si>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</si>
  <si>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</si>
  <si>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</si>
  <si>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</si>
  <si>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</si>
  <si>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</si>
  <si>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</si>
  <si>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</si>
  <si>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</si>
  <si>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</si>
  <si>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</si>
  <si>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</si>
  <si>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</si>
  <si>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</si>
  <si>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</si>
  <si>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</si>
  <si>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</si>
  <si>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</si>
  <si>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</si>
  <si>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</si>
  <si>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</si>
  <si>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</si>
  <si>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</si>
  <si>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</si>
  <si>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</si>
  <si>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</si>
  <si>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</si>
  <si>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</si>
  <si>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</si>
  <si>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</si>
  <si>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</si>
  <si>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</si>
  <si>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</si>
  <si>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</si>
  <si>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</si>
  <si>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</si>
  <si>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</si>
  <si>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</si>
  <si>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</si>
  <si>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</si>
  <si>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</si>
  <si>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</si>
  <si>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</si>
  <si>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</si>
  <si>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</si>
  <si>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</si>
  <si>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</si>
  <si>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</si>
  <si>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</si>
  <si>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</si>
  <si>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</si>
  <si>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</si>
  <si>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</si>
  <si>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</si>
  <si>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</si>
  <si>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</si>
  <si>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</si>
  <si>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</si>
  <si>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</si>
  <si>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</si>
  <si>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</si>
  <si>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</si>
  <si>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</si>
  <si>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</si>
  <si>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</si>
  <si>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</si>
  <si>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</si>
  <si>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</si>
  <si>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</si>
  <si>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</si>
  <si>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</si>
  <si>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</si>
  <si>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</si>
  <si>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</si>
  <si>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</si>
  <si>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</si>
  <si>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</si>
  <si>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</si>
  <si>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</si>
  <si>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</si>
  <si>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</si>
  <si>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</si>
  <si>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</si>
  <si>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</si>
  <si>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</si>
  <si>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估价对象10</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</si>
  <si>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</si>
  <si>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</si>
  <si>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</si>
  <si>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</si>
  <si>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</si>
  <si>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</si>
  <si>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</si>
  <si>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</si>
  <si>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</si>
  <si>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</si>
  <si>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</si>
  <si>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</si>
  <si>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</si>
  <si>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</si>
  <si>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</si>
  <si>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</si>
  <si>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</si>
  <si>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</si>
  <si>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</si>
  <si>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</si>
  <si>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</si>
  <si>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</si>
  <si>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</si>
  <si>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</si>
  <si>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</si>
  <si>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</si>
  <si>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</si>
  <si>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</si>
  <si>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</si>
  <si>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</si>
  <si>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</si>
  <si>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</si>
  <si>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</si>
  <si>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</si>
  <si>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</si>
  <si>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</si>
  <si>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</si>
  <si>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</si>
  <si>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</si>
  <si>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</si>
  <si>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</si>
  <si>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</si>
  <si>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</si>
  <si>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</si>
  <si>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</si>
  <si>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</si>
  <si>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</si>
  <si>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</si>
  <si>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</si>
  <si>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</si>
  <si>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</si>
  <si>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</si>
  <si>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</si>
  <si>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</si>
  <si>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</si>
  <si>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</si>
  <si>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</si>
  <si>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</si>
  <si>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</si>
  <si>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</si>
  <si>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</si>
  <si>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</si>
  <si>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</si>
  <si>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</si>
  <si>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</si>
  <si>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</si>
  <si>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</si>
  <si>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</si>
  <si>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</si>
  <si>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</si>
  <si>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</si>
  <si>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</si>
  <si>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</si>
  <si>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</si>
  <si>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</si>
  <si>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</si>
  <si>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</si>
  <si>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</si>
  <si>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</si>
  <si>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</si>
  <si>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</si>
  <si>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</si>
  <si>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</si>
  <si>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</si>
  <si>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</si>
  <si>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</si>
  <si>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</si>
  <si>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</si>
  <si>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</si>
  <si>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</si>
  <si>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</si>
  <si>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</si>
  <si>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</si>
  <si>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</si>
  <si>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</si>
  <si>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</si>
  <si>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</si>
  <si>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</si>
  <si>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</si>
  <si>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</si>
  <si>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</si>
  <si>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</si>
  <si>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</si>
  <si>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</si>
  <si>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</si>
  <si>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</si>
  <si>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</si>
  <si>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</si>
  <si>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赵雯</t>
  </si>
  <si>
    <t>大业信托</t>
    <phoneticPr fontId="6" type="noConversion"/>
  </si>
  <si>
    <t>大业信托</t>
    <phoneticPr fontId="6" type="noConversion"/>
  </si>
  <si>
    <t>华夏幸福</t>
    <phoneticPr fontId="6" type="noConversion"/>
  </si>
  <si>
    <t>抵押</t>
  </si>
  <si>
    <t>抵押价格</t>
  </si>
  <si>
    <t>其他：</t>
  </si>
  <si>
    <t>河北省</t>
    <phoneticPr fontId="6" type="noConversion"/>
  </si>
  <si>
    <t>企业</t>
  </si>
  <si>
    <t>怀来京御房地产开发有限公司</t>
    <phoneticPr fontId="6" type="noConversion"/>
  </si>
  <si>
    <t>住宅</t>
    <phoneticPr fontId="6" type="noConversion"/>
  </si>
  <si>
    <t>一致</t>
  </si>
  <si>
    <t>符合</t>
  </si>
  <si>
    <t>出让</t>
  </si>
  <si>
    <t>否</t>
  </si>
  <si>
    <t>居住项目</t>
  </si>
  <si>
    <t>无</t>
  </si>
  <si>
    <t>场地平整</t>
  </si>
  <si>
    <t>通路</t>
  </si>
  <si>
    <t>通上水</t>
  </si>
  <si>
    <t>通电</t>
  </si>
  <si>
    <t>地上</t>
  </si>
  <si>
    <t>普通住宅</t>
  </si>
  <si>
    <t>住宅</t>
    <phoneticPr fontId="7" type="noConversion"/>
  </si>
  <si>
    <t>一般</t>
    <phoneticPr fontId="3" type="noConversion"/>
  </si>
  <si>
    <t>一般</t>
    <phoneticPr fontId="3"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</si>
  <si>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</si>
  <si>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</si>
  <si>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</si>
  <si>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</si>
  <si>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</si>
  <si>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</si>
  <si>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</si>
  <si>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</si>
  <si>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</si>
  <si>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</si>
  <si>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</si>
  <si>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</si>
  <si>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</si>
  <si>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</si>
  <si>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</si>
  <si>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</si>
  <si>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</si>
  <si>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</si>
  <si>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</si>
  <si>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</si>
  <si>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</si>
  <si>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</si>
  <si>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</si>
  <si>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</si>
  <si>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</si>
  <si>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</si>
  <si>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</si>
  <si>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</si>
  <si>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</si>
  <si>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</si>
  <si>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</si>
  <si>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</si>
  <si>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</si>
  <si>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</si>
  <si>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</si>
  <si>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</si>
  <si>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</si>
  <si>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</si>
  <si>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</si>
  <si>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</si>
  <si>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</si>
  <si>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</si>
  <si>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</si>
  <si>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</si>
  <si>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沙城镇四街村</t>
  </si>
  <si>
    <t>张家口市</t>
  </si>
  <si>
    <t>住宅用地</t>
  </si>
  <si>
    <t>怀来县</t>
  </si>
  <si>
    <t>挂牌</t>
  </si>
  <si>
    <t>ZZ17-22</t>
  </si>
  <si>
    <t>其他普通商品住房用地</t>
  </si>
  <si>
    <t>大于1并且小于或等于2</t>
  </si>
  <si>
    <t>小于或等于28</t>
  </si>
  <si>
    <t>小于或等于60</t>
  </si>
  <si>
    <t>未开工</t>
  </si>
  <si>
    <t>2018-06-29</t>
  </si>
  <si>
    <t>2018-07-19</t>
  </si>
  <si>
    <t>2018-07-28</t>
  </si>
  <si>
    <t>怀公资告字[2018]8号</t>
  </si>
  <si>
    <t>已成交</t>
  </si>
  <si>
    <t>怀来鸿翔恒居房地产开发有限公司</t>
  </si>
  <si>
    <t>70年</t>
  </si>
  <si>
    <t>沙城镇华玉路东侧</t>
  </si>
  <si>
    <t>ZZ18-19</t>
  </si>
  <si>
    <t>大于或等于1并且小于或等于1.96</t>
  </si>
  <si>
    <t>小于或等于55</t>
  </si>
  <si>
    <t>2018-06-26</t>
  </si>
  <si>
    <t>2018-07-16</t>
  </si>
  <si>
    <t>2018-07-25</t>
  </si>
  <si>
    <t>怀公资告字[2018]7号</t>
  </si>
  <si>
    <t>怀来县京创房地产开发有限公司</t>
  </si>
  <si>
    <t>ZZ18-18</t>
  </si>
  <si>
    <t>沙城镇地道桥南原沙城国有粮食购销库</t>
  </si>
  <si>
    <t>ZZ18-11</t>
  </si>
  <si>
    <t>大于1并且小于或等于2.5</t>
  </si>
  <si>
    <t>小于或等于27</t>
  </si>
  <si>
    <t>小于或等于65</t>
  </si>
  <si>
    <t>2018-06-21</t>
  </si>
  <si>
    <t>2018-07-11</t>
  </si>
  <si>
    <t>2018-07-20</t>
  </si>
  <si>
    <t>怀公资告字[2018]6号</t>
  </si>
  <si>
    <t>怀来县瑞泰房地产开发有限公司</t>
  </si>
  <si>
    <t>土木镇土木村</t>
  </si>
  <si>
    <t>ZZ17-56</t>
  </si>
  <si>
    <t>小于或等于30</t>
  </si>
  <si>
    <t>怀公资告字[2018]5号</t>
  </si>
  <si>
    <t>怀来天保房地产开发有限公司</t>
  </si>
  <si>
    <t>东八里乡东八里村</t>
  </si>
  <si>
    <t>ZZ17-06</t>
  </si>
  <si>
    <t>小于或等于35</t>
  </si>
  <si>
    <t>张家口名郡兴泰房地产开发有限责任公司</t>
  </si>
  <si>
    <t>ZZ18-10</t>
  </si>
  <si>
    <t>河北天骠蓝诚房地产开发有限公司</t>
  </si>
  <si>
    <t>ZZ17-57</t>
  </si>
  <si>
    <t>沙城镇七街村</t>
  </si>
  <si>
    <t>ZZ18-04</t>
  </si>
  <si>
    <t>大于1并且小于或等于2.4</t>
  </si>
  <si>
    <t>2018-06-16</t>
  </si>
  <si>
    <t>2018-07-06</t>
  </si>
  <si>
    <t>怀公资告字[2018]4号</t>
  </si>
  <si>
    <t>河北远科房地产开发有限公司</t>
  </si>
  <si>
    <t>ZZ18-05</t>
  </si>
  <si>
    <t>沙城镇九街村</t>
  </si>
  <si>
    <t>ZZ17-23</t>
  </si>
  <si>
    <t>大于1并且小于或等于2.85</t>
  </si>
  <si>
    <t>小于或等于70</t>
  </si>
  <si>
    <t>2018-02-14</t>
  </si>
  <si>
    <t>2018-03-06</t>
  </si>
  <si>
    <t>2018-03-15</t>
  </si>
  <si>
    <t>怀公资告字[2018]1号</t>
  </si>
  <si>
    <t>河北振远金尊房地产开发有限公司</t>
  </si>
  <si>
    <t>怀来县狼山乡狼山村</t>
  </si>
  <si>
    <t>ZZ17-65</t>
  </si>
  <si>
    <t>怀公资告字[2018]2号</t>
  </si>
  <si>
    <t>怀来县城投房地产开发有限公司</t>
  </si>
  <si>
    <t>ZZ17-67</t>
  </si>
  <si>
    <t>ZZ17-66</t>
  </si>
  <si>
    <t>ZZ17-01</t>
  </si>
  <si>
    <t>2017-12-23</t>
  </si>
  <si>
    <t>2018-01-12</t>
  </si>
  <si>
    <t>2018-01-21</t>
  </si>
  <si>
    <t>怀公资告字[2017]8号</t>
  </si>
  <si>
    <t>怀来县沙城镇良田屯村</t>
  </si>
  <si>
    <t>ZZ14-73</t>
  </si>
  <si>
    <t>开工中</t>
  </si>
  <si>
    <t>2017-09-26</t>
  </si>
  <si>
    <t>2017-10-24</t>
  </si>
  <si>
    <t>2017-11-02</t>
  </si>
  <si>
    <t>怀公资告字[2017]6号</t>
  </si>
  <si>
    <t>ZZ17-55</t>
  </si>
  <si>
    <t>2017-08-30</t>
  </si>
  <si>
    <t>2017-09-19</t>
  </si>
  <si>
    <t>2017-09-28</t>
  </si>
  <si>
    <t>怀公资告字[2017]5号</t>
  </si>
  <si>
    <t>沙城镇良田屯村</t>
  </si>
  <si>
    <t>ZZ14-01</t>
  </si>
  <si>
    <t>大于1并且小于或等于1.8</t>
  </si>
  <si>
    <t>2017-08-09</t>
  </si>
  <si>
    <t>2017-08-29</t>
  </si>
  <si>
    <t>2017-09-07</t>
  </si>
  <si>
    <t>怀公资告字[2017]2号</t>
  </si>
  <si>
    <t>怀来县沙城镇小辛庄村</t>
  </si>
  <si>
    <t>ZZ17-18</t>
  </si>
  <si>
    <t>小于或等于75</t>
  </si>
  <si>
    <t>2017-07-28</t>
  </si>
  <si>
    <t>2017-08-17</t>
  </si>
  <si>
    <t>2017-08-26</t>
  </si>
  <si>
    <t>怀公资告字[2017]1号</t>
  </si>
  <si>
    <t>怀来县京盛房地产开发有限公司</t>
  </si>
  <si>
    <t>ZZ17-19</t>
  </si>
  <si>
    <t>怀来县瑞云观乡罗庄村</t>
  </si>
  <si>
    <t>ZZ16-97</t>
  </si>
  <si>
    <t>大于1并且小于或等于1.5</t>
  </si>
  <si>
    <t>2017-01-12</t>
  </si>
  <si>
    <t>2017-02-08</t>
  </si>
  <si>
    <t>怀国土告字[2017]01号</t>
  </si>
  <si>
    <t>怀来县均利恺元置业有限公司</t>
  </si>
  <si>
    <t>沙城镇长城北路东侧董存瑞东大街南侧</t>
  </si>
  <si>
    <t>ZZ16-101</t>
  </si>
  <si>
    <t>大于或等于1并且小于或等于4.3</t>
  </si>
  <si>
    <t>小于或等于25</t>
  </si>
  <si>
    <t>小于或等于80</t>
  </si>
  <si>
    <t>2017-04-28</t>
  </si>
  <si>
    <t>2017-05-18</t>
  </si>
  <si>
    <t>2017-05-27</t>
  </si>
  <si>
    <t>怀国土告字[2017]09号</t>
  </si>
  <si>
    <t>怀来万悦置业有限公司</t>
  </si>
  <si>
    <t>沙城镇广场路东侧</t>
  </si>
  <si>
    <t>ZZ17-04</t>
  </si>
  <si>
    <t>大于1并且小于或等于2.8</t>
  </si>
  <si>
    <t>怀国土告字[2017]08号</t>
  </si>
  <si>
    <t>怀来县远鑫房地产开发有限公司</t>
  </si>
  <si>
    <t>怀来县官厅镇施庄村</t>
  </si>
  <si>
    <t>ZZ16-85</t>
  </si>
  <si>
    <t>大于1并且小于或等于1.09</t>
  </si>
  <si>
    <t>2017-03-15</t>
  </si>
  <si>
    <t>2017-04-04</t>
  </si>
  <si>
    <t>2017-04-13</t>
  </si>
  <si>
    <t>怀国土告字[2017]05号</t>
  </si>
  <si>
    <t>河北官厅主题房地产开发有限公司</t>
  </si>
  <si>
    <t>官厅镇施庄村</t>
  </si>
  <si>
    <t>ZZ16-65</t>
  </si>
  <si>
    <t>ZZ16-62</t>
  </si>
  <si>
    <t>ZZ16-64</t>
  </si>
  <si>
    <t>ZZ16-63</t>
  </si>
  <si>
    <t>ZZ16-61</t>
  </si>
  <si>
    <t>桑园镇万窑村</t>
  </si>
  <si>
    <t>ZZ16-93</t>
  </si>
  <si>
    <t>怀国土告字[2017]06号</t>
  </si>
  <si>
    <t>怀来怡悦宛房地产开发有限责任公司</t>
  </si>
  <si>
    <t>ZZ16-59</t>
  </si>
  <si>
    <t>2017-02-07</t>
  </si>
  <si>
    <t>2017-02-27</t>
  </si>
  <si>
    <t>2017-03-08</t>
  </si>
  <si>
    <t>怀国土告字[2017]03号</t>
  </si>
  <si>
    <t>ZZ16-60</t>
  </si>
  <si>
    <t>ZZ16-81</t>
  </si>
  <si>
    <t>怀来县沙城镇府前东街北侧燕京北路西侧</t>
  </si>
  <si>
    <t>ZZ16-98</t>
  </si>
  <si>
    <t>大于1.2并且小于或等于2.5</t>
  </si>
  <si>
    <t>小于或等于40</t>
  </si>
  <si>
    <t>怀国土告字[2017]04号</t>
  </si>
  <si>
    <t>怀来县金邸房地产开发有限公司</t>
  </si>
  <si>
    <t>ZZ16-58</t>
  </si>
  <si>
    <t>怀来县东花园镇陈家堡村</t>
  </si>
  <si>
    <t>ZZ16-95</t>
  </si>
  <si>
    <t>2017-02-17</t>
  </si>
  <si>
    <t>怀国土告字[2017]02号</t>
  </si>
  <si>
    <t>河北未来远大房地产开发有限公司</t>
  </si>
  <si>
    <t>ZZ16-96</t>
  </si>
  <si>
    <t>怀来县东花园镇杨庄子村、董庄子村</t>
  </si>
  <si>
    <t>ZZ16-69</t>
  </si>
  <si>
    <t>小于或等于12</t>
  </si>
  <si>
    <t>2016-11-04</t>
  </si>
  <si>
    <t>2016-11-23</t>
  </si>
  <si>
    <t>2016-12-02</t>
  </si>
  <si>
    <t>怀国土告字[2016]28号</t>
  </si>
  <si>
    <t>怀来京御房地产开发有限公司</t>
  </si>
  <si>
    <t>怀来县桑园镇后郝窑村</t>
  </si>
  <si>
    <t>ZZ16-53</t>
  </si>
  <si>
    <t>小于或等于26</t>
  </si>
  <si>
    <t>怀来新天地房地产开发有限公司</t>
  </si>
  <si>
    <t>怀来县东花园镇董庄子村</t>
  </si>
  <si>
    <t>ZZ16-75</t>
  </si>
  <si>
    <t>ZZ16-67</t>
  </si>
  <si>
    <t>怀来县桑园镇万窑村</t>
  </si>
  <si>
    <t>ZZ16-88</t>
  </si>
  <si>
    <t>怀来怡悦宛房地产开发有限公司</t>
  </si>
  <si>
    <t>ZZ16-77</t>
  </si>
  <si>
    <t>怀来县东花园镇杨庄子村</t>
  </si>
  <si>
    <t>ZZ16-66</t>
  </si>
  <si>
    <t>怀来县东花园镇大南辛堡村</t>
  </si>
  <si>
    <t>ZZ16-55</t>
  </si>
  <si>
    <t>ZZ16-54</t>
  </si>
  <si>
    <t>ZZ16-68</t>
  </si>
  <si>
    <t>ZZ16-52</t>
  </si>
  <si>
    <t>ZZ16-56</t>
  </si>
  <si>
    <t>小于或等于45</t>
  </si>
  <si>
    <t>ZZ16-76</t>
  </si>
  <si>
    <t>沙城镇四街村</t>
    <phoneticPr fontId="233" type="noConversion"/>
  </si>
  <si>
    <t>沙城镇九街村</t>
    <phoneticPr fontId="233" type="noConversion"/>
  </si>
  <si>
    <t>住宅</t>
    <phoneticPr fontId="26" type="noConversion"/>
  </si>
  <si>
    <t>70</t>
    <phoneticPr fontId="26" type="noConversion"/>
  </si>
  <si>
    <t>一般</t>
  </si>
  <si>
    <t>较差</t>
  </si>
  <si>
    <t>较好</t>
  </si>
  <si>
    <t>七通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</si>
  <si>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</si>
  <si>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</si>
  <si>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</si>
  <si>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</si>
  <si>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</si>
  <si>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</si>
  <si>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</si>
  <si>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</si>
  <si>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</si>
  <si>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</si>
  <si>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</si>
  <si>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</si>
  <si>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</si>
  <si>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</si>
  <si>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</si>
  <si>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差</t>
  </si>
  <si>
    <t>楼面地价</t>
  </si>
  <si>
    <t>已部分缴纳</t>
  </si>
  <si>
    <t>比较法-住宅、综合</t>
  </si>
  <si>
    <t>剩余法-待开发</t>
  </si>
  <si>
    <t>《国有土地使用证》</t>
  </si>
  <si>
    <t>平整</t>
  </si>
  <si>
    <t>六通</t>
    <phoneticPr fontId="3" type="noConversion"/>
  </si>
  <si>
    <t>英国宫5期</t>
    <phoneticPr fontId="3" type="noConversion"/>
  </si>
  <si>
    <t>怀来县</t>
    <phoneticPr fontId="3" type="noConversion"/>
  </si>
  <si>
    <t>土地</t>
  </si>
  <si>
    <t>住宅</t>
    <phoneticPr fontId="21" type="noConversion"/>
  </si>
  <si>
    <t>60-70（含）</t>
  </si>
  <si>
    <t>洋房</t>
    <phoneticPr fontId="21" type="noConversion"/>
  </si>
  <si>
    <t>小高层</t>
  </si>
  <si>
    <t>小高层</t>
    <phoneticPr fontId="21" type="noConversion"/>
  </si>
  <si>
    <t>联排边户</t>
    <phoneticPr fontId="21" type="noConversion"/>
  </si>
  <si>
    <t>联排中间户</t>
    <phoneticPr fontId="21" type="noConversion"/>
  </si>
  <si>
    <t>高层</t>
  </si>
  <si>
    <t>高层</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</si>
  <si>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</si>
  <si>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</si>
  <si>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</si>
  <si>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</si>
  <si>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</si>
  <si>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</si>
  <si>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</si>
  <si>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</si>
  <si>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</si>
  <si>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</si>
  <si>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phoneticPr fontId="21" type="noConversion"/>
  </si>
  <si>
    <t>毛坯</t>
  </si>
  <si>
    <t>毛坯</t>
    <phoneticPr fontId="21" type="noConversion"/>
  </si>
  <si>
    <t>专业物业管理</t>
  </si>
  <si>
    <t>专业物业管理</t>
    <phoneticPr fontId="21" type="noConversion"/>
  </si>
  <si>
    <t>普通物业管理</t>
    <phoneticPr fontId="21" type="noConversion"/>
  </si>
  <si>
    <t>售价</t>
  </si>
  <si>
    <t>怀来县东花园镇董庄子村、杨庄子村英国宫5期住宅地块</t>
    <phoneticPr fontId="6" type="noConversion"/>
  </si>
  <si>
    <t>《国有土地使用证》[怀国用(2012)第C1594号]</t>
  </si>
  <si>
    <t>《建设工程规划许可证》[建字第13073020180049、51号]及附图</t>
  </si>
  <si>
    <t>《建设工程规划许可证》[建字第13073020180049、51号]及附图</t>
    <phoneticPr fontId="6" type="noConversion"/>
  </si>
  <si>
    <t>Y6</t>
    <phoneticPr fontId="3" type="noConversion"/>
  </si>
  <si>
    <t>Y7</t>
    <phoneticPr fontId="3" type="noConversion"/>
  </si>
  <si>
    <t>Y8</t>
    <phoneticPr fontId="3" type="noConversion"/>
  </si>
  <si>
    <t>Y9</t>
    <phoneticPr fontId="3" type="noConversion"/>
  </si>
  <si>
    <t>Y11</t>
    <phoneticPr fontId="3" type="noConversion"/>
  </si>
  <si>
    <t>Y16</t>
    <phoneticPr fontId="3" type="noConversion"/>
  </si>
  <si>
    <t>Y12</t>
    <phoneticPr fontId="3" type="noConversion"/>
  </si>
  <si>
    <t>Y13</t>
    <phoneticPr fontId="3" type="noConversion"/>
  </si>
  <si>
    <t>Y14</t>
    <phoneticPr fontId="3" type="noConversion"/>
  </si>
  <si>
    <t>Y15</t>
    <phoneticPr fontId="3" type="noConversion"/>
  </si>
  <si>
    <t>Y18</t>
    <phoneticPr fontId="3" type="noConversion"/>
  </si>
  <si>
    <t>Y19</t>
    <phoneticPr fontId="3" type="noConversion"/>
  </si>
  <si>
    <t>Y20</t>
    <phoneticPr fontId="3" type="noConversion"/>
  </si>
  <si>
    <t>Y63</t>
    <phoneticPr fontId="3" type="noConversion"/>
  </si>
  <si>
    <t>Y199</t>
    <phoneticPr fontId="3" type="noConversion"/>
  </si>
  <si>
    <t>A1-1a地库</t>
    <phoneticPr fontId="3" type="noConversion"/>
  </si>
  <si>
    <t>A1-1b地库</t>
    <phoneticPr fontId="3" type="noConversion"/>
  </si>
  <si>
    <t>A1-2地库</t>
    <phoneticPr fontId="3" type="noConversion"/>
  </si>
  <si>
    <t>估价对象C1594（本表）</t>
    <phoneticPr fontId="233" type="noConversion"/>
  </si>
  <si>
    <t>估价对象C21</t>
    <phoneticPr fontId="233" type="noConversion"/>
  </si>
  <si>
    <t>估价对象C22</t>
    <phoneticPr fontId="233" type="noConversion"/>
  </si>
  <si>
    <t>估价对象C43</t>
    <phoneticPr fontId="233" type="noConversion"/>
  </si>
  <si>
    <t>估价对象C42</t>
    <phoneticPr fontId="233" type="noConversion"/>
  </si>
  <si>
    <t>估价对象C4</t>
    <phoneticPr fontId="233" type="noConversion"/>
  </si>
  <si>
    <t>估价对象C41</t>
    <phoneticPr fontId="233" type="noConversion"/>
  </si>
  <si>
    <t>不规则</t>
  </si>
  <si>
    <t>地下</t>
  </si>
  <si>
    <t>车库</t>
  </si>
  <si>
    <t>车库</t>
    <phoneticPr fontId="7" type="noConversion"/>
  </si>
  <si>
    <t>不动产收益法</t>
  </si>
  <si>
    <t>土地（套用方法）</t>
  </si>
  <si>
    <t>自定义</t>
  </si>
  <si>
    <t>按租金收入计税</t>
  </si>
  <si>
    <t>估价对象017</t>
    <phoneticPr fontId="233" type="noConversion"/>
  </si>
  <si>
    <t>估价对象022</t>
    <phoneticPr fontId="233" type="noConversion"/>
  </si>
  <si>
    <t>金秋家园</t>
    <phoneticPr fontId="3" type="noConversion"/>
  </si>
  <si>
    <t>万邦珑樾</t>
    <phoneticPr fontId="3" type="noConversion"/>
  </si>
  <si>
    <t>地上楼面</t>
    <phoneticPr fontId="233" type="noConversion"/>
  </si>
  <si>
    <t>《国有土地使用证》[怀国用(2012)第C1594号]</t>
    <phoneticPr fontId="6" type="noConversion"/>
  </si>
  <si>
    <t>怀国用(2012)第C1594号</t>
    <phoneticPr fontId="233" type="noConversion"/>
  </si>
  <si>
    <t>怀国用(2014)第C21号</t>
    <phoneticPr fontId="233" type="noConversion"/>
  </si>
  <si>
    <t>怀国用(2014)第C22号</t>
    <phoneticPr fontId="233" type="noConversion"/>
  </si>
  <si>
    <t>怀国用(2016)第C41号</t>
    <phoneticPr fontId="233" type="noConversion"/>
  </si>
  <si>
    <t>怀国用(2016)第C43号</t>
    <phoneticPr fontId="233" type="noConversion"/>
  </si>
  <si>
    <t>怀国用(2016)第C4号</t>
    <phoneticPr fontId="233" type="noConversion"/>
  </si>
  <si>
    <t>怀国用(2016)第C42号</t>
    <phoneticPr fontId="233" type="noConversion"/>
  </si>
  <si>
    <t>序号</t>
    <phoneticPr fontId="233" type="noConversion"/>
  </si>
  <si>
    <t>《国有土地使用证》证号</t>
    <phoneticPr fontId="233" type="noConversion"/>
  </si>
  <si>
    <t>土地面积（㎡）</t>
    <phoneticPr fontId="233" type="noConversion"/>
  </si>
  <si>
    <t>初评值（万元）</t>
    <phoneticPr fontId="233" type="noConversion"/>
  </si>
  <si>
    <t>合计</t>
    <phoneticPr fontId="233" type="noConversion"/>
  </si>
  <si>
    <t>合计</t>
    <phoneticPr fontId="233" type="noConversion"/>
  </si>
  <si>
    <t>《国有土地使用证》证号</t>
    <phoneticPr fontId="233" type="noConversion"/>
  </si>
  <si>
    <t>冀（2017）固安县不动产权第0002032号</t>
    <phoneticPr fontId="233" type="noConversion"/>
  </si>
  <si>
    <t>冀（2018）固安县不动产权第0024696号</t>
    <phoneticPr fontId="233" type="noConversion"/>
  </si>
  <si>
    <t>一般</t>
    <phoneticPr fontId="26" type="noConversion"/>
  </si>
  <si>
    <t>差</t>
    <phoneticPr fontId="26" type="noConversion"/>
  </si>
  <si>
    <t>较差</t>
    <phoneticPr fontId="26" type="noConversion"/>
  </si>
  <si>
    <t>较好</t>
    <phoneticPr fontId="26" type="noConversion"/>
  </si>
  <si>
    <t>六通</t>
    <phoneticPr fontId="26" type="noConversion"/>
  </si>
  <si>
    <t>上湖郡</t>
    <phoneticPr fontId="3" type="noConversion"/>
  </si>
  <si>
    <t>一般</t>
    <phoneticPr fontId="21" type="noConversion"/>
  </si>
  <si>
    <t>六通</t>
    <phoneticPr fontId="21" type="noConversion"/>
  </si>
  <si>
    <t>(冀2017)怀来县不动产权第0000022号</t>
    <phoneticPr fontId="233" type="noConversion"/>
  </si>
  <si>
    <t>(冀2017)怀来县不动产权第0000017号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</si>
</sst>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6" fillId="0" borderId="0" xfId="15"/>
    <xf numFmtId="0" fontId="127" fillId="0" borderId="0" xfId="15" applyFo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58" fillId="0" borderId="0" xfId="15" applyFont="1"/>
    <xf numFmtId="0" fontId="147" fillId="0" borderId="0" xfId="0" applyFont="1">
      <alignment vertical="center"/>
    </xf>
    <xf numFmtId="0" fontId="86" fillId="6" borderId="0" xfId="15" applyFill="1"/>
    <xf numFmtId="0" fontId="0" fillId="6" borderId="0" xfId="0" applyFill="1">
      <alignment vertical="center"/>
    </xf>
    <xf numFmtId="0" fontId="158" fillId="6" borderId="0" xfId="15" applyFont="1" applyFill="1"/>
    <xf numFmtId="0" fontId="147" fillId="6" borderId="0" xfId="0" applyFont="1" applyFill="1">
      <alignment vertical="center"/>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0" fontId="86" fillId="10" borderId="7" xfId="2" applyNumberFormat="1" applyFont="1" applyFill="1" applyBorder="1" applyAlignment="1" applyProtection="1">
      <alignment horizontal="center" vertical="center"/>
      <protection locked="0"/>
    </xf>
    <xf numFmtId="0" fontId="86" fillId="10" borderId="1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protection locked="0"/>
    </xf>
    <xf numFmtId="0" fontId="78" fillId="0" borderId="5" xfId="0" applyFont="1" applyFill="1" applyBorder="1" applyAlignment="1" applyProtection="1">
      <alignment vertical="center" wrapText="1"/>
      <protection locked="0"/>
    </xf>
    <xf numFmtId="0" fontId="71" fillId="17" borderId="2" xfId="0" applyFont="1" applyFill="1" applyBorder="1" applyAlignment="1" applyProtection="1">
      <alignment horizontal="center" vertical="center" wrapText="1"/>
      <protection locked="0"/>
    </xf>
    <xf numFmtId="0" fontId="163" fillId="17" borderId="2" xfId="1" applyFont="1" applyFill="1" applyBorder="1" applyAlignment="1" applyProtection="1">
      <alignment horizontal="center" vertical="center" wrapText="1"/>
      <protection locked="0"/>
    </xf>
    <xf numFmtId="0" fontId="11" fillId="17" borderId="2" xfId="0" applyFont="1" applyFill="1" applyBorder="1" applyAlignment="1" applyProtection="1">
      <alignment horizontal="center" vertical="center" wrapText="1"/>
      <protection locked="0"/>
    </xf>
    <xf numFmtId="0" fontId="11" fillId="17" borderId="21" xfId="0" applyFont="1" applyFill="1" applyBorder="1" applyAlignment="1" applyProtection="1">
      <alignment horizontal="center" vertical="center" wrapText="1"/>
      <protection locked="0"/>
    </xf>
    <xf numFmtId="177" fontId="71" fillId="17" borderId="2" xfId="0" applyNumberFormat="1" applyFont="1" applyFill="1" applyBorder="1" applyAlignment="1" applyProtection="1">
      <alignment horizontal="center" vertical="center" wrapText="1"/>
    </xf>
    <xf numFmtId="177" fontId="71" fillId="17" borderId="21" xfId="0" applyNumberFormat="1" applyFont="1" applyFill="1" applyBorder="1" applyAlignment="1" applyProtection="1">
      <alignment horizontal="center" vertical="center" wrapText="1"/>
      <protection locked="0"/>
    </xf>
    <xf numFmtId="177" fontId="71" fillId="17" borderId="21" xfId="0" applyNumberFormat="1" applyFont="1" applyFill="1" applyBorder="1" applyAlignment="1" applyProtection="1">
      <alignment horizontal="center" vertical="center" wrapText="1"/>
    </xf>
    <xf numFmtId="177" fontId="71" fillId="17" borderId="10" xfId="0" applyNumberFormat="1" applyFont="1" applyFill="1" applyBorder="1" applyAlignment="1" applyProtection="1">
      <alignment horizontal="center" vertical="center" wrapText="1"/>
    </xf>
    <xf numFmtId="177" fontId="11" fillId="17" borderId="2" xfId="0" applyNumberFormat="1" applyFont="1" applyFill="1" applyBorder="1" applyAlignment="1" applyProtection="1">
      <alignment vertical="center" wrapText="1"/>
      <protection locked="0"/>
    </xf>
    <xf numFmtId="177" fontId="71" fillId="17" borderId="2" xfId="0" applyNumberFormat="1" applyFont="1" applyFill="1" applyBorder="1" applyAlignment="1" applyProtection="1">
      <alignment vertical="center" wrapText="1"/>
      <protection locked="0"/>
    </xf>
    <xf numFmtId="0" fontId="148" fillId="17" borderId="2" xfId="1" applyFont="1" applyFill="1" applyBorder="1" applyAlignment="1" applyProtection="1">
      <alignment horizontal="center" vertical="center" wrapText="1"/>
      <protection locked="0"/>
    </xf>
    <xf numFmtId="177" fontId="71" fillId="17" borderId="2" xfId="0" applyNumberFormat="1" applyFont="1" applyFill="1" applyBorder="1" applyAlignment="1" applyProtection="1">
      <alignment horizontal="center" vertical="center" wrapText="1"/>
      <protection locked="0"/>
    </xf>
    <xf numFmtId="177" fontId="11" fillId="17" borderId="2" xfId="0" applyNumberFormat="1" applyFont="1" applyFill="1" applyBorder="1" applyAlignment="1" applyProtection="1">
      <alignment horizontal="center" vertical="center" wrapText="1"/>
      <protection locked="0"/>
    </xf>
    <xf numFmtId="0" fontId="71" fillId="17" borderId="17" xfId="0"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wrapText="1"/>
    </xf>
    <xf numFmtId="0" fontId="71" fillId="17" borderId="9" xfId="0" applyFont="1" applyFill="1" applyBorder="1" applyAlignment="1" applyProtection="1">
      <alignment horizontal="center" vertical="center" wrapText="1"/>
    </xf>
    <xf numFmtId="177" fontId="71" fillId="17" borderId="12" xfId="0" applyNumberFormat="1" applyFont="1" applyFill="1" applyBorder="1" applyAlignment="1" applyProtection="1">
      <alignment horizontal="center" vertical="center" wrapText="1"/>
    </xf>
    <xf numFmtId="0" fontId="71" fillId="17" borderId="0" xfId="0" applyFont="1" applyFill="1" applyAlignment="1" applyProtection="1">
      <alignment horizontal="center" vertical="center" wrapText="1"/>
      <protection locked="0"/>
    </xf>
    <xf numFmtId="0" fontId="262" fillId="5" borderId="10" xfId="14"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5" fillId="0" borderId="0" xfId="0" applyFont="1">
      <alignment vertical="center"/>
    </xf>
    <xf numFmtId="0" fontId="277" fillId="0" borderId="2" xfId="0" applyFont="1" applyBorder="1" applyAlignment="1">
      <alignment horizontal="lef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5" xfId="0" applyFont="1" applyBorder="1" applyAlignment="1">
      <alignment horizontal="center" vertical="center"/>
    </xf>
    <xf numFmtId="0" fontId="277" fillId="0" borderId="9" xfId="0" applyFont="1" applyBorder="1" applyAlignment="1">
      <alignment horizontal="center" vertical="center"/>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277" fillId="6" borderId="2" xfId="0" applyFont="1" applyFill="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29" Type="http://schemas.openxmlformats.org/officeDocument/2006/relationships/image" Target="../media/image32.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11</xdr:col>
      <xdr:colOff>503746</xdr:colOff>
      <xdr:row>84</xdr:row>
      <xdr:rowOff>161283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29750"/>
          <a:ext cx="8628571" cy="51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389448</xdr:colOff>
      <xdr:row>28</xdr:row>
      <xdr:rowOff>56543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19048" cy="4857143"/>
        </a:xfrm>
        <a:prstGeom prst="rect">
          <a:avLst/>
        </a:prstGeom>
      </xdr:spPr>
    </xdr:pic>
    <xdr:clientData/>
  </xdr:twoCellAnchor>
  <xdr:twoCellAnchor editAs="oneCell">
    <xdr:from>
      <xdr:col>0</xdr:col>
      <xdr:colOff>0</xdr:colOff>
      <xdr:row>29</xdr:row>
      <xdr:rowOff>0</xdr:rowOff>
    </xdr:from>
    <xdr:to>
      <xdr:col>11</xdr:col>
      <xdr:colOff>665724</xdr:colOff>
      <xdr:row>55</xdr:row>
      <xdr:rowOff>66109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209524" cy="4523809"/>
        </a:xfrm>
        <a:prstGeom prst="rect">
          <a:avLst/>
        </a:prstGeom>
      </xdr:spPr>
    </xdr:pic>
    <xdr:clientData/>
  </xdr:twoCellAnchor>
  <xdr:twoCellAnchor editAs="oneCell">
    <xdr:from>
      <xdr:col>0</xdr:col>
      <xdr:colOff>0</xdr:colOff>
      <xdr:row>56</xdr:row>
      <xdr:rowOff>0</xdr:rowOff>
    </xdr:from>
    <xdr:to>
      <xdr:col>9</xdr:col>
      <xdr:colOff>103990</xdr:colOff>
      <xdr:row>61</xdr:row>
      <xdr:rowOff>152274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6276190" cy="1009524"/>
        </a:xfrm>
        <a:prstGeom prst="rect">
          <a:avLst/>
        </a:prstGeom>
      </xdr:spPr>
    </xdr:pic>
    <xdr:clientData/>
  </xdr:twoCellAnchor>
  <xdr:twoCellAnchor editAs="oneCell">
    <xdr:from>
      <xdr:col>0</xdr:col>
      <xdr:colOff>0</xdr:colOff>
      <xdr:row>63</xdr:row>
      <xdr:rowOff>0</xdr:rowOff>
    </xdr:from>
    <xdr:to>
      <xdr:col>12</xdr:col>
      <xdr:colOff>94209</xdr:colOff>
      <xdr:row>92</xdr:row>
      <xdr:rowOff>170807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8323809" cy="5142857"/>
        </a:xfrm>
        <a:prstGeom prst="rect">
          <a:avLst/>
        </a:prstGeom>
      </xdr:spPr>
    </xdr:pic>
    <xdr:clientData/>
  </xdr:twoCellAnchor>
  <xdr:twoCellAnchor editAs="oneCell">
    <xdr:from>
      <xdr:col>0</xdr:col>
      <xdr:colOff>0</xdr:colOff>
      <xdr:row>93</xdr:row>
      <xdr:rowOff>0</xdr:rowOff>
    </xdr:from>
    <xdr:to>
      <xdr:col>12</xdr:col>
      <xdr:colOff>275162</xdr:colOff>
      <xdr:row>110</xdr:row>
      <xdr:rowOff>94874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944850"/>
          <a:ext cx="8504762" cy="3009524"/>
        </a:xfrm>
        <a:prstGeom prst="rect">
          <a:avLst/>
        </a:prstGeom>
      </xdr:spPr>
    </xdr:pic>
    <xdr:clientData/>
  </xdr:twoCellAnchor>
  <xdr:twoCellAnchor editAs="oneCell">
    <xdr:from>
      <xdr:col>0</xdr:col>
      <xdr:colOff>0</xdr:colOff>
      <xdr:row>111</xdr:row>
      <xdr:rowOff>0</xdr:rowOff>
    </xdr:from>
    <xdr:to>
      <xdr:col>11</xdr:col>
      <xdr:colOff>332390</xdr:colOff>
      <xdr:row>113</xdr:row>
      <xdr:rowOff>133290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030950"/>
          <a:ext cx="7876190" cy="476190"/>
        </a:xfrm>
        <a:prstGeom prst="rect">
          <a:avLst/>
        </a:prstGeom>
      </xdr:spPr>
    </xdr:pic>
    <xdr:clientData/>
  </xdr:twoCellAnchor>
  <xdr:twoCellAnchor editAs="oneCell">
    <xdr:from>
      <xdr:col>0</xdr:col>
      <xdr:colOff>0</xdr:colOff>
      <xdr:row>114</xdr:row>
      <xdr:rowOff>0</xdr:rowOff>
    </xdr:from>
    <xdr:to>
      <xdr:col>12</xdr:col>
      <xdr:colOff>313257</xdr:colOff>
      <xdr:row>140</xdr:row>
      <xdr:rowOff>151824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545300"/>
          <a:ext cx="8542857" cy="4609524"/>
        </a:xfrm>
        <a:prstGeom prst="rect">
          <a:avLst/>
        </a:prstGeom>
      </xdr:spPr>
    </xdr:pic>
    <xdr:clientData/>
  </xdr:twoCellAnchor>
  <xdr:twoCellAnchor editAs="oneCell">
    <xdr:from>
      <xdr:col>0</xdr:col>
      <xdr:colOff>0</xdr:colOff>
      <xdr:row>141</xdr:row>
      <xdr:rowOff>0</xdr:rowOff>
    </xdr:from>
    <xdr:to>
      <xdr:col>12</xdr:col>
      <xdr:colOff>198971</xdr:colOff>
      <xdr:row>160</xdr:row>
      <xdr:rowOff>9117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4174450"/>
          <a:ext cx="8428571" cy="3266667"/>
        </a:xfrm>
        <a:prstGeom prst="rect">
          <a:avLst/>
        </a:prstGeom>
      </xdr:spPr>
    </xdr:pic>
    <xdr:clientData/>
  </xdr:twoCellAnchor>
  <xdr:twoCellAnchor editAs="oneCell">
    <xdr:from>
      <xdr:col>0</xdr:col>
      <xdr:colOff>0</xdr:colOff>
      <xdr:row>160</xdr:row>
      <xdr:rowOff>0</xdr:rowOff>
    </xdr:from>
    <xdr:to>
      <xdr:col>11</xdr:col>
      <xdr:colOff>313343</xdr:colOff>
      <xdr:row>162</xdr:row>
      <xdr:rowOff>123767</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432000"/>
          <a:ext cx="7857143" cy="466667"/>
        </a:xfrm>
        <a:prstGeom prst="rect">
          <a:avLst/>
        </a:prstGeom>
      </xdr:spPr>
    </xdr:pic>
    <xdr:clientData/>
  </xdr:twoCellAnchor>
  <xdr:twoCellAnchor editAs="oneCell">
    <xdr:from>
      <xdr:col>0</xdr:col>
      <xdr:colOff>0</xdr:colOff>
      <xdr:row>163</xdr:row>
      <xdr:rowOff>0</xdr:rowOff>
    </xdr:from>
    <xdr:to>
      <xdr:col>11</xdr:col>
      <xdr:colOff>532390</xdr:colOff>
      <xdr:row>191</xdr:row>
      <xdr:rowOff>27971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946350"/>
          <a:ext cx="8076190" cy="4828571"/>
        </a:xfrm>
        <a:prstGeom prst="rect">
          <a:avLst/>
        </a:prstGeom>
      </xdr:spPr>
    </xdr:pic>
    <xdr:clientData/>
  </xdr:twoCellAnchor>
  <xdr:twoCellAnchor editAs="oneCell">
    <xdr:from>
      <xdr:col>0</xdr:col>
      <xdr:colOff>0</xdr:colOff>
      <xdr:row>191</xdr:row>
      <xdr:rowOff>0</xdr:rowOff>
    </xdr:from>
    <xdr:to>
      <xdr:col>11</xdr:col>
      <xdr:colOff>313343</xdr:colOff>
      <xdr:row>207</xdr:row>
      <xdr:rowOff>152038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2746950"/>
          <a:ext cx="7857143" cy="2895238"/>
        </a:xfrm>
        <a:prstGeom prst="rect">
          <a:avLst/>
        </a:prstGeom>
      </xdr:spPr>
    </xdr:pic>
    <xdr:clientData/>
  </xdr:twoCellAnchor>
  <xdr:twoCellAnchor editAs="oneCell">
    <xdr:from>
      <xdr:col>0</xdr:col>
      <xdr:colOff>0</xdr:colOff>
      <xdr:row>208</xdr:row>
      <xdr:rowOff>0</xdr:rowOff>
    </xdr:from>
    <xdr:to>
      <xdr:col>9</xdr:col>
      <xdr:colOff>170657</xdr:colOff>
      <xdr:row>210</xdr:row>
      <xdr:rowOff>123767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5661600"/>
          <a:ext cx="6342857" cy="466667"/>
        </a:xfrm>
        <a:prstGeom prst="rect">
          <a:avLst/>
        </a:prstGeom>
      </xdr:spPr>
    </xdr:pic>
    <xdr:clientData/>
  </xdr:twoCellAnchor>
  <xdr:twoCellAnchor editAs="oneCell">
    <xdr:from>
      <xdr:col>0</xdr:col>
      <xdr:colOff>0</xdr:colOff>
      <xdr:row>211</xdr:row>
      <xdr:rowOff>0</xdr:rowOff>
    </xdr:from>
    <xdr:to>
      <xdr:col>11</xdr:col>
      <xdr:colOff>332390</xdr:colOff>
      <xdr:row>216</xdr:row>
      <xdr:rowOff>95131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6175950"/>
          <a:ext cx="7876190" cy="952381"/>
        </a:xfrm>
        <a:prstGeom prst="rect">
          <a:avLst/>
        </a:prstGeom>
      </xdr:spPr>
    </xdr:pic>
    <xdr:clientData/>
  </xdr:twoCellAnchor>
  <xdr:twoCellAnchor editAs="oneCell">
    <xdr:from>
      <xdr:col>14</xdr:col>
      <xdr:colOff>0</xdr:colOff>
      <xdr:row>0</xdr:row>
      <xdr:rowOff>0</xdr:rowOff>
    </xdr:from>
    <xdr:to>
      <xdr:col>26</xdr:col>
      <xdr:colOff>198971</xdr:colOff>
      <xdr:row>26</xdr:row>
      <xdr:rowOff>37538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601200" y="0"/>
          <a:ext cx="8428571" cy="4495238"/>
        </a:xfrm>
        <a:prstGeom prst="rect">
          <a:avLst/>
        </a:prstGeom>
      </xdr:spPr>
    </xdr:pic>
    <xdr:clientData/>
  </xdr:twoCellAnchor>
  <xdr:twoCellAnchor editAs="oneCell">
    <xdr:from>
      <xdr:col>14</xdr:col>
      <xdr:colOff>0</xdr:colOff>
      <xdr:row>26</xdr:row>
      <xdr:rowOff>0</xdr:rowOff>
    </xdr:from>
    <xdr:to>
      <xdr:col>26</xdr:col>
      <xdr:colOff>256114</xdr:colOff>
      <xdr:row>44</xdr:row>
      <xdr:rowOff>85329</xdr:rowOff>
    </xdr:to>
    <xdr:pic>
      <xdr:nvPicPr>
        <xdr:cNvPr id="16" name="图片 15"/>
        <xdr:cNvPicPr>
          <a:picLocks noChangeAspect="1"/>
        </xdr:cNvPicPr>
      </xdr:nvPicPr>
      <xdr:blipFill>
        <a:blip xmlns:r="http://schemas.openxmlformats.org/officeDocument/2006/relationships" r:embed="rId15"/>
        <a:stretch>
          <a:fillRect/>
        </a:stretch>
      </xdr:blipFill>
      <xdr:spPr>
        <a:xfrm>
          <a:off x="9601200" y="4457700"/>
          <a:ext cx="8485714" cy="3171429"/>
        </a:xfrm>
        <a:prstGeom prst="rect">
          <a:avLst/>
        </a:prstGeom>
      </xdr:spPr>
    </xdr:pic>
    <xdr:clientData/>
  </xdr:twoCellAnchor>
  <xdr:twoCellAnchor editAs="oneCell">
    <xdr:from>
      <xdr:col>14</xdr:col>
      <xdr:colOff>0</xdr:colOff>
      <xdr:row>45</xdr:row>
      <xdr:rowOff>0</xdr:rowOff>
    </xdr:from>
    <xdr:to>
      <xdr:col>25</xdr:col>
      <xdr:colOff>122867</xdr:colOff>
      <xdr:row>50</xdr:row>
      <xdr:rowOff>142750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9601200" y="7715250"/>
          <a:ext cx="7666667" cy="1000000"/>
        </a:xfrm>
        <a:prstGeom prst="rect">
          <a:avLst/>
        </a:prstGeom>
      </xdr:spPr>
    </xdr:pic>
    <xdr:clientData/>
  </xdr:twoCellAnchor>
  <xdr:twoCellAnchor editAs="oneCell">
    <xdr:from>
      <xdr:col>14</xdr:col>
      <xdr:colOff>0</xdr:colOff>
      <xdr:row>51</xdr:row>
      <xdr:rowOff>0</xdr:rowOff>
    </xdr:from>
    <xdr:to>
      <xdr:col>26</xdr:col>
      <xdr:colOff>227543</xdr:colOff>
      <xdr:row>76</xdr:row>
      <xdr:rowOff>75655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9601200" y="8743950"/>
          <a:ext cx="8457143" cy="4361905"/>
        </a:xfrm>
        <a:prstGeom prst="rect">
          <a:avLst/>
        </a:prstGeom>
      </xdr:spPr>
    </xdr:pic>
    <xdr:clientData/>
  </xdr:twoCellAnchor>
  <xdr:twoCellAnchor editAs="oneCell">
    <xdr:from>
      <xdr:col>14</xdr:col>
      <xdr:colOff>0</xdr:colOff>
      <xdr:row>77</xdr:row>
      <xdr:rowOff>0</xdr:rowOff>
    </xdr:from>
    <xdr:to>
      <xdr:col>25</xdr:col>
      <xdr:colOff>646676</xdr:colOff>
      <xdr:row>103</xdr:row>
      <xdr:rowOff>170871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601200" y="13201650"/>
          <a:ext cx="8190476" cy="4628571"/>
        </a:xfrm>
        <a:prstGeom prst="rect">
          <a:avLst/>
        </a:prstGeom>
      </xdr:spPr>
    </xdr:pic>
    <xdr:clientData/>
  </xdr:twoCellAnchor>
  <xdr:twoCellAnchor editAs="oneCell">
    <xdr:from>
      <xdr:col>14</xdr:col>
      <xdr:colOff>0</xdr:colOff>
      <xdr:row>105</xdr:row>
      <xdr:rowOff>0</xdr:rowOff>
    </xdr:from>
    <xdr:to>
      <xdr:col>25</xdr:col>
      <xdr:colOff>675248</xdr:colOff>
      <xdr:row>131</xdr:row>
      <xdr:rowOff>66109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9601200" y="18002250"/>
          <a:ext cx="8219048" cy="4523809"/>
        </a:xfrm>
        <a:prstGeom prst="rect">
          <a:avLst/>
        </a:prstGeom>
      </xdr:spPr>
    </xdr:pic>
    <xdr:clientData/>
  </xdr:twoCellAnchor>
  <xdr:twoCellAnchor editAs="oneCell">
    <xdr:from>
      <xdr:col>14</xdr:col>
      <xdr:colOff>0</xdr:colOff>
      <xdr:row>132</xdr:row>
      <xdr:rowOff>0</xdr:rowOff>
    </xdr:from>
    <xdr:to>
      <xdr:col>26</xdr:col>
      <xdr:colOff>256114</xdr:colOff>
      <xdr:row>160</xdr:row>
      <xdr:rowOff>94638</xdr:rowOff>
    </xdr:to>
    <xdr:pic>
      <xdr:nvPicPr>
        <xdr:cNvPr id="21" name="图片 20"/>
        <xdr:cNvPicPr>
          <a:picLocks noChangeAspect="1"/>
        </xdr:cNvPicPr>
      </xdr:nvPicPr>
      <xdr:blipFill>
        <a:blip xmlns:r="http://schemas.openxmlformats.org/officeDocument/2006/relationships" r:embed="rId20"/>
        <a:stretch>
          <a:fillRect/>
        </a:stretch>
      </xdr:blipFill>
      <xdr:spPr>
        <a:xfrm>
          <a:off x="9601200" y="22631400"/>
          <a:ext cx="8485714" cy="4895238"/>
        </a:xfrm>
        <a:prstGeom prst="rect">
          <a:avLst/>
        </a:prstGeom>
      </xdr:spPr>
    </xdr:pic>
    <xdr:clientData/>
  </xdr:twoCellAnchor>
  <xdr:twoCellAnchor editAs="oneCell">
    <xdr:from>
      <xdr:col>14</xdr:col>
      <xdr:colOff>0</xdr:colOff>
      <xdr:row>161</xdr:row>
      <xdr:rowOff>0</xdr:rowOff>
    </xdr:from>
    <xdr:to>
      <xdr:col>25</xdr:col>
      <xdr:colOff>589533</xdr:colOff>
      <xdr:row>186</xdr:row>
      <xdr:rowOff>94702</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601200" y="27603450"/>
          <a:ext cx="8133333" cy="4380952"/>
        </a:xfrm>
        <a:prstGeom prst="rect">
          <a:avLst/>
        </a:prstGeom>
      </xdr:spPr>
    </xdr:pic>
    <xdr:clientData/>
  </xdr:twoCellAnchor>
  <xdr:twoCellAnchor editAs="oneCell">
    <xdr:from>
      <xdr:col>14</xdr:col>
      <xdr:colOff>0</xdr:colOff>
      <xdr:row>187</xdr:row>
      <xdr:rowOff>0</xdr:rowOff>
    </xdr:from>
    <xdr:to>
      <xdr:col>26</xdr:col>
      <xdr:colOff>198971</xdr:colOff>
      <xdr:row>203</xdr:row>
      <xdr:rowOff>66324</xdr:rowOff>
    </xdr:to>
    <xdr:pic>
      <xdr:nvPicPr>
        <xdr:cNvPr id="23" name="图片 22"/>
        <xdr:cNvPicPr>
          <a:picLocks noChangeAspect="1"/>
        </xdr:cNvPicPr>
      </xdr:nvPicPr>
      <xdr:blipFill>
        <a:blip xmlns:r="http://schemas.openxmlformats.org/officeDocument/2006/relationships" r:embed="rId22"/>
        <a:stretch>
          <a:fillRect/>
        </a:stretch>
      </xdr:blipFill>
      <xdr:spPr>
        <a:xfrm>
          <a:off x="9601200" y="32061150"/>
          <a:ext cx="8428571" cy="2809524"/>
        </a:xfrm>
        <a:prstGeom prst="rect">
          <a:avLst/>
        </a:prstGeom>
      </xdr:spPr>
    </xdr:pic>
    <xdr:clientData/>
  </xdr:twoCellAnchor>
  <xdr:twoCellAnchor editAs="oneCell">
    <xdr:from>
      <xdr:col>14</xdr:col>
      <xdr:colOff>0</xdr:colOff>
      <xdr:row>204</xdr:row>
      <xdr:rowOff>0</xdr:rowOff>
    </xdr:from>
    <xdr:to>
      <xdr:col>25</xdr:col>
      <xdr:colOff>551438</xdr:colOff>
      <xdr:row>212</xdr:row>
      <xdr:rowOff>152210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9601200" y="34975800"/>
          <a:ext cx="8095238" cy="1523810"/>
        </a:xfrm>
        <a:prstGeom prst="rect">
          <a:avLst/>
        </a:prstGeom>
      </xdr:spPr>
    </xdr:pic>
    <xdr:clientData/>
  </xdr:twoCellAnchor>
  <xdr:twoCellAnchor editAs="oneCell">
    <xdr:from>
      <xdr:col>0</xdr:col>
      <xdr:colOff>0</xdr:colOff>
      <xdr:row>217</xdr:row>
      <xdr:rowOff>0</xdr:rowOff>
    </xdr:from>
    <xdr:to>
      <xdr:col>16</xdr:col>
      <xdr:colOff>141486</xdr:colOff>
      <xdr:row>257</xdr:row>
      <xdr:rowOff>37238</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37204650"/>
          <a:ext cx="11114286" cy="6895238"/>
        </a:xfrm>
        <a:prstGeom prst="rect">
          <a:avLst/>
        </a:prstGeom>
      </xdr:spPr>
    </xdr:pic>
    <xdr:clientData/>
  </xdr:twoCellAnchor>
  <xdr:twoCellAnchor editAs="oneCell">
    <xdr:from>
      <xdr:col>0</xdr:col>
      <xdr:colOff>0</xdr:colOff>
      <xdr:row>258</xdr:row>
      <xdr:rowOff>0</xdr:rowOff>
    </xdr:from>
    <xdr:to>
      <xdr:col>17</xdr:col>
      <xdr:colOff>303305</xdr:colOff>
      <xdr:row>299</xdr:row>
      <xdr:rowOff>84836</xdr:rowOff>
    </xdr:to>
    <xdr:pic>
      <xdr:nvPicPr>
        <xdr:cNvPr id="26" name="图片 25"/>
        <xdr:cNvPicPr>
          <a:picLocks noChangeAspect="1"/>
        </xdr:cNvPicPr>
      </xdr:nvPicPr>
      <xdr:blipFill>
        <a:blip xmlns:r="http://schemas.openxmlformats.org/officeDocument/2006/relationships" r:embed="rId25"/>
        <a:stretch>
          <a:fillRect/>
        </a:stretch>
      </xdr:blipFill>
      <xdr:spPr>
        <a:xfrm>
          <a:off x="0" y="44234100"/>
          <a:ext cx="11961905" cy="7114286"/>
        </a:xfrm>
        <a:prstGeom prst="rect">
          <a:avLst/>
        </a:prstGeom>
      </xdr:spPr>
    </xdr:pic>
    <xdr:clientData/>
  </xdr:twoCellAnchor>
  <xdr:twoCellAnchor editAs="oneCell">
    <xdr:from>
      <xdr:col>0</xdr:col>
      <xdr:colOff>0</xdr:colOff>
      <xdr:row>300</xdr:row>
      <xdr:rowOff>0</xdr:rowOff>
    </xdr:from>
    <xdr:to>
      <xdr:col>13</xdr:col>
      <xdr:colOff>370315</xdr:colOff>
      <xdr:row>325</xdr:row>
      <xdr:rowOff>18512</xdr:rowOff>
    </xdr:to>
    <xdr:pic>
      <xdr:nvPicPr>
        <xdr:cNvPr id="27" name="图片 26"/>
        <xdr:cNvPicPr>
          <a:picLocks noChangeAspect="1"/>
        </xdr:cNvPicPr>
      </xdr:nvPicPr>
      <xdr:blipFill>
        <a:blip xmlns:r="http://schemas.openxmlformats.org/officeDocument/2006/relationships" r:embed="rId26"/>
        <a:stretch>
          <a:fillRect/>
        </a:stretch>
      </xdr:blipFill>
      <xdr:spPr>
        <a:xfrm>
          <a:off x="0" y="51435000"/>
          <a:ext cx="9285715" cy="4304762"/>
        </a:xfrm>
        <a:prstGeom prst="rect">
          <a:avLst/>
        </a:prstGeom>
      </xdr:spPr>
    </xdr:pic>
    <xdr:clientData/>
  </xdr:twoCellAnchor>
  <xdr:twoCellAnchor editAs="oneCell">
    <xdr:from>
      <xdr:col>0</xdr:col>
      <xdr:colOff>0</xdr:colOff>
      <xdr:row>325</xdr:row>
      <xdr:rowOff>0</xdr:rowOff>
    </xdr:from>
    <xdr:to>
      <xdr:col>13</xdr:col>
      <xdr:colOff>579839</xdr:colOff>
      <xdr:row>350</xdr:row>
      <xdr:rowOff>75655</xdr:rowOff>
    </xdr:to>
    <xdr:pic>
      <xdr:nvPicPr>
        <xdr:cNvPr id="28" name="图片 27"/>
        <xdr:cNvPicPr>
          <a:picLocks noChangeAspect="1"/>
        </xdr:cNvPicPr>
      </xdr:nvPicPr>
      <xdr:blipFill>
        <a:blip xmlns:r="http://schemas.openxmlformats.org/officeDocument/2006/relationships" r:embed="rId27"/>
        <a:stretch>
          <a:fillRect/>
        </a:stretch>
      </xdr:blipFill>
      <xdr:spPr>
        <a:xfrm>
          <a:off x="0" y="55721250"/>
          <a:ext cx="9495239" cy="4361905"/>
        </a:xfrm>
        <a:prstGeom prst="rect">
          <a:avLst/>
        </a:prstGeom>
      </xdr:spPr>
    </xdr:pic>
    <xdr:clientData/>
  </xdr:twoCellAnchor>
  <xdr:twoCellAnchor editAs="oneCell">
    <xdr:from>
      <xdr:col>27</xdr:col>
      <xdr:colOff>0</xdr:colOff>
      <xdr:row>0</xdr:row>
      <xdr:rowOff>0</xdr:rowOff>
    </xdr:from>
    <xdr:to>
      <xdr:col>38</xdr:col>
      <xdr:colOff>599058</xdr:colOff>
      <xdr:row>26</xdr:row>
      <xdr:rowOff>123253</xdr:rowOff>
    </xdr:to>
    <xdr:pic>
      <xdr:nvPicPr>
        <xdr:cNvPr id="29" name="图片 28"/>
        <xdr:cNvPicPr>
          <a:picLocks noChangeAspect="1"/>
        </xdr:cNvPicPr>
      </xdr:nvPicPr>
      <xdr:blipFill>
        <a:blip xmlns:r="http://schemas.openxmlformats.org/officeDocument/2006/relationships" r:embed="rId28"/>
        <a:stretch>
          <a:fillRect/>
        </a:stretch>
      </xdr:blipFill>
      <xdr:spPr>
        <a:xfrm>
          <a:off x="18516600" y="0"/>
          <a:ext cx="8142858" cy="4580953"/>
        </a:xfrm>
        <a:prstGeom prst="rect">
          <a:avLst/>
        </a:prstGeom>
      </xdr:spPr>
    </xdr:pic>
    <xdr:clientData/>
  </xdr:twoCellAnchor>
  <xdr:twoCellAnchor editAs="oneCell">
    <xdr:from>
      <xdr:col>27</xdr:col>
      <xdr:colOff>0</xdr:colOff>
      <xdr:row>27</xdr:row>
      <xdr:rowOff>0</xdr:rowOff>
    </xdr:from>
    <xdr:to>
      <xdr:col>38</xdr:col>
      <xdr:colOff>532391</xdr:colOff>
      <xdr:row>55</xdr:row>
      <xdr:rowOff>123210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18516600" y="4629150"/>
          <a:ext cx="8076191" cy="4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9</xdr:col>
      <xdr:colOff>75515</xdr:colOff>
      <xdr:row>40</xdr:row>
      <xdr:rowOff>113429</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0"/>
          <a:ext cx="5485715" cy="6971429"/>
        </a:xfrm>
        <a:prstGeom prst="rect">
          <a:avLst/>
        </a:prstGeom>
      </xdr:spPr>
    </xdr:pic>
    <xdr:clientData/>
  </xdr:twoCellAnchor>
  <xdr:twoCellAnchor editAs="oneCell">
    <xdr:from>
      <xdr:col>13</xdr:col>
      <xdr:colOff>228600</xdr:colOff>
      <xdr:row>3</xdr:row>
      <xdr:rowOff>19050</xdr:rowOff>
    </xdr:from>
    <xdr:to>
      <xdr:col>21</xdr:col>
      <xdr:colOff>66010</xdr:colOff>
      <xdr:row>21</xdr:row>
      <xdr:rowOff>151998</xdr:rowOff>
    </xdr:to>
    <xdr:pic>
      <xdr:nvPicPr>
        <xdr:cNvPr id="3" name="图片 2"/>
        <xdr:cNvPicPr>
          <a:picLocks noChangeAspect="1"/>
        </xdr:cNvPicPr>
      </xdr:nvPicPr>
      <xdr:blipFill>
        <a:blip xmlns:r="http://schemas.openxmlformats.org/officeDocument/2006/relationships" r:embed="rId2"/>
        <a:stretch>
          <a:fillRect/>
        </a:stretch>
      </xdr:blipFill>
      <xdr:spPr>
        <a:xfrm>
          <a:off x="9144000" y="533400"/>
          <a:ext cx="5323810" cy="3219048"/>
        </a:xfrm>
        <a:prstGeom prst="rect">
          <a:avLst/>
        </a:prstGeom>
      </xdr:spPr>
    </xdr:pic>
    <xdr:clientData/>
  </xdr:twoCellAnchor>
  <xdr:twoCellAnchor editAs="oneCell">
    <xdr:from>
      <xdr:col>18</xdr:col>
      <xdr:colOff>0</xdr:colOff>
      <xdr:row>0</xdr:row>
      <xdr:rowOff>0</xdr:rowOff>
    </xdr:from>
    <xdr:to>
      <xdr:col>26</xdr:col>
      <xdr:colOff>170743</xdr:colOff>
      <xdr:row>20</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12344400" y="0"/>
          <a:ext cx="5657143" cy="3438095"/>
        </a:xfrm>
        <a:prstGeom prst="rect">
          <a:avLst/>
        </a:prstGeom>
      </xdr:spPr>
    </xdr:pic>
    <xdr:clientData/>
  </xdr:twoCellAnchor>
  <xdr:twoCellAnchor editAs="oneCell">
    <xdr:from>
      <xdr:col>27</xdr:col>
      <xdr:colOff>0</xdr:colOff>
      <xdr:row>0</xdr:row>
      <xdr:rowOff>0</xdr:rowOff>
    </xdr:from>
    <xdr:to>
      <xdr:col>33</xdr:col>
      <xdr:colOff>637581</xdr:colOff>
      <xdr:row>26</xdr:row>
      <xdr:rowOff>18491</xdr:rowOff>
    </xdr:to>
    <xdr:pic>
      <xdr:nvPicPr>
        <xdr:cNvPr id="5" name="图片 4"/>
        <xdr:cNvPicPr>
          <a:picLocks noChangeAspect="1"/>
        </xdr:cNvPicPr>
      </xdr:nvPicPr>
      <xdr:blipFill>
        <a:blip xmlns:r="http://schemas.openxmlformats.org/officeDocument/2006/relationships" r:embed="rId4"/>
        <a:stretch>
          <a:fillRect/>
        </a:stretch>
      </xdr:blipFill>
      <xdr:spPr>
        <a:xfrm>
          <a:off x="18516600" y="0"/>
          <a:ext cx="4752381" cy="4476191"/>
        </a:xfrm>
        <a:prstGeom prst="rect">
          <a:avLst/>
        </a:prstGeom>
      </xdr:spPr>
    </xdr:pic>
    <xdr:clientData/>
  </xdr:twoCellAnchor>
  <xdr:twoCellAnchor editAs="oneCell">
    <xdr:from>
      <xdr:col>2</xdr:col>
      <xdr:colOff>133350</xdr:colOff>
      <xdr:row>42</xdr:row>
      <xdr:rowOff>76200</xdr:rowOff>
    </xdr:from>
    <xdr:to>
      <xdr:col>9</xdr:col>
      <xdr:colOff>551798</xdr:colOff>
      <xdr:row>68</xdr:row>
      <xdr:rowOff>37548</xdr:rowOff>
    </xdr:to>
    <xdr:pic>
      <xdr:nvPicPr>
        <xdr:cNvPr id="7" name="图片 6"/>
        <xdr:cNvPicPr>
          <a:picLocks noChangeAspect="1"/>
        </xdr:cNvPicPr>
      </xdr:nvPicPr>
      <xdr:blipFill>
        <a:blip xmlns:r="http://schemas.openxmlformats.org/officeDocument/2006/relationships" r:embed="rId5"/>
        <a:stretch>
          <a:fillRect/>
        </a:stretch>
      </xdr:blipFill>
      <xdr:spPr>
        <a:xfrm>
          <a:off x="1504950" y="7277100"/>
          <a:ext cx="5219048" cy="4419048"/>
        </a:xfrm>
        <a:prstGeom prst="rect">
          <a:avLst/>
        </a:prstGeom>
      </xdr:spPr>
    </xdr:pic>
    <xdr:clientData/>
  </xdr:twoCellAnchor>
  <xdr:twoCellAnchor editAs="oneCell">
    <xdr:from>
      <xdr:col>13</xdr:col>
      <xdr:colOff>0</xdr:colOff>
      <xdr:row>25</xdr:row>
      <xdr:rowOff>38100</xdr:rowOff>
    </xdr:from>
    <xdr:to>
      <xdr:col>21</xdr:col>
      <xdr:colOff>123124</xdr:colOff>
      <xdr:row>37</xdr:row>
      <xdr:rowOff>114033</xdr:rowOff>
    </xdr:to>
    <xdr:pic>
      <xdr:nvPicPr>
        <xdr:cNvPr id="10" name="图片 9"/>
        <xdr:cNvPicPr>
          <a:picLocks noChangeAspect="1"/>
        </xdr:cNvPicPr>
      </xdr:nvPicPr>
      <xdr:blipFill>
        <a:blip xmlns:r="http://schemas.openxmlformats.org/officeDocument/2006/relationships" r:embed="rId6"/>
        <a:stretch>
          <a:fillRect/>
        </a:stretch>
      </xdr:blipFill>
      <xdr:spPr>
        <a:xfrm>
          <a:off x="8915400" y="4324350"/>
          <a:ext cx="5609524" cy="2133333"/>
        </a:xfrm>
        <a:prstGeom prst="rect">
          <a:avLst/>
        </a:prstGeom>
      </xdr:spPr>
    </xdr:pic>
    <xdr:clientData/>
  </xdr:twoCellAnchor>
  <xdr:twoCellAnchor editAs="oneCell">
    <xdr:from>
      <xdr:col>11</xdr:col>
      <xdr:colOff>619125</xdr:colOff>
      <xdr:row>32</xdr:row>
      <xdr:rowOff>152400</xdr:rowOff>
    </xdr:from>
    <xdr:to>
      <xdr:col>19</xdr:col>
      <xdr:colOff>685106</xdr:colOff>
      <xdr:row>61</xdr:row>
      <xdr:rowOff>161303</xdr:rowOff>
    </xdr:to>
    <xdr:pic>
      <xdr:nvPicPr>
        <xdr:cNvPr id="11" name="图片 10"/>
        <xdr:cNvPicPr>
          <a:picLocks noChangeAspect="1"/>
        </xdr:cNvPicPr>
      </xdr:nvPicPr>
      <xdr:blipFill>
        <a:blip xmlns:r="http://schemas.openxmlformats.org/officeDocument/2006/relationships" r:embed="rId7"/>
        <a:stretch>
          <a:fillRect/>
        </a:stretch>
      </xdr:blipFill>
      <xdr:spPr>
        <a:xfrm>
          <a:off x="8162925" y="5638800"/>
          <a:ext cx="5552381" cy="4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469;C21&#22320;&#2235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576;&#26469;C22&#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576;&#26469;C41&#22320;&#2235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469;C43&#22320;&#22359;-&#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576;&#26469;C4&#22320;&#22359;-&#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576;&#26469;C42&#22320;&#22359;-&#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576;&#26469;0000022&#22320;&#22359;-&#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576;&#26469;0000017&#22320;&#2235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67575.3</v>
          </cell>
        </row>
      </sheetData>
      <sheetData sheetId="13" refreshError="1"/>
      <sheetData sheetId="14" refreshError="1"/>
      <sheetData sheetId="15">
        <row r="14">
          <cell r="B14">
            <v>81727.78</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6789.09</v>
          </cell>
        </row>
      </sheetData>
      <sheetData sheetId="13" refreshError="1"/>
      <sheetData sheetId="14" refreshError="1"/>
      <sheetData sheetId="15">
        <row r="14">
          <cell r="B14">
            <v>7807.1900000000005</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40422.079999999994</v>
          </cell>
        </row>
      </sheetData>
      <sheetData sheetId="13" refreshError="1"/>
      <sheetData sheetId="14" refreshError="1"/>
      <sheetData sheetId="15">
        <row r="14">
          <cell r="B14">
            <v>44176.45</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联排"/>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不动产收益法"/>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23818.62999999999</v>
          </cell>
        </row>
      </sheetData>
      <sheetData sheetId="13" refreshError="1"/>
      <sheetData sheetId="14" refreshError="1"/>
      <sheetData sheetId="15">
        <row r="14">
          <cell r="B14">
            <v>44229.369999999995</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64474.94</v>
          </cell>
        </row>
      </sheetData>
      <sheetData sheetId="13" refreshError="1"/>
      <sheetData sheetId="14" refreshError="1"/>
      <sheetData sheetId="15">
        <row r="14">
          <cell r="B14">
            <v>64474.94</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F31">
            <v>67041.740000000005</v>
          </cell>
        </row>
      </sheetData>
      <sheetData sheetId="13" refreshError="1"/>
      <sheetData sheetId="14" refreshError="1"/>
      <sheetData sheetId="15">
        <row r="14">
          <cell r="B14">
            <v>67041.740000000005</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20091</v>
          </cell>
        </row>
      </sheetData>
      <sheetData sheetId="13"/>
      <sheetData sheetId="14"/>
      <sheetData sheetId="15">
        <row r="14">
          <cell r="B14">
            <v>20091</v>
          </cell>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 val="新房案例"/>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62253.599999999999</v>
          </cell>
        </row>
      </sheetData>
      <sheetData sheetId="13"/>
      <sheetData sheetId="14"/>
      <sheetData sheetId="15">
        <row r="14">
          <cell r="B14">
            <v>62253.599999999999</v>
          </cell>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2655</v>
      </c>
      <c r="B1" s="2889" t="s">
        <v>2752</v>
      </c>
    </row>
    <row r="2" spans="1:55" s="2893" customFormat="1" ht="15" thickTop="1">
      <c r="A2" s="2891" t="s">
        <v>2659</v>
      </c>
      <c r="B2" s="2892" t="str">
        <f>'预评函-封皮'!B37</f>
        <v>河北省怀来县东花园镇董庄子村、杨庄子村英国宫5期住宅地块出让国有建设用地使用权抵押价格预评估</v>
      </c>
      <c r="AX2" s="2894"/>
      <c r="AZ2" s="2894"/>
      <c r="BA2" s="2895"/>
      <c r="BC2" s="2895"/>
    </row>
    <row r="3" spans="1:55" s="2896" customFormat="1">
      <c r="A3" s="2875" t="s">
        <v>2660</v>
      </c>
      <c r="B3" s="2878" t="str">
        <f>'预评函-封皮'!B40</f>
        <v>大业信托</v>
      </c>
    </row>
    <row r="4" spans="1:55" s="2877" customFormat="1">
      <c r="A4" s="2875" t="s">
        <v>2661</v>
      </c>
      <c r="B4" s="2876" t="str">
        <f>'预评函-封皮'!B46</f>
        <v>王鹏、赵雯</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5" thickBot="1">
      <c r="A5" s="2897" t="s">
        <v>2662</v>
      </c>
      <c r="B5" s="2898" t="str">
        <f>'预评函-封皮'!B49</f>
        <v>康正预评字号</v>
      </c>
    </row>
    <row r="6" spans="1:55" s="2899" customFormat="1" ht="15" thickTop="1">
      <c r="A6" s="2891" t="s">
        <v>2704</v>
      </c>
      <c r="B6" s="2892" t="str">
        <f>'预评函-1'!A4</f>
        <v>受贵公司委托，我公司对河北省怀来县东花园镇董庄子村、杨庄子村英国宫5期住宅地块出让国有建设用地使用权抵押价格进行了预评估。</v>
      </c>
      <c r="AM6" s="2900"/>
    </row>
    <row r="7" spans="1:55" s="2874" customFormat="1">
      <c r="A7" s="2875" t="s">
        <v>2656</v>
      </c>
      <c r="B7" s="2876" t="str">
        <f>'预评函-1'!A6</f>
        <v>估价对象为怀来京御房地产开发有限公司使用的、位于河北省怀来县东花园镇董庄子村、杨庄子村英国宫5期住宅地块出让国有建设用地使用权。根据《国有土地使用证》[怀国用(2012)第C1594号]，估价对象（分摊）出让国有建设用地使用权面积为64530.53平方米。根据《建设工程规划许可证》[建字第13073020180049、51号]及附图，估价对象规划建筑面积为195640.36平方米。</v>
      </c>
    </row>
    <row r="8" spans="1:55" s="2874" customFormat="1">
      <c r="A8" s="2875" t="s">
        <v>2657</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2707</v>
      </c>
      <c r="B9" s="2876" t="str">
        <f>'预评函-1'!A9</f>
        <v>华夏幸福拟使用河北省怀来县东花园镇董庄子村、杨庄子村英国宫5期住宅地块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55" s="2874" customFormat="1">
      <c r="A10" s="2875" t="s">
        <v>2658</v>
      </c>
      <c r="B10" s="2876" t="str">
        <f>'预评函-1'!A11</f>
        <v>2018年9月18日（评估专业人员勘察现场之日）</v>
      </c>
    </row>
    <row r="11" spans="1:55" s="2874" customFormat="1">
      <c r="A11" s="2875" t="s">
        <v>2664</v>
      </c>
      <c r="B11" s="2876" t="str">
        <f>'预评函-1'!A14</f>
        <v>根据《国有土地使用证》[怀国用(2012)第C1594号]，本次评估估价对象证载（地类）用途为住宅。</v>
      </c>
    </row>
    <row r="12" spans="1:55" s="2874" customFormat="1">
      <c r="A12" s="2875" t="s">
        <v>2665</v>
      </c>
      <c r="B12" s="2876" t="str">
        <f>'预评函-1'!A15</f>
        <v>本次评估设定用途即为证载用途住宅。</v>
      </c>
    </row>
    <row r="13" spans="1:55" s="2874" customFormat="1">
      <c r="A13" s="2875" t="s">
        <v>2666</v>
      </c>
      <c r="B13" s="2876" t="str">
        <f>'预评函-1'!A17</f>
        <v>根据委托估价方介绍及评估专业人员现场勘查，本次评估估价对象实际土地开发程度为红线外市政基础设施达“七通”（即通路、通上水、通电、、、、）、宗地红线内场地平整。</v>
      </c>
    </row>
    <row r="14" spans="1:55" s="2874" customFormat="1">
      <c r="A14" s="2875" t="s">
        <v>2667</v>
      </c>
      <c r="B14" s="2876" t="str">
        <f>'预评函-1'!A18</f>
        <v>本次评估设定土地开发程度为红线外市政基础设施达“七通”、宗地红线内场地平整。</v>
      </c>
    </row>
    <row r="15" spans="1:55" s="2874" customFormat="1">
      <c r="A15" s="2875" t="s">
        <v>2663</v>
      </c>
      <c r="B15" s="2876" t="str">
        <f>'预评函-1'!A20</f>
        <v>根据《国有土地使用证》[怀国用(2012)第C1594号]，估价对象（分摊）出让国有建设用地使用权面积为64530.53平方米。根据《建设工程规划许可证》[建字第13073020180049、51号]及附图，估价对象规划建筑面积为195640.36平方米。</v>
      </c>
    </row>
    <row r="16" spans="1:55" s="2874" customFormat="1">
      <c r="A16" s="2875" t="s">
        <v>2668</v>
      </c>
      <c r="B16" s="2876" t="str">
        <f>'预评函-1'!A22</f>
        <v>本次估价对象为出让国有建设用地使用权，《国有土地使用证》[怀国用(2012)第C1594号]证载土地终止日期为住宅2082年12月19日车库2062年12月19日。截至估价期日，出让国有建设用地使用权剩余土地使用年限为。</v>
      </c>
    </row>
    <row r="17" spans="1:48" s="2874" customFormat="1">
      <c r="A17" s="2875" t="s">
        <v>2669</v>
      </c>
      <c r="B17" s="2876" t="str">
        <f>'预评函-1'!A23</f>
        <v>本次评估设定估价对象剩余土地使用年限为。</v>
      </c>
    </row>
    <row r="18" spans="1:48" s="2874" customFormat="1">
      <c r="A18" s="2875" t="s">
        <v>2670</v>
      </c>
      <c r="B18" s="2876"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19" spans="1:48" s="2874" customFormat="1">
      <c r="A19" s="2875" t="s">
        <v>2671</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2672</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2673</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6" t="s">
        <v>2674</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2675</v>
      </c>
      <c r="B23" s="2876" t="str">
        <f>'预评函-2'!K2</f>
        <v>估价期日：2018年9月18日</v>
      </c>
    </row>
    <row r="24" spans="1:48">
      <c r="A24" s="2875" t="s">
        <v>2676</v>
      </c>
      <c r="B24" s="2876" t="str">
        <f>'预评函-2'!R2</f>
        <v>估价期日的国有建设用地使用权性质：出让</v>
      </c>
    </row>
    <row r="25" spans="1:48">
      <c r="A25" s="2875" t="s">
        <v>2732</v>
      </c>
      <c r="B25" s="2876" t="str">
        <f>'预评函-2'!A3</f>
        <v>估价期日土地使用者</v>
      </c>
    </row>
    <row r="26" spans="1:48">
      <c r="A26" s="2875" t="s">
        <v>2708</v>
      </c>
      <c r="B26" s="2876" t="str">
        <f>'预评函-2'!A5</f>
        <v>中信开发</v>
      </c>
    </row>
    <row r="27" spans="1:48">
      <c r="A27" s="2875" t="s">
        <v>2733</v>
      </c>
      <c r="B27" s="2876" t="str">
        <f>'预评函-2'!B3</f>
        <v>宗地编号/不动产单元号</v>
      </c>
    </row>
    <row r="28" spans="1:48">
      <c r="A28" s="2875" t="s">
        <v>2709</v>
      </c>
      <c r="B28" s="2876" t="str">
        <f>'预评函-2'!B5</f>
        <v>11111111111</v>
      </c>
    </row>
    <row r="29" spans="1:48">
      <c r="A29" s="2875" t="s">
        <v>2735</v>
      </c>
      <c r="B29" s="2876">
        <f>'预评函-2'!C5</f>
        <v>22</v>
      </c>
    </row>
    <row r="30" spans="1:48">
      <c r="A30" s="2875" t="s">
        <v>2736</v>
      </c>
      <c r="B30" s="2876" t="str">
        <f>'预评函-2'!D3</f>
        <v>土地使用证编号/不动产权证书编号</v>
      </c>
    </row>
    <row r="31" spans="1:48">
      <c r="A31" s="2875" t="s">
        <v>2710</v>
      </c>
      <c r="B31" s="2876" t="str">
        <f>'预评函-2'!D5</f>
        <v>京国土字第111号</v>
      </c>
    </row>
    <row r="32" spans="1:48">
      <c r="A32" s="2875" t="s">
        <v>2711</v>
      </c>
      <c r="B32" s="2876" t="str">
        <f>'预评函-2'!E5</f>
        <v>住宅</v>
      </c>
      <c r="AV32" s="2880"/>
    </row>
    <row r="33" spans="1:2">
      <c r="A33" s="2875" t="s">
        <v>2712</v>
      </c>
      <c r="B33" s="2876">
        <f>'预评函-2'!F5</f>
        <v>258</v>
      </c>
    </row>
    <row r="34" spans="1:2">
      <c r="A34" s="2875" t="s">
        <v>2713</v>
      </c>
      <c r="B34" s="2876" t="str">
        <f>'预评函-2'!G5</f>
        <v>住宅</v>
      </c>
    </row>
    <row r="35" spans="1:2">
      <c r="A35" s="2875" t="s">
        <v>2714</v>
      </c>
      <c r="B35" s="2876">
        <f>'预评函-2'!H5</f>
        <v>1.5</v>
      </c>
    </row>
    <row r="36" spans="1:2">
      <c r="A36" s="2875" t="s">
        <v>2715</v>
      </c>
      <c r="B36" s="2876">
        <f>'预评函-2'!I5</f>
        <v>1.5</v>
      </c>
    </row>
    <row r="37" spans="1:2">
      <c r="A37" s="2875" t="s">
        <v>2716</v>
      </c>
      <c r="B37" s="2876">
        <f>'预评函-2'!J5</f>
        <v>1.5</v>
      </c>
    </row>
    <row r="38" spans="1:2">
      <c r="A38" s="2875" t="s">
        <v>2717</v>
      </c>
      <c r="B38" s="2876" t="str">
        <f>'预评函-2'!K5</f>
        <v>红线外七通、宗地红线内场地平整</v>
      </c>
    </row>
    <row r="39" spans="1:2">
      <c r="A39" s="2875" t="s">
        <v>2718</v>
      </c>
      <c r="B39" s="2876" t="str">
        <f>'预评函-2'!L5</f>
        <v>红线外七通、宗地红线内场地平整</v>
      </c>
    </row>
    <row r="40" spans="1:2">
      <c r="A40" s="2875" t="s">
        <v>2737</v>
      </c>
      <c r="B40" s="2876" t="str">
        <f>'预评函-2'!M3</f>
        <v>（剩余）土地使用年限/年</v>
      </c>
    </row>
    <row r="41" spans="1:2">
      <c r="A41" s="2875" t="s">
        <v>2719</v>
      </c>
      <c r="B41" s="2876">
        <f>'预评函-2'!M5</f>
        <v>0</v>
      </c>
    </row>
    <row r="42" spans="1:2">
      <c r="A42" s="2875" t="s">
        <v>2738</v>
      </c>
      <c r="B42" s="2876" t="str">
        <f>'预评函-2'!N3</f>
        <v>（分摊）出让国有建设用地使用权面积/㎡</v>
      </c>
    </row>
    <row r="43" spans="1:2">
      <c r="A43" s="2875" t="s">
        <v>2720</v>
      </c>
      <c r="B43" s="2876">
        <f>'预评函-2'!N5</f>
        <v>64530.53</v>
      </c>
    </row>
    <row r="44" spans="1:2">
      <c r="A44" s="2875" t="s">
        <v>2739</v>
      </c>
      <c r="B44" s="2876" t="str">
        <f>'预评函-2'!O3</f>
        <v>规划建筑面积/㎡</v>
      </c>
    </row>
    <row r="45" spans="1:2">
      <c r="A45" s="2875" t="s">
        <v>2721</v>
      </c>
      <c r="B45" s="2876">
        <f>'预评函-2'!O5</f>
        <v>195640.36</v>
      </c>
    </row>
    <row r="46" spans="1:2">
      <c r="A46" s="2875" t="s">
        <v>2722</v>
      </c>
      <c r="B46" s="2876">
        <f ca="1">'预评函-2'!P5</f>
        <v>5007</v>
      </c>
    </row>
    <row r="47" spans="1:2">
      <c r="A47" s="2875" t="s">
        <v>2723</v>
      </c>
      <c r="B47" s="2876">
        <f ca="1">'预评函-2'!Q5</f>
        <v>1651</v>
      </c>
    </row>
    <row r="48" spans="1:2">
      <c r="A48" s="2875" t="s">
        <v>2724</v>
      </c>
      <c r="B48" s="2876">
        <f ca="1">'预评函-2'!R5</f>
        <v>32309</v>
      </c>
    </row>
    <row r="49" spans="1:2">
      <c r="A49" s="2875" t="s">
        <v>2740</v>
      </c>
      <c r="B49" s="2876" t="str">
        <f>'预评函-2'!A6</f>
        <v>抵押价格</v>
      </c>
    </row>
    <row r="50" spans="1:2">
      <c r="A50" s="2875" t="s">
        <v>2725</v>
      </c>
      <c r="B50" s="2876">
        <f ca="1">'预评函-2'!R6</f>
        <v>32309</v>
      </c>
    </row>
    <row r="51" spans="1:2">
      <c r="A51" s="2875" t="s">
        <v>2741</v>
      </c>
      <c r="B51" s="2876" t="str">
        <f>'预评函-2'!A7</f>
        <v>——</v>
      </c>
    </row>
    <row r="52" spans="1:2">
      <c r="A52" s="2875" t="s">
        <v>2726</v>
      </c>
      <c r="B52" s="2876" t="str">
        <f>'预评函-2'!R7</f>
        <v>——</v>
      </c>
    </row>
    <row r="53" spans="1:2">
      <c r="A53" s="2875" t="s">
        <v>2742</v>
      </c>
      <c r="B53" s="2876">
        <f>'预评函-2'!A8</f>
        <v>0</v>
      </c>
    </row>
    <row r="54" spans="1:2" s="2890" customFormat="1" ht="15" thickBot="1">
      <c r="A54" s="2897" t="s">
        <v>2727</v>
      </c>
      <c r="B54" s="2898" t="str">
        <f>'预评函-2'!R8</f>
        <v>——</v>
      </c>
    </row>
    <row r="55" spans="1:2" ht="15" thickTop="1">
      <c r="A55" s="2886" t="s">
        <v>2677</v>
      </c>
      <c r="B55" s="2887" t="str">
        <f>'预评函-3'!A2</f>
        <v>1.权利限制：根据估价对象《国有土地使用证》原件、，截至估价期日，估价对象抵押权未见登记。未设定租赁等其他他项权利。</v>
      </c>
    </row>
    <row r="56" spans="1:2">
      <c r="A56" s="2875" t="s">
        <v>2678</v>
      </c>
      <c r="B56" s="2876" t="str">
        <f>'预评函-3'!A3</f>
        <v>2.基础设施条件：估价对象实际开发程度为红线外七通、宗地红线内场地平整；本次评估设定开发程度为红线外七通、宗地红线内场地平整。</v>
      </c>
    </row>
    <row r="57" spans="1:2">
      <c r="A57" s="2875" t="s">
        <v>2679</v>
      </c>
      <c r="B57" s="2876" t="str">
        <f>'预评函-3'!A4</f>
        <v>3.估价规划限制条件：详见《建设工程规划许可证》[建字第13073020180049、51号]及附图。</v>
      </c>
    </row>
    <row r="58" spans="1:2" s="2890" customFormat="1" ht="15" thickBot="1">
      <c r="A58" s="2897" t="s">
        <v>2728</v>
      </c>
      <c r="B58" s="2898" t="str">
        <f>'预评函-3'!A5</f>
        <v>4.影响价格的其他限定条件：无。</v>
      </c>
    </row>
    <row r="59" spans="1:2" ht="15" thickTop="1">
      <c r="A59" s="2886" t="s">
        <v>2680</v>
      </c>
      <c r="B59" s="2887" t="str">
        <f>'预评函-3'!A8</f>
        <v>2.本《评估意见函》仅供金融机构进行内部审核使用，不做其他目的之用。</v>
      </c>
    </row>
    <row r="60" spans="1:2">
      <c r="A60" s="2875" t="s">
        <v>2681</v>
      </c>
      <c r="B60" s="2876" t="str">
        <f>'预评函-3'!A9</f>
        <v>3.抵押双方在办理抵押登记手续时，应使用本公司出具的正式《土地估价报告》，特提请报告使用者注意。</v>
      </c>
    </row>
    <row r="61" spans="1:2">
      <c r="A61" s="2875" t="s">
        <v>2683</v>
      </c>
      <c r="B61" s="2876" t="str">
        <f>'预评函-3'!A10</f>
        <v>4.估价师所知悉的法定优先受偿款情况为：</v>
      </c>
    </row>
    <row r="62" spans="1:2">
      <c r="A62" s="2875" t="s">
        <v>2682</v>
      </c>
      <c r="B62" s="2876" t="str">
        <f>'预评函-3'!A11</f>
        <v>（1）根据估价对象《国有土地使用证》原件、，截至估价期日，估价对象抵押权未见登记。</v>
      </c>
    </row>
    <row r="63" spans="1:2">
      <c r="A63" s="2875" t="s">
        <v>2684</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2685</v>
      </c>
      <c r="B64" s="2881" t="str">
        <f>'预评函-3'!A13</f>
        <v>（3）。</v>
      </c>
    </row>
    <row r="65" spans="1:2">
      <c r="A65" s="2875" t="s">
        <v>2686</v>
      </c>
      <c r="B65" s="2882" t="str">
        <f>'预评函-3'!A14</f>
        <v>综上，本次评估不存在估价师知悉的法定优先受偿款</v>
      </c>
    </row>
    <row r="66" spans="1:2">
      <c r="A66" s="2875" t="s">
        <v>2687</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2688</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2691</v>
      </c>
      <c r="B68" s="2901">
        <f>'预评函-3'!D30</f>
        <v>42558</v>
      </c>
    </row>
    <row r="69" spans="1:2" ht="15" thickTop="1">
      <c r="A69" s="2886" t="s">
        <v>2689</v>
      </c>
      <c r="B69" s="2887" t="str">
        <f>'预评函-3'!A20</f>
        <v>王鹏</v>
      </c>
    </row>
    <row r="70" spans="1:2">
      <c r="A70" s="2875" t="s">
        <v>2689</v>
      </c>
      <c r="B70" s="2882">
        <f ca="1">'预评函-3'!B20</f>
        <v>2002110030</v>
      </c>
    </row>
    <row r="71" spans="1:2">
      <c r="A71" s="2875" t="s">
        <v>2690</v>
      </c>
      <c r="B71" s="2876" t="str">
        <f>'预评函-3'!A21</f>
        <v>赵雯</v>
      </c>
    </row>
    <row r="72" spans="1:2" s="2890" customFormat="1" ht="15" thickBot="1">
      <c r="A72" s="2897" t="s">
        <v>2690</v>
      </c>
      <c r="B72" s="2903">
        <f ca="1">'预评函-3'!B21</f>
        <v>2011110090</v>
      </c>
    </row>
    <row r="73" spans="1:2" ht="15" thickTop="1">
      <c r="A73" s="2886" t="s">
        <v>2749</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2750</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2751</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2786</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0"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61" t="str">
        <f>IF(B10="北京市","北京市",C10)&amp;F10&amp;B16&amp;"国有建设用地使用权"&amp;B9&amp;"预评估"</f>
        <v>河北省怀来县东花园镇董庄子村、杨庄子村英国宫5期住宅地块出让国有建设用地使用权抵押价格预评估</v>
      </c>
      <c r="C1" s="3262"/>
      <c r="D1" s="3262"/>
      <c r="E1" s="3262"/>
      <c r="F1" s="3262"/>
      <c r="G1" s="3262"/>
      <c r="H1" s="3262"/>
      <c r="I1" s="3263"/>
      <c r="J1" s="1692"/>
      <c r="K1" s="2452" t="str">
        <f>IF(B10="北京市","北京市",C10)&amp;F10&amp;B16&amp;"国有建设用地使用权"&amp;B9</f>
        <v>河北省怀来县东花园镇董庄子村、杨庄子村英国宫5期住宅地块出让国有建设用地使用权抵押价格</v>
      </c>
      <c r="L1" s="1720"/>
      <c r="M1" s="1720"/>
      <c r="N1" s="1692"/>
      <c r="O1" s="1693"/>
      <c r="P1" s="1692"/>
      <c r="Q1" s="1692"/>
      <c r="R1" s="1692"/>
      <c r="S1" s="1692"/>
      <c r="T1" s="1692"/>
      <c r="U1" s="1692"/>
    </row>
    <row r="2" spans="1:21">
      <c r="A2" s="1658" t="s">
        <v>1941</v>
      </c>
      <c r="B2" s="1839"/>
      <c r="D2" s="1692"/>
      <c r="E2" s="1692"/>
      <c r="F2" s="1692"/>
      <c r="G2" s="1692"/>
      <c r="H2" s="1658"/>
      <c r="I2" s="1693"/>
      <c r="J2" s="1692"/>
      <c r="K2" s="2452" t="str">
        <f>IF(B10="北京市","北京市",C10)&amp;F10&amp;B16&amp;"国有建设用地使用权"</f>
        <v>河北省怀来县东花园镇董庄子村、杨庄子村英国宫5期住宅地块出让国有建设用地使用权</v>
      </c>
      <c r="L2" s="1720"/>
      <c r="M2" s="1720"/>
      <c r="N2" s="1692"/>
      <c r="O2" s="1693"/>
      <c r="P2" s="1692"/>
      <c r="Q2" s="1692"/>
      <c r="R2" s="1692"/>
      <c r="S2" s="1692"/>
      <c r="T2" s="1692"/>
      <c r="U2" s="1692"/>
    </row>
    <row r="3" spans="1:21">
      <c r="A3" s="1659" t="s">
        <v>1942</v>
      </c>
      <c r="B3" s="1660">
        <v>43361</v>
      </c>
      <c r="C3" s="1661" t="s">
        <v>1997</v>
      </c>
      <c r="D3" s="1660">
        <f>B3</f>
        <v>43361</v>
      </c>
      <c r="E3" s="1692"/>
      <c r="F3" s="1692"/>
      <c r="G3" s="1692"/>
      <c r="H3" s="1658"/>
      <c r="I3" s="1693"/>
      <c r="J3" s="1692"/>
      <c r="K3" s="1771"/>
      <c r="L3" s="1720"/>
      <c r="M3" s="1720"/>
      <c r="N3" s="1692"/>
      <c r="O3" s="1693"/>
      <c r="P3" s="1692"/>
      <c r="Q3" s="1692"/>
      <c r="R3" s="1692"/>
      <c r="S3" s="1692"/>
      <c r="T3" s="1692"/>
      <c r="U3" s="1692"/>
    </row>
    <row r="4" spans="1:21" ht="15" thickBot="1">
      <c r="A4" s="1662" t="s">
        <v>1943</v>
      </c>
      <c r="B4" s="1840" t="s">
        <v>2968</v>
      </c>
      <c r="C4" s="1842">
        <f ca="1">SUMIF(土地估价师,B4,估价师及机构信息!E3:E24)</f>
        <v>2002110030</v>
      </c>
      <c r="D4" s="1840" t="s">
        <v>2969</v>
      </c>
      <c r="E4" s="1842">
        <f ca="1">SUMIF(土地估价师,D4,估价师及机构信息!E3:E24)</f>
        <v>2011110090</v>
      </c>
      <c r="F4" s="1840" t="s">
        <v>952</v>
      </c>
      <c r="G4" s="1842">
        <f>SUMIF(土地估价师,F4,估价师及机构信息!E3:E24)</f>
        <v>0</v>
      </c>
      <c r="H4" s="1840" t="s">
        <v>952</v>
      </c>
      <c r="I4" s="1842">
        <f>SUMIF(土地估价师,H4,估价师及机构信息!E3:E24)</f>
        <v>0</v>
      </c>
      <c r="J4" s="1692"/>
      <c r="K4" s="2452" t="str">
        <f>IF(AND(F4="——",H4="——"),B4&amp;"、"&amp;D4,IF(AND(F4&lt;&gt;"——",H4="——"),B4&amp;"、"&amp;D4&amp;"、"&amp;F4,B4&amp;"、"&amp;D4&amp;"、"&amp;F4&amp;"、"&amp;H4))</f>
        <v>王鹏、赵雯</v>
      </c>
      <c r="L4" s="1720"/>
      <c r="M4" s="1720"/>
      <c r="N4" s="1692"/>
      <c r="O4" s="1693"/>
      <c r="P4" s="1692"/>
      <c r="Q4" s="1692"/>
      <c r="R4" s="1692"/>
      <c r="S4" s="1692"/>
      <c r="T4" s="1692"/>
      <c r="U4" s="1692"/>
    </row>
    <row r="5" spans="1:21" ht="15" thickTop="1">
      <c r="A5" s="1663" t="s">
        <v>1944</v>
      </c>
      <c r="B5" s="1786" t="s">
        <v>2970</v>
      </c>
      <c r="C5" s="1664"/>
      <c r="D5" s="1665"/>
      <c r="E5" s="1692"/>
      <c r="F5" s="1692"/>
      <c r="G5" s="1692"/>
      <c r="H5" s="1658"/>
      <c r="I5" s="1693"/>
      <c r="J5" s="1692"/>
      <c r="K5" s="1771"/>
      <c r="L5" s="1720"/>
      <c r="M5" s="1720"/>
      <c r="N5" s="1692"/>
      <c r="O5" s="1693"/>
      <c r="P5" s="1692"/>
      <c r="Q5" s="1692"/>
      <c r="R5" s="1692"/>
      <c r="S5" s="1692"/>
      <c r="T5" s="1692"/>
      <c r="U5" s="1692"/>
    </row>
    <row r="6" spans="1:21" ht="26.25">
      <c r="A6" s="1661" t="s">
        <v>2705</v>
      </c>
      <c r="B6" s="1786" t="s">
        <v>2971</v>
      </c>
      <c r="C6" s="1758"/>
      <c r="D6" s="1666"/>
      <c r="E6" s="1692"/>
      <c r="F6" s="1692"/>
      <c r="G6" s="1692"/>
      <c r="H6" s="1658"/>
      <c r="I6" s="1693"/>
      <c r="J6" s="1692"/>
      <c r="K6" s="3050" t="str">
        <f>IF(COUNTIF(B6,"*上海银行*"),"上海银行","")</f>
        <v/>
      </c>
      <c r="L6" s="1720"/>
      <c r="M6" s="1720"/>
      <c r="N6" s="1692"/>
      <c r="O6" s="1693"/>
      <c r="P6" s="1692"/>
      <c r="Q6" s="1692"/>
      <c r="R6" s="1692"/>
      <c r="S6" s="1692"/>
      <c r="T6" s="1692"/>
      <c r="U6" s="1692"/>
    </row>
    <row r="7" spans="1:21">
      <c r="A7" s="1667" t="s">
        <v>2706</v>
      </c>
      <c r="B7" s="1786" t="s">
        <v>2972</v>
      </c>
      <c r="C7" s="1758"/>
      <c r="D7" s="1666"/>
      <c r="E7" s="1692"/>
      <c r="F7" s="1692"/>
      <c r="G7" s="1692"/>
      <c r="H7" s="1658"/>
      <c r="I7" s="1693"/>
      <c r="J7" s="1692"/>
      <c r="K7" s="1771"/>
      <c r="L7" s="1720"/>
      <c r="M7" s="1720"/>
      <c r="N7" s="1692"/>
      <c r="O7" s="1693"/>
      <c r="P7" s="1692"/>
      <c r="Q7" s="1692"/>
      <c r="R7" s="1692"/>
      <c r="S7" s="1692"/>
      <c r="T7" s="1692"/>
      <c r="U7" s="1692"/>
    </row>
    <row r="8" spans="1:21">
      <c r="A8" s="1667" t="s">
        <v>1945</v>
      </c>
      <c r="B8" s="1668" t="s">
        <v>2973</v>
      </c>
      <c r="C8" s="1669"/>
      <c r="D8" s="3267" t="s">
        <v>1947</v>
      </c>
      <c r="E8" s="3195" t="s">
        <v>2974</v>
      </c>
      <c r="F8" s="1670"/>
      <c r="G8" s="1658"/>
      <c r="H8" s="1658"/>
      <c r="I8" s="1705"/>
      <c r="J8" s="1692"/>
      <c r="K8" s="1771"/>
      <c r="L8" s="1720"/>
      <c r="M8" s="1720"/>
      <c r="N8" s="1692"/>
      <c r="O8" s="1693"/>
      <c r="P8" s="1692"/>
      <c r="Q8" s="1692"/>
      <c r="R8" s="1692"/>
      <c r="S8" s="1692"/>
      <c r="T8" s="1692"/>
      <c r="U8" s="1692"/>
    </row>
    <row r="9" spans="1:21" ht="15" thickBot="1">
      <c r="A9" s="1671" t="s">
        <v>1946</v>
      </c>
      <c r="B9" s="1672" t="s">
        <v>2974</v>
      </c>
      <c r="C9" s="1673"/>
      <c r="D9" s="3268"/>
      <c r="E9" s="1672"/>
      <c r="F9" s="1744"/>
      <c r="G9" s="1739"/>
      <c r="H9" s="1739"/>
      <c r="I9" s="1740"/>
      <c r="J9" s="1692"/>
      <c r="K9" s="1771"/>
      <c r="L9" s="1720"/>
      <c r="M9" s="1720"/>
      <c r="N9" s="1692"/>
      <c r="O9" s="1693"/>
      <c r="P9" s="1692"/>
      <c r="Q9" s="1692"/>
      <c r="R9" s="1692"/>
      <c r="S9" s="1692"/>
      <c r="T9" s="1692"/>
      <c r="U9" s="1692"/>
    </row>
    <row r="10" spans="1:21" ht="15" thickTop="1">
      <c r="A10" s="1741" t="s">
        <v>2000</v>
      </c>
      <c r="B10" s="1716" t="s">
        <v>2975</v>
      </c>
      <c r="C10" s="1674" t="s">
        <v>2976</v>
      </c>
      <c r="D10" s="1665"/>
      <c r="E10" s="1675" t="s">
        <v>1949</v>
      </c>
      <c r="F10" s="1676" t="s">
        <v>3294</v>
      </c>
      <c r="G10" s="1742"/>
      <c r="H10" s="1743"/>
      <c r="I10" s="1665"/>
      <c r="J10" s="1692"/>
      <c r="K10" s="1771"/>
      <c r="L10" s="1720"/>
      <c r="M10" s="1720"/>
      <c r="N10" s="1692"/>
      <c r="O10" s="1693"/>
      <c r="P10" s="1692"/>
      <c r="Q10" s="1692"/>
      <c r="R10" s="1692"/>
      <c r="S10" s="1692"/>
      <c r="T10" s="1692"/>
      <c r="U10" s="1692"/>
    </row>
    <row r="11" spans="1:21" ht="42.75">
      <c r="A11" s="1695" t="s">
        <v>2001</v>
      </c>
      <c r="B11" s="1696" t="s">
        <v>2977</v>
      </c>
      <c r="C11" s="1677" t="s">
        <v>2978</v>
      </c>
      <c r="D11" s="1759"/>
      <c r="E11" s="1658"/>
      <c r="F11" s="1658"/>
      <c r="G11" s="1658"/>
      <c r="H11" s="1658"/>
      <c r="I11" s="1658"/>
      <c r="J11" s="1692"/>
      <c r="K11" s="1771"/>
      <c r="L11" s="1720"/>
      <c r="M11" s="1720"/>
      <c r="N11" s="1692"/>
      <c r="O11" s="1693"/>
      <c r="P11" s="1692"/>
      <c r="Q11" s="1692"/>
      <c r="R11" s="1692"/>
      <c r="S11" s="1692"/>
      <c r="T11" s="1692"/>
      <c r="U11" s="1692"/>
    </row>
    <row r="12" spans="1:21">
      <c r="A12" s="1782" t="s">
        <v>2059</v>
      </c>
      <c r="B12" s="3264" t="s">
        <v>2979</v>
      </c>
      <c r="C12" s="3265"/>
      <c r="D12" s="3266"/>
      <c r="E12" s="1697" t="s">
        <v>2062</v>
      </c>
      <c r="F12" s="3282" t="s">
        <v>3336</v>
      </c>
      <c r="G12" s="3283"/>
      <c r="H12" s="3283"/>
      <c r="I12" s="3284"/>
      <c r="J12" s="1692"/>
      <c r="K12" s="1771"/>
      <c r="L12" s="1720"/>
      <c r="M12" s="1720"/>
      <c r="N12" s="1692"/>
      <c r="O12" s="1693"/>
      <c r="P12" s="1692"/>
      <c r="Q12" s="1692"/>
      <c r="R12" s="1692"/>
      <c r="S12" s="1692"/>
      <c r="T12" s="1692"/>
      <c r="U12" s="1692"/>
    </row>
    <row r="13" spans="1:21">
      <c r="A13" s="1685" t="s">
        <v>2060</v>
      </c>
      <c r="B13" s="3264" t="s">
        <v>2979</v>
      </c>
      <c r="C13" s="3265"/>
      <c r="D13" s="3266"/>
      <c r="E13" s="1697" t="s">
        <v>2062</v>
      </c>
      <c r="F13" s="3282" t="s">
        <v>3297</v>
      </c>
      <c r="G13" s="3283"/>
      <c r="H13" s="3283"/>
      <c r="I13" s="3284"/>
      <c r="J13" s="1692"/>
      <c r="K13" s="1771"/>
      <c r="L13" s="1720"/>
      <c r="M13" s="1720"/>
      <c r="N13" s="1692"/>
      <c r="O13" s="1693"/>
      <c r="P13" s="1692"/>
      <c r="Q13" s="1692"/>
      <c r="R13" s="1692"/>
      <c r="S13" s="1692"/>
      <c r="T13" s="1692"/>
      <c r="U13" s="1692"/>
    </row>
    <row r="14" spans="1:21">
      <c r="A14" s="1659" t="s">
        <v>2063</v>
      </c>
      <c r="B14" s="1697"/>
      <c r="C14" s="1841" t="s">
        <v>2980</v>
      </c>
      <c r="D14" s="1730" t="str">
        <f>IF(C14="不一致","是否符合证载地类范围","")</f>
        <v/>
      </c>
      <c r="E14" s="1697"/>
      <c r="F14" s="1787" t="s">
        <v>2981</v>
      </c>
      <c r="G14" s="1725"/>
      <c r="H14" s="1725"/>
      <c r="I14" s="1834"/>
      <c r="J14" s="1692"/>
      <c r="K14" s="1771"/>
      <c r="L14" s="1720"/>
      <c r="M14" s="1720"/>
      <c r="N14" s="1692"/>
      <c r="O14" s="1693"/>
      <c r="P14" s="1692"/>
      <c r="Q14" s="1692"/>
      <c r="R14" s="1692"/>
      <c r="S14" s="1692"/>
      <c r="T14" s="1692"/>
      <c r="U14" s="1692"/>
    </row>
    <row r="15" spans="1:21" hidden="1">
      <c r="A15" s="2642"/>
      <c r="B15" s="1661"/>
      <c r="C15" s="1661"/>
      <c r="D15" s="1763" t="s">
        <v>1952</v>
      </c>
      <c r="E15" s="1763" t="s">
        <v>1953</v>
      </c>
      <c r="F15" s="1763" t="s">
        <v>1954</v>
      </c>
      <c r="G15" s="1684" t="s">
        <v>1955</v>
      </c>
      <c r="H15" s="1684" t="s">
        <v>1956</v>
      </c>
      <c r="I15" s="1684" t="s">
        <v>1957</v>
      </c>
      <c r="J15" s="1692"/>
      <c r="K15" s="1771"/>
      <c r="L15" s="1720"/>
      <c r="M15" s="1720"/>
      <c r="N15" s="1692"/>
      <c r="O15" s="1693"/>
      <c r="P15" s="1692"/>
      <c r="Q15" s="1692"/>
      <c r="R15" s="1692"/>
      <c r="S15" s="1692"/>
      <c r="T15" s="1692"/>
      <c r="U15" s="1692"/>
    </row>
    <row r="16" spans="1:21" ht="42.75">
      <c r="A16" s="1678" t="s">
        <v>1950</v>
      </c>
      <c r="B16" s="1679" t="s">
        <v>2982</v>
      </c>
      <c r="C16" s="1697" t="s">
        <v>1951</v>
      </c>
      <c r="D16" s="2643" t="s">
        <v>1952</v>
      </c>
      <c r="E16" s="1719"/>
      <c r="F16" s="1719"/>
      <c r="G16" s="1719" t="s">
        <v>3325</v>
      </c>
      <c r="H16" s="1719"/>
      <c r="I16" s="1684" t="s">
        <v>1957</v>
      </c>
      <c r="J16" s="1692"/>
      <c r="K16" s="2453" t="str">
        <f>IF(D17="","",D16&amp;TEXT(D17,"yyyy年m月d日;;"))</f>
        <v>住宅2082年12月19日</v>
      </c>
      <c r="L16" s="1697" t="str">
        <f>IF(OR(K16="",M16=""),"","、")</f>
        <v/>
      </c>
      <c r="M16" s="2453" t="str">
        <f>IF(E17="","",E16&amp;TEXT(E17,"yyyy年m月d日;;"))</f>
        <v/>
      </c>
      <c r="N16" s="1697" t="str">
        <f>IF(OR(M16="",O16=""),"","、")</f>
        <v/>
      </c>
      <c r="O16" s="2453" t="str">
        <f>IF(F17="","",F16&amp;TEXT(F17,"yyyy年m月d日;;"))</f>
        <v/>
      </c>
      <c r="P16" s="1697" t="str">
        <f>IF(OR(O16="",Q16=""),"","、")</f>
        <v/>
      </c>
      <c r="Q16" s="2453" t="str">
        <f>IF(G17="","",G16&amp;TEXT(G17,"yyyy年m月d日;;"))</f>
        <v>车库2062年12月19日</v>
      </c>
      <c r="R16" s="1697" t="str">
        <f>IF(OR(Q16="",S16=""),"","、")</f>
        <v/>
      </c>
      <c r="S16" s="2453" t="str">
        <f>IF(H17="","",H16&amp;TEXT(H17,"yyyy年m月d日;;"))</f>
        <v/>
      </c>
      <c r="T16" s="1697" t="str">
        <f>IF(OR(S16="",U16=""),"","、")</f>
        <v/>
      </c>
      <c r="U16" s="2453" t="str">
        <f>IF(I17="","",I16&amp;TEXT(I17,"yyyy年m月d日;;"))</f>
        <v/>
      </c>
    </row>
    <row r="17" spans="1:21">
      <c r="A17" s="1760"/>
      <c r="B17" s="1680"/>
      <c r="C17" s="1681" t="s">
        <v>1958</v>
      </c>
      <c r="D17" s="1698">
        <v>66829</v>
      </c>
      <c r="E17" s="1698"/>
      <c r="F17" s="1698"/>
      <c r="G17" s="1698">
        <v>59524</v>
      </c>
      <c r="H17" s="1698"/>
      <c r="I17" s="1698"/>
      <c r="J17" s="1692"/>
      <c r="K17" s="2452" t="str">
        <f>CONCATENATE(K16,L16,M16,N16,O16,P16,Q16,R16,S16,T16,,U16)</f>
        <v>住宅2082年12月19日车库2062年12月19日</v>
      </c>
      <c r="L17" s="1720"/>
      <c r="M17" s="1720"/>
      <c r="N17" s="1692"/>
      <c r="O17" s="1693"/>
      <c r="P17" s="1692"/>
      <c r="Q17" s="1692"/>
      <c r="R17" s="1692"/>
      <c r="S17" s="1692"/>
      <c r="T17" s="1692"/>
      <c r="U17" s="1692"/>
    </row>
    <row r="18" spans="1:21">
      <c r="A18" s="1760"/>
      <c r="B18" s="1680"/>
      <c r="C18" s="1681" t="s">
        <v>1959</v>
      </c>
      <c r="D18" s="1682">
        <v>70</v>
      </c>
      <c r="E18" s="1682"/>
      <c r="F18" s="1682"/>
      <c r="G18" s="1682">
        <v>50</v>
      </c>
      <c r="H18" s="1682"/>
      <c r="I18" s="1682"/>
      <c r="J18" s="1692"/>
      <c r="K18" s="1771"/>
      <c r="L18" s="1720"/>
      <c r="M18" s="1720"/>
      <c r="N18" s="1692"/>
      <c r="O18" s="1693"/>
      <c r="P18" s="1692"/>
      <c r="Q18" s="1692"/>
      <c r="R18" s="1692"/>
      <c r="S18" s="1692"/>
      <c r="T18" s="1692"/>
      <c r="U18" s="1692"/>
    </row>
    <row r="19" spans="1:21">
      <c r="A19" s="1760"/>
      <c r="B19" s="1680"/>
      <c r="C19" s="1658" t="s">
        <v>1960</v>
      </c>
      <c r="D19" s="1755">
        <f>IF(B16="出让",IF(D17="","",ROUNDDOWN(MIN((D17-$D$3)/365,D18),2)),D18)</f>
        <v>64.290000000000006</v>
      </c>
      <c r="E19" s="1683" t="str">
        <f>IF(B16="出让",IF(E17="","",ROUNDDOWN(MIN((E17-$D$3)/365,E18),2)),E18)</f>
        <v/>
      </c>
      <c r="F19" s="1683" t="str">
        <f>IF(B16="出让",IF(F17="","",ROUNDDOWN(MIN((F17-$D$3)/365,F18),2)),F18)</f>
        <v/>
      </c>
      <c r="G19" s="1683">
        <f>IF(B16="出让",IF(G17="","",ROUNDDOWN(MIN((G17-$D$3)/365,G18),2)),G18)</f>
        <v>44.28</v>
      </c>
      <c r="H19" s="1683" t="str">
        <f>IF(B16="出让",IF(H17="","",ROUNDDOWN(MIN((H17-$D$3)/365,H18),2)),H18)</f>
        <v/>
      </c>
      <c r="I19" s="1683" t="str">
        <f>IF(B16="出让",IF(I17="","",ROUNDDOWN(MIN((I17-$D$3)/365,I18),2)),I18)</f>
        <v/>
      </c>
      <c r="J19" s="1692"/>
      <c r="K19" s="1771"/>
      <c r="L19" s="1720"/>
      <c r="M19" s="1720"/>
      <c r="N19" s="1692"/>
      <c r="O19" s="1693"/>
      <c r="P19" s="1692"/>
      <c r="Q19" s="1692"/>
      <c r="R19" s="1692"/>
      <c r="S19" s="1692"/>
      <c r="T19" s="1692"/>
      <c r="U19" s="1692"/>
    </row>
    <row r="20" spans="1:21">
      <c r="A20" s="1783"/>
      <c r="B20" s="1784"/>
      <c r="C20" s="1785" t="s">
        <v>2061</v>
      </c>
      <c r="D20" s="3279"/>
      <c r="E20" s="3280"/>
      <c r="F20" s="3280"/>
      <c r="G20" s="3280"/>
      <c r="H20" s="3280"/>
      <c r="I20" s="3281"/>
      <c r="J20" s="1692"/>
      <c r="K20" s="1771"/>
      <c r="L20" s="1720"/>
      <c r="M20" s="1720"/>
      <c r="N20" s="1692"/>
      <c r="O20" s="1693"/>
      <c r="P20" s="1692"/>
      <c r="Q20" s="1692"/>
      <c r="R20" s="1692"/>
      <c r="S20" s="1692"/>
      <c r="T20" s="1692"/>
      <c r="U20" s="1692"/>
    </row>
    <row r="21" spans="1:21">
      <c r="A21" s="1760" t="s">
        <v>1961</v>
      </c>
      <c r="B21" s="1761" t="s">
        <v>1962</v>
      </c>
      <c r="C21" s="1756">
        <f>'数据-汇总表'!E3</f>
        <v>195640.36</v>
      </c>
      <c r="D21" s="1757" t="s">
        <v>1963</v>
      </c>
      <c r="E21" s="3269" t="s">
        <v>3296</v>
      </c>
      <c r="F21" s="3270"/>
      <c r="G21" s="3270"/>
      <c r="H21" s="3270"/>
      <c r="I21" s="3271"/>
      <c r="J21" s="1692"/>
      <c r="K21" s="1771"/>
      <c r="L21" s="1720"/>
      <c r="M21" s="1720"/>
      <c r="N21" s="1692"/>
      <c r="O21" s="1693"/>
      <c r="P21" s="1692"/>
      <c r="Q21" s="1692"/>
      <c r="R21" s="1692"/>
      <c r="S21" s="1692"/>
      <c r="T21" s="1692"/>
      <c r="U21" s="1692"/>
    </row>
    <row r="22" spans="1:21">
      <c r="A22" s="3142" t="s">
        <v>952</v>
      </c>
      <c r="B22" s="1659" t="s">
        <v>1964</v>
      </c>
      <c r="C22" s="1684">
        <f>'数据-汇总表'!D3</f>
        <v>64530.53</v>
      </c>
      <c r="D22" s="1685" t="s">
        <v>1963</v>
      </c>
      <c r="E22" s="3269" t="s">
        <v>3295</v>
      </c>
      <c r="F22" s="3270"/>
      <c r="G22" s="3270"/>
      <c r="H22" s="3270"/>
      <c r="I22" s="3271"/>
      <c r="J22" s="1692"/>
      <c r="K22" s="1771"/>
      <c r="L22" s="1720"/>
      <c r="M22" s="1720"/>
      <c r="N22" s="1692"/>
      <c r="O22" s="1693"/>
      <c r="P22" s="1692"/>
      <c r="Q22" s="1692"/>
      <c r="R22" s="1692"/>
      <c r="S22" s="1692"/>
      <c r="T22" s="1692"/>
      <c r="U22" s="1692"/>
    </row>
    <row r="23" spans="1:21" ht="43.5" thickBot="1">
      <c r="A23" s="1762" t="s">
        <v>1965</v>
      </c>
      <c r="B23" s="1699" t="s">
        <v>1966</v>
      </c>
      <c r="C23" s="1700" t="s">
        <v>2983</v>
      </c>
      <c r="D23" s="1701" t="s">
        <v>1967</v>
      </c>
      <c r="E23" s="1702" t="s">
        <v>2983</v>
      </c>
      <c r="F23" s="1703" t="str">
        <f>IF(AND(C23="是",E23="否"),"是否提供他项权证或相关说明","")</f>
        <v/>
      </c>
      <c r="G23" s="1704"/>
      <c r="H23" s="1692"/>
      <c r="I23" s="1705"/>
      <c r="J23" s="1692"/>
      <c r="K23" s="1771"/>
      <c r="L23" s="1720"/>
      <c r="M23" s="1720"/>
      <c r="N23" s="1692"/>
      <c r="O23" s="1693"/>
      <c r="P23" s="1692"/>
      <c r="Q23" s="1692"/>
      <c r="R23" s="1692"/>
      <c r="S23" s="1692"/>
      <c r="T23" s="1692"/>
      <c r="U23" s="1692"/>
    </row>
    <row r="24" spans="1:21">
      <c r="A24" s="1747" t="s">
        <v>1968</v>
      </c>
      <c r="B24" s="3272" t="s">
        <v>1969</v>
      </c>
      <c r="C24" s="3273"/>
      <c r="D24" s="3274" t="s">
        <v>1970</v>
      </c>
      <c r="E24" s="3275"/>
      <c r="F24" s="1706" t="s">
        <v>1971</v>
      </c>
      <c r="G24" s="1692"/>
      <c r="H24" s="1692"/>
      <c r="I24" s="1705"/>
      <c r="J24" s="1692"/>
      <c r="K24" s="3260" t="s">
        <v>1972</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0"/>
      <c r="N24" s="1692"/>
      <c r="O24" s="1693"/>
      <c r="P24" s="1692"/>
      <c r="Q24" s="1692"/>
      <c r="R24" s="1692"/>
      <c r="S24" s="1692"/>
      <c r="T24" s="1692"/>
      <c r="U24" s="1692"/>
    </row>
    <row r="25" spans="1:21" ht="28.5">
      <c r="A25" s="1748"/>
      <c r="B25" s="1745" t="s">
        <v>3262</v>
      </c>
      <c r="C25" s="1707" t="s">
        <v>1973</v>
      </c>
      <c r="D25" s="1708"/>
      <c r="E25" s="1709" t="s">
        <v>952</v>
      </c>
      <c r="F25" s="1710"/>
      <c r="G25" s="1692"/>
      <c r="H25" s="1692"/>
      <c r="I25" s="1705"/>
      <c r="J25" s="1692"/>
      <c r="K25" s="3260"/>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2"/>
      <c r="O25" s="1693"/>
      <c r="P25" s="1692"/>
      <c r="Q25" s="1692"/>
      <c r="R25" s="1692"/>
      <c r="S25" s="1692"/>
      <c r="T25" s="1692"/>
      <c r="U25" s="1692"/>
    </row>
    <row r="26" spans="1:21" ht="15" thickBot="1">
      <c r="A26" s="1749"/>
      <c r="B26" s="1746"/>
      <c r="C26" s="1707"/>
      <c r="D26" s="1658"/>
      <c r="E26" s="1658"/>
      <c r="F26" s="1686"/>
      <c r="G26" s="1692"/>
      <c r="H26" s="1692"/>
      <c r="I26" s="1705"/>
      <c r="J26" s="1692"/>
      <c r="K26" s="3260"/>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2"/>
      <c r="O26" s="1693"/>
      <c r="P26" s="1692"/>
      <c r="Q26" s="1692"/>
      <c r="R26" s="1692"/>
      <c r="S26" s="1692"/>
      <c r="T26" s="1692"/>
      <c r="U26" s="1692"/>
    </row>
    <row r="27" spans="1:21">
      <c r="A27" s="1752" t="s">
        <v>1974</v>
      </c>
      <c r="B27" s="1750" t="s">
        <v>1975</v>
      </c>
      <c r="C27" s="1712"/>
      <c r="D27" s="2648" t="s">
        <v>1975</v>
      </c>
      <c r="E27" s="1711"/>
      <c r="F27" s="1686"/>
      <c r="G27" s="1692"/>
      <c r="H27" s="1692"/>
      <c r="I27" s="1705"/>
      <c r="J27" s="1692"/>
      <c r="K27" s="1771"/>
      <c r="L27" s="1720"/>
      <c r="M27" s="1720"/>
      <c r="N27" s="1692"/>
      <c r="O27" s="1693"/>
      <c r="P27" s="1692"/>
      <c r="Q27" s="1692"/>
      <c r="R27" s="1692"/>
      <c r="S27" s="1692"/>
      <c r="T27" s="1692"/>
      <c r="U27" s="1692"/>
    </row>
    <row r="28" spans="1:21">
      <c r="A28" s="1753"/>
      <c r="B28" s="1750" t="s">
        <v>1976</v>
      </c>
      <c r="C28" s="1712"/>
      <c r="D28" s="2649" t="s">
        <v>1976</v>
      </c>
      <c r="E28" s="1713"/>
      <c r="F28" s="1686"/>
      <c r="G28" s="1692"/>
      <c r="H28" s="1692"/>
      <c r="I28" s="1705"/>
      <c r="J28" s="1692"/>
      <c r="K28" s="1771"/>
      <c r="L28" s="1720"/>
      <c r="M28" s="1720"/>
      <c r="N28" s="1692"/>
      <c r="O28" s="1693"/>
      <c r="P28" s="1692"/>
      <c r="Q28" s="1692"/>
      <c r="R28" s="1692"/>
      <c r="S28" s="1692"/>
      <c r="T28" s="1692"/>
      <c r="U28" s="1692"/>
    </row>
    <row r="29" spans="1:21">
      <c r="A29" s="1753"/>
      <c r="B29" s="1750" t="s">
        <v>1977</v>
      </c>
      <c r="C29" s="1712"/>
      <c r="D29" s="2649" t="s">
        <v>1977</v>
      </c>
      <c r="E29" s="1713"/>
      <c r="F29" s="1686"/>
      <c r="G29" s="1692"/>
      <c r="H29" s="1692"/>
      <c r="I29" s="1705"/>
      <c r="J29" s="1692"/>
      <c r="K29" s="1771"/>
      <c r="L29" s="1720"/>
      <c r="M29" s="1720"/>
      <c r="N29" s="1692"/>
      <c r="O29" s="1693"/>
      <c r="P29" s="1692"/>
      <c r="Q29" s="1692"/>
      <c r="R29" s="1692"/>
      <c r="S29" s="1692"/>
      <c r="T29" s="1692"/>
      <c r="U29" s="1692"/>
    </row>
    <row r="30" spans="1:21" ht="15" thickBot="1">
      <c r="A30" s="1754"/>
      <c r="B30" s="1751" t="s">
        <v>1978</v>
      </c>
      <c r="C30" s="1714"/>
      <c r="D30" s="2650" t="s">
        <v>1978</v>
      </c>
      <c r="E30" s="1715"/>
      <c r="F30" s="1687"/>
      <c r="G30" s="1739"/>
      <c r="H30" s="1739"/>
      <c r="I30" s="1740"/>
      <c r="J30" s="1692"/>
      <c r="K30" s="1771"/>
      <c r="L30" s="1720"/>
      <c r="M30" s="1720"/>
      <c r="N30" s="1692"/>
      <c r="O30" s="1693"/>
      <c r="P30" s="1692"/>
      <c r="Q30" s="1692"/>
      <c r="R30" s="1692"/>
      <c r="S30" s="1692"/>
      <c r="T30" s="1692"/>
      <c r="U30" s="1692"/>
    </row>
    <row r="31" spans="1:21" ht="15" thickTop="1">
      <c r="A31" s="3246" t="s">
        <v>2002</v>
      </c>
      <c r="B31" s="1761" t="s">
        <v>2003</v>
      </c>
      <c r="C31" s="3285" t="s">
        <v>2984</v>
      </c>
      <c r="D31" s="3286"/>
      <c r="E31" s="1692"/>
      <c r="F31" s="1692"/>
      <c r="G31" s="1692"/>
      <c r="H31" s="1692"/>
      <c r="I31" s="1705"/>
      <c r="J31" s="1692"/>
      <c r="K31" s="2455"/>
      <c r="L31" s="1692"/>
      <c r="M31" s="1692"/>
      <c r="N31" s="1692"/>
      <c r="O31" s="1692"/>
      <c r="P31" s="1692"/>
      <c r="Q31" s="1692"/>
      <c r="R31" s="1692"/>
      <c r="S31" s="1692"/>
      <c r="T31" s="1692"/>
      <c r="U31" s="1692"/>
    </row>
    <row r="32" spans="1:21">
      <c r="A32" s="3246"/>
      <c r="B32" s="1659" t="s">
        <v>2004</v>
      </c>
      <c r="C32" s="1716" t="s">
        <v>2985</v>
      </c>
      <c r="D32" s="1717"/>
      <c r="E32" s="1692"/>
      <c r="F32" s="1692"/>
      <c r="G32" s="1692"/>
      <c r="H32" s="1692"/>
      <c r="I32" s="1705"/>
      <c r="J32" s="1692"/>
      <c r="K32" s="2455"/>
      <c r="L32" s="1692"/>
      <c r="M32" s="1692"/>
      <c r="N32" s="1692"/>
      <c r="O32" s="1692"/>
      <c r="P32" s="1692"/>
      <c r="Q32" s="1692"/>
      <c r="R32" s="1692"/>
      <c r="S32" s="1692"/>
      <c r="T32" s="1692"/>
      <c r="U32" s="1692"/>
    </row>
    <row r="33" spans="1:21">
      <c r="A33" s="3246"/>
      <c r="B33" s="1659" t="s">
        <v>2005</v>
      </c>
      <c r="C33" s="1718" t="s">
        <v>2983</v>
      </c>
      <c r="D33" s="1835"/>
      <c r="E33" s="1692"/>
      <c r="F33" s="1692"/>
      <c r="G33" s="1692"/>
      <c r="H33" s="1692"/>
      <c r="I33" s="1705"/>
      <c r="J33" s="1692"/>
      <c r="K33" s="2455"/>
      <c r="L33" s="1692"/>
      <c r="M33" s="1692"/>
      <c r="N33" s="1692"/>
      <c r="O33" s="1692"/>
      <c r="P33" s="1692"/>
      <c r="Q33" s="1692"/>
      <c r="R33" s="1692"/>
      <c r="S33" s="1692"/>
      <c r="T33" s="1692"/>
      <c r="U33" s="1692"/>
    </row>
    <row r="34" spans="1:21">
      <c r="A34" s="3247"/>
      <c r="B34" s="1659" t="s">
        <v>2006</v>
      </c>
      <c r="C34" s="3248"/>
      <c r="D34" s="3249"/>
      <c r="E34" s="1692"/>
      <c r="F34" s="1692"/>
      <c r="G34" s="1692"/>
      <c r="H34" s="1692"/>
      <c r="I34" s="1705"/>
      <c r="J34" s="1692"/>
      <c r="K34" s="2455"/>
      <c r="L34" s="1692"/>
      <c r="M34" s="1692"/>
      <c r="N34" s="1692"/>
      <c r="O34" s="1692"/>
      <c r="P34" s="1692"/>
      <c r="Q34" s="1692"/>
      <c r="R34" s="1692"/>
      <c r="S34" s="1692"/>
      <c r="T34" s="1692"/>
      <c r="U34" s="1692"/>
    </row>
    <row r="35" spans="1:21">
      <c r="A35" s="3250" t="s">
        <v>847</v>
      </c>
      <c r="B35" s="1719" t="s">
        <v>2986</v>
      </c>
      <c r="C35" s="1773" t="str">
        <f>IF(B35="场地平整","——","具体情况：")</f>
        <v>——</v>
      </c>
      <c r="D35" s="3252"/>
      <c r="E35" s="3253"/>
      <c r="F35" s="3253"/>
      <c r="G35" s="3253"/>
      <c r="H35" s="3253"/>
      <c r="I35" s="3254"/>
      <c r="J35" s="1692"/>
      <c r="K35" s="1772"/>
      <c r="L35" s="1720"/>
      <c r="M35" s="1720"/>
      <c r="N35" s="1692"/>
      <c r="O35" s="1693"/>
      <c r="P35" s="1692"/>
      <c r="Q35" s="1692"/>
      <c r="R35" s="1692"/>
      <c r="S35" s="1692"/>
      <c r="T35" s="1692"/>
      <c r="U35" s="1692"/>
    </row>
    <row r="36" spans="1:21">
      <c r="A36" s="3246"/>
      <c r="B36" s="3255" t="s">
        <v>2055</v>
      </c>
      <c r="C36" s="3256"/>
      <c r="D36" s="1789" t="s">
        <v>3263</v>
      </c>
      <c r="E36" s="3257"/>
      <c r="F36" s="3257"/>
      <c r="G36" s="1685" t="str">
        <f>IF(B35="场地未平整","估价结果处理","")</f>
        <v/>
      </c>
      <c r="H36" s="3258"/>
      <c r="I36" s="3258"/>
      <c r="J36" s="1692"/>
      <c r="K36" s="1772"/>
      <c r="L36" s="1720"/>
      <c r="M36" s="1720"/>
      <c r="N36" s="1692"/>
      <c r="O36" s="1693"/>
      <c r="P36" s="1692"/>
      <c r="Q36" s="1692"/>
      <c r="R36" s="1692"/>
      <c r="S36" s="1692"/>
      <c r="T36" s="1692"/>
      <c r="U36" s="1692"/>
    </row>
    <row r="37" spans="1:21" ht="28.5">
      <c r="A37" s="3246"/>
      <c r="B37" s="3276" t="s">
        <v>848</v>
      </c>
      <c r="C37" s="1721" t="s">
        <v>849</v>
      </c>
      <c r="D37" s="1722"/>
      <c r="E37" s="1723"/>
      <c r="F37" s="1692"/>
      <c r="G37" s="1692"/>
      <c r="H37" s="1692"/>
      <c r="I37" s="1705"/>
      <c r="J37" s="1692"/>
      <c r="K37" s="1772"/>
      <c r="L37" s="1692"/>
      <c r="M37" s="1692"/>
      <c r="N37" s="1692"/>
      <c r="O37" s="1692"/>
      <c r="P37" s="1692"/>
      <c r="Q37" s="1692"/>
      <c r="R37" s="1692"/>
      <c r="S37" s="1692"/>
      <c r="T37" s="1692"/>
      <c r="U37" s="1692"/>
    </row>
    <row r="38" spans="1:21">
      <c r="A38" s="3246"/>
      <c r="B38" s="3277"/>
      <c r="C38" s="1667" t="s">
        <v>850</v>
      </c>
      <c r="D38" s="1788">
        <f>ROUNDDOWN(MIN(('数据-取费表'!$B$2-D37)/365,D34),1)</f>
        <v>118.7</v>
      </c>
      <c r="E38" s="1724" t="s">
        <v>851</v>
      </c>
      <c r="F38" s="1692"/>
      <c r="G38" s="1692"/>
      <c r="H38" s="1692"/>
      <c r="I38" s="1705"/>
      <c r="J38" s="1692"/>
      <c r="K38" s="1772"/>
      <c r="L38" s="1692"/>
      <c r="M38" s="1692"/>
      <c r="N38" s="1692"/>
      <c r="O38" s="1692"/>
      <c r="P38" s="1692"/>
      <c r="Q38" s="1692"/>
      <c r="R38" s="1692"/>
      <c r="S38" s="1692"/>
      <c r="T38" s="1692"/>
      <c r="U38" s="1692"/>
    </row>
    <row r="39" spans="1:21">
      <c r="A39" s="3247"/>
      <c r="B39" s="3278"/>
      <c r="C39" s="1695" t="str">
        <f>IF(D38&lt;1,"不存在土地闲置",IF(B35="宗地内已开工建设","已开工，不存在土地闲置","估价对象已涉嫌土地闲置"))</f>
        <v>估价对象已涉嫌土地闲置</v>
      </c>
      <c r="D39" s="1725"/>
      <c r="E39" s="1726"/>
      <c r="F39" s="1692"/>
      <c r="G39" s="1692"/>
      <c r="H39" s="1692"/>
      <c r="I39" s="1705"/>
      <c r="J39" s="1692"/>
      <c r="K39" s="1771"/>
      <c r="L39" s="1720"/>
      <c r="M39" s="1720"/>
      <c r="N39" s="1692"/>
      <c r="O39" s="1693"/>
      <c r="P39" s="1692"/>
      <c r="Q39" s="1692"/>
      <c r="R39" s="1692"/>
      <c r="S39" s="1692"/>
      <c r="T39" s="1692"/>
      <c r="U39" s="1692"/>
    </row>
    <row r="40" spans="1:21">
      <c r="A40" s="1685" t="s">
        <v>1979</v>
      </c>
      <c r="B40" s="1688" t="s">
        <v>2987</v>
      </c>
      <c r="C40" s="1688" t="s">
        <v>2988</v>
      </c>
      <c r="D40" s="1688" t="s">
        <v>2989</v>
      </c>
      <c r="E40" s="1688"/>
      <c r="F40" s="1688"/>
      <c r="G40" s="1688"/>
      <c r="H40" s="1688"/>
      <c r="I40" s="1705"/>
      <c r="J40" s="1692"/>
      <c r="K40" s="1727">
        <f>COUNTIF(B40:H40,"——")</f>
        <v>0</v>
      </c>
      <c r="L40" s="1697" t="s">
        <v>1980</v>
      </c>
      <c r="M40" s="1694" t="s">
        <v>1981</v>
      </c>
      <c r="N40" s="1694" t="s">
        <v>1982</v>
      </c>
      <c r="O40" s="1694" t="s">
        <v>1983</v>
      </c>
      <c r="P40" s="1694" t="s">
        <v>1984</v>
      </c>
      <c r="Q40" s="1694" t="s">
        <v>1985</v>
      </c>
      <c r="R40" s="1694" t="s">
        <v>1986</v>
      </c>
      <c r="S40" s="3259" t="s">
        <v>1987</v>
      </c>
      <c r="T40" s="1728" t="str">
        <f>NUMBERSTRING(7-K40,1)&amp;"通"</f>
        <v>七通</v>
      </c>
      <c r="U40" s="1692"/>
    </row>
    <row r="41" spans="1:21">
      <c r="A41" s="1661"/>
      <c r="B41" s="3251" t="s">
        <v>1722</v>
      </c>
      <c r="C41" s="3251"/>
      <c r="D41" s="3251"/>
      <c r="E41" s="3251"/>
      <c r="F41" s="1729" t="str">
        <f>C10</f>
        <v>河北省</v>
      </c>
      <c r="G41" s="1692"/>
      <c r="H41" s="1692"/>
      <c r="I41" s="1705"/>
      <c r="J41" s="1692"/>
      <c r="K41" s="1697"/>
      <c r="L41" s="1694" t="str">
        <f>B40</f>
        <v>通路</v>
      </c>
      <c r="M41" s="1730" t="str">
        <f>B40&amp;"、"&amp;C40</f>
        <v>通路、通上水</v>
      </c>
      <c r="N41" s="1731" t="str">
        <f>B40&amp;"、"&amp;C40&amp;"、"&amp;D40</f>
        <v>通路、通上水、通电</v>
      </c>
      <c r="O41" s="1731" t="str">
        <f>B40&amp;"、"&amp;C40&amp;"、"&amp;D40&amp;"、"&amp;E40</f>
        <v>通路、通上水、通电、</v>
      </c>
      <c r="P41" s="1731" t="str">
        <f>B40&amp;"、"&amp;C40&amp;"、"&amp;D40&amp;"、"&amp;E40&amp;"、"&amp;F40</f>
        <v>通路、通上水、通电、、</v>
      </c>
      <c r="Q41" s="1731" t="str">
        <f>B40&amp;"、"&amp;C40&amp;"、"&amp;D40&amp;"、"&amp;E40&amp;"、"&amp;F40&amp;"、"&amp;G40</f>
        <v>通路、通上水、通电、、、</v>
      </c>
      <c r="R41" s="1731" t="str">
        <f>B40&amp;"、"&amp;C40&amp;"、"&amp;D40&amp;"、"&amp;E40&amp;"、"&amp;F40&amp;"、"&amp;G40&amp;"、"&amp;H40</f>
        <v>通路、通上水、通电、、、、</v>
      </c>
      <c r="S41" s="3259"/>
      <c r="T41" s="1730" t="str">
        <f>IF(T40="一通",L41,IF(T40="二通",M41,IF(T40="三通",N41,IF(T40="四通",O41,IF(T40="五通",P41,IF(T40="六通",Q41,R41))))))</f>
        <v>通路、通上水、通电、、、、</v>
      </c>
      <c r="U41" s="1692"/>
    </row>
    <row r="42" spans="1:21">
      <c r="A42" s="1732"/>
      <c r="B42" s="1763" t="s">
        <v>1898</v>
      </c>
      <c r="C42" s="1763" t="s">
        <v>1899</v>
      </c>
      <c r="D42" s="1763" t="s">
        <v>1900</v>
      </c>
      <c r="E42" s="1697" t="s">
        <v>1901</v>
      </c>
      <c r="F42" s="1733"/>
      <c r="G42" s="1692"/>
      <c r="H42" s="1692"/>
      <c r="I42" s="1705"/>
      <c r="J42" s="1692"/>
      <c r="K42" s="1771"/>
      <c r="L42" s="1720"/>
      <c r="M42" s="1720"/>
      <c r="N42" s="1692"/>
      <c r="O42" s="1693"/>
      <c r="P42" s="1692"/>
      <c r="Q42" s="1692"/>
      <c r="R42" s="1692"/>
      <c r="S42" s="1692"/>
      <c r="T42" s="1692"/>
      <c r="U42" s="1692"/>
    </row>
    <row r="43" spans="1:21">
      <c r="A43" s="1734" t="s">
        <v>1707</v>
      </c>
      <c r="B43" s="1735"/>
      <c r="C43" s="1735"/>
      <c r="D43" s="1735"/>
      <c r="E43" s="1735"/>
      <c r="F43" s="1736"/>
      <c r="G43" s="1692"/>
      <c r="H43" s="1692"/>
      <c r="I43" s="1705"/>
      <c r="J43" s="1692"/>
      <c r="K43" s="1771"/>
      <c r="L43" s="1720"/>
      <c r="M43" s="1720"/>
      <c r="N43" s="1692"/>
      <c r="O43" s="1693"/>
      <c r="P43" s="1692"/>
      <c r="Q43" s="1692"/>
      <c r="R43" s="1692"/>
      <c r="S43" s="1692"/>
      <c r="T43" s="1692"/>
      <c r="U43" s="1692"/>
    </row>
    <row r="44" spans="1:21">
      <c r="A44" s="1734" t="s">
        <v>1708</v>
      </c>
      <c r="B44" s="1735"/>
      <c r="C44" s="1735"/>
      <c r="D44" s="1735"/>
      <c r="E44" s="1789"/>
      <c r="F44" s="1736"/>
      <c r="G44" s="1692"/>
      <c r="H44" s="1692"/>
      <c r="I44" s="1705"/>
      <c r="J44" s="1692"/>
      <c r="K44" s="1771"/>
      <c r="L44" s="1720"/>
      <c r="M44" s="1720"/>
      <c r="N44" s="1692"/>
      <c r="O44" s="1693"/>
      <c r="P44" s="1692"/>
      <c r="Q44" s="1692"/>
      <c r="R44" s="1692"/>
      <c r="S44" s="1692"/>
      <c r="T44" s="1692"/>
      <c r="U44" s="1692"/>
    </row>
    <row r="45" spans="1:21" s="3067" customFormat="1" ht="21" thickBot="1">
      <c r="A45" s="3068" t="s">
        <v>2879</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92"/>
      <c r="B46" s="1692"/>
      <c r="C46" s="1692"/>
      <c r="D46" s="1692"/>
      <c r="E46" s="1692"/>
      <c r="F46" s="1692"/>
      <c r="G46" s="1692"/>
      <c r="H46" s="1692"/>
      <c r="I46" s="1705"/>
      <c r="J46" s="1692"/>
      <c r="K46" s="1771"/>
      <c r="L46" s="1720"/>
      <c r="M46" s="1720"/>
      <c r="N46" s="1692"/>
      <c r="O46" s="1693"/>
      <c r="P46" s="1692"/>
      <c r="Q46" s="1692"/>
      <c r="R46" s="1692"/>
      <c r="S46" s="1692"/>
      <c r="T46" s="1692"/>
      <c r="U46" s="1692"/>
    </row>
    <row r="47" spans="1:21">
      <c r="A47" s="1737" t="s">
        <v>2007</v>
      </c>
      <c r="B47" s="1738"/>
      <c r="C47" s="1726"/>
      <c r="D47" s="1692"/>
      <c r="E47" s="1692"/>
      <c r="F47" s="1692"/>
      <c r="G47" s="1692"/>
      <c r="H47" s="1692"/>
      <c r="I47" s="1693"/>
      <c r="J47" s="1692"/>
      <c r="K47" s="1771"/>
      <c r="L47" s="1720"/>
      <c r="M47" s="1720"/>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69" t="s">
        <v>2017</v>
      </c>
      <c r="K48" s="1763" t="s">
        <v>2018</v>
      </c>
      <c r="L48" s="1763" t="s">
        <v>2019</v>
      </c>
      <c r="M48" s="1763" t="s">
        <v>2020</v>
      </c>
      <c r="N48" s="1684" t="s">
        <v>2021</v>
      </c>
      <c r="O48" s="1684" t="s">
        <v>2022</v>
      </c>
      <c r="P48" s="1684" t="s">
        <v>2023</v>
      </c>
      <c r="Q48" s="1697" t="s">
        <v>2024</v>
      </c>
      <c r="R48" s="1697" t="s">
        <v>2025</v>
      </c>
      <c r="S48" s="1692"/>
      <c r="T48" s="1692"/>
      <c r="U48" s="1692"/>
    </row>
    <row r="49" spans="1:21">
      <c r="A49" s="1694"/>
      <c r="B49" s="1727"/>
      <c r="C49" s="1727"/>
      <c r="D49" s="1727"/>
      <c r="E49" s="1727"/>
      <c r="F49" s="1727"/>
      <c r="G49" s="1727"/>
      <c r="H49" s="1727"/>
      <c r="I49" s="1727"/>
      <c r="J49" s="1836"/>
      <c r="K49" s="1837"/>
      <c r="L49" s="1837"/>
      <c r="M49" s="1727"/>
      <c r="N49" s="1727"/>
      <c r="O49" s="1727"/>
      <c r="P49" s="1727"/>
      <c r="Q49" s="1727"/>
      <c r="R49" s="1727"/>
      <c r="S49" s="1692"/>
      <c r="T49" s="1692"/>
      <c r="U49" s="1692"/>
    </row>
    <row r="50" spans="1:21">
      <c r="A50" s="1694"/>
      <c r="B50" s="1694"/>
      <c r="C50" s="1727"/>
      <c r="D50" s="1727"/>
      <c r="E50" s="1727"/>
      <c r="F50" s="1727"/>
      <c r="G50" s="1727"/>
      <c r="H50" s="1727"/>
      <c r="I50" s="1727"/>
      <c r="J50" s="1836"/>
      <c r="K50" s="1837"/>
      <c r="L50" s="1837"/>
      <c r="M50" s="1727"/>
      <c r="N50" s="1727"/>
      <c r="O50" s="1727"/>
      <c r="P50" s="1727"/>
      <c r="Q50" s="1727"/>
      <c r="R50" s="1727"/>
      <c r="S50" s="1692"/>
      <c r="T50" s="1692"/>
      <c r="U50" s="1692"/>
    </row>
    <row r="51" spans="1:21">
      <c r="A51" s="1694"/>
      <c r="B51" s="1694"/>
      <c r="C51" s="1727"/>
      <c r="D51" s="1727"/>
      <c r="E51" s="1727"/>
      <c r="F51" s="1727"/>
      <c r="G51" s="1727"/>
      <c r="H51" s="1727"/>
      <c r="I51" s="1727"/>
      <c r="J51" s="1836"/>
      <c r="K51" s="1837"/>
      <c r="L51" s="1837"/>
      <c r="M51" s="1727"/>
      <c r="N51" s="1727"/>
      <c r="O51" s="1727"/>
      <c r="P51" s="1727"/>
      <c r="Q51" s="1727"/>
      <c r="R51" s="1727"/>
      <c r="S51" s="1692"/>
      <c r="T51" s="1692"/>
      <c r="U51" s="1692"/>
    </row>
    <row r="52" spans="1:21">
      <c r="A52" s="1694"/>
      <c r="B52" s="1694"/>
      <c r="C52" s="1727"/>
      <c r="D52" s="1727"/>
      <c r="E52" s="1727"/>
      <c r="F52" s="1727"/>
      <c r="G52" s="1727"/>
      <c r="H52" s="1727"/>
      <c r="I52" s="1727"/>
      <c r="J52" s="1836"/>
      <c r="K52" s="1837"/>
      <c r="L52" s="1837"/>
      <c r="M52" s="1727"/>
      <c r="N52" s="1727"/>
      <c r="O52" s="1727"/>
      <c r="P52" s="1727"/>
      <c r="Q52" s="1727"/>
      <c r="R52" s="1727"/>
      <c r="S52" s="1692"/>
      <c r="T52" s="1692"/>
      <c r="U52" s="1692"/>
    </row>
    <row r="53" spans="1:21">
      <c r="A53" s="1694"/>
      <c r="B53" s="1694"/>
      <c r="C53" s="1727"/>
      <c r="D53" s="1727"/>
      <c r="E53" s="1727"/>
      <c r="F53" s="1727"/>
      <c r="G53" s="1727"/>
      <c r="H53" s="1727"/>
      <c r="I53" s="1727"/>
      <c r="J53" s="1836"/>
      <c r="K53" s="1837"/>
      <c r="L53" s="1837"/>
      <c r="M53" s="1727"/>
      <c r="N53" s="1727"/>
      <c r="O53" s="1727"/>
      <c r="P53" s="1727"/>
      <c r="Q53" s="1727"/>
      <c r="R53" s="1727"/>
      <c r="S53" s="1692"/>
      <c r="T53" s="1692"/>
      <c r="U53" s="1692"/>
    </row>
    <row r="54" spans="1:21">
      <c r="A54" s="1694"/>
      <c r="B54" s="1694"/>
      <c r="C54" s="1694"/>
      <c r="D54" s="1694"/>
      <c r="E54" s="1694"/>
      <c r="F54" s="1727"/>
      <c r="G54" s="1694"/>
      <c r="H54" s="1694"/>
      <c r="I54" s="1694"/>
      <c r="J54" s="1838"/>
      <c r="K54" s="1837"/>
      <c r="L54" s="1837"/>
      <c r="M54" s="1837"/>
      <c r="N54" s="1694"/>
      <c r="O54" s="1694"/>
      <c r="P54" s="1694"/>
      <c r="Q54" s="1694"/>
      <c r="R54" s="1694"/>
      <c r="S54" s="1692"/>
      <c r="T54" s="1692"/>
      <c r="U54" s="1692"/>
    </row>
    <row r="55" spans="1:21">
      <c r="A55" s="1694"/>
      <c r="B55" s="1694"/>
      <c r="C55" s="1694"/>
      <c r="D55" s="1694"/>
      <c r="E55" s="1694"/>
      <c r="F55" s="1727"/>
      <c r="G55" s="1694"/>
      <c r="H55" s="1694"/>
      <c r="I55" s="1694"/>
      <c r="J55" s="1838"/>
      <c r="K55" s="1837"/>
      <c r="L55" s="1837"/>
      <c r="M55" s="1837"/>
      <c r="N55" s="1694"/>
      <c r="O55" s="1694"/>
      <c r="P55" s="1694"/>
      <c r="Q55" s="1694"/>
      <c r="R55" s="1694"/>
      <c r="S55" s="1692"/>
      <c r="T55" s="1692"/>
      <c r="U55" s="1692"/>
    </row>
    <row r="56" spans="1:21">
      <c r="A56" s="1694"/>
      <c r="B56" s="1694"/>
      <c r="C56" s="1694"/>
      <c r="D56" s="1694"/>
      <c r="E56" s="1694"/>
      <c r="F56" s="1727"/>
      <c r="G56" s="1694"/>
      <c r="H56" s="1694"/>
      <c r="I56" s="1694"/>
      <c r="J56" s="1838"/>
      <c r="K56" s="1837"/>
      <c r="L56" s="1837"/>
      <c r="M56" s="1837"/>
      <c r="N56" s="1694"/>
      <c r="O56" s="1694"/>
      <c r="P56" s="1694"/>
      <c r="Q56" s="1694"/>
      <c r="R56" s="1694"/>
      <c r="S56" s="1692"/>
      <c r="T56" s="1692"/>
      <c r="U56" s="1692"/>
    </row>
    <row r="57" spans="1:21">
      <c r="A57" s="1694"/>
      <c r="B57" s="1694"/>
      <c r="C57" s="1694"/>
      <c r="D57" s="1694"/>
      <c r="E57" s="1694"/>
      <c r="F57" s="1727"/>
      <c r="G57" s="1694"/>
      <c r="H57" s="1694"/>
      <c r="I57" s="1694"/>
      <c r="J57" s="1838"/>
      <c r="K57" s="1837"/>
      <c r="L57" s="1837"/>
      <c r="M57" s="1837"/>
      <c r="N57" s="1694"/>
      <c r="O57" s="1694"/>
      <c r="P57" s="1694"/>
      <c r="Q57" s="1694"/>
      <c r="R57" s="1694"/>
      <c r="S57" s="1692"/>
      <c r="T57" s="1692"/>
      <c r="U57" s="1692"/>
    </row>
    <row r="58" spans="1:21">
      <c r="A58" s="1694"/>
      <c r="B58" s="1694"/>
      <c r="C58" s="1694"/>
      <c r="D58" s="1694"/>
      <c r="E58" s="1694"/>
      <c r="F58" s="1727"/>
      <c r="G58" s="1694"/>
      <c r="H58" s="1694"/>
      <c r="I58" s="1694"/>
      <c r="J58" s="1838"/>
      <c r="K58" s="1837"/>
      <c r="L58" s="1837"/>
      <c r="M58" s="1837"/>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2332</v>
      </c>
      <c r="BA2" s="2358"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64530.53</v>
      </c>
      <c r="B3" s="22">
        <f>IF(C3="否",G5-AT5,G5)</f>
        <v>195640.36</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195640.36</v>
      </c>
      <c r="H5" s="27">
        <f t="shared" ref="H5:AT5" si="0">SUM(H13:H641)</f>
        <v>171367.55</v>
      </c>
      <c r="I5" s="27">
        <f t="shared" si="0"/>
        <v>119144.43999999997</v>
      </c>
      <c r="J5" s="27">
        <f t="shared" si="0"/>
        <v>0</v>
      </c>
      <c r="K5" s="27">
        <f t="shared" si="0"/>
        <v>52223.11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24272.809999999998</v>
      </c>
      <c r="AD5" s="27">
        <f t="shared" si="0"/>
        <v>1379.2</v>
      </c>
      <c r="AE5" s="27">
        <f t="shared" si="0"/>
        <v>0</v>
      </c>
      <c r="AF5" s="27">
        <f t="shared" si="0"/>
        <v>0</v>
      </c>
      <c r="AG5" s="27">
        <f t="shared" si="0"/>
        <v>0</v>
      </c>
      <c r="AH5" s="27">
        <f t="shared" si="0"/>
        <v>0</v>
      </c>
      <c r="AI5" s="27">
        <f t="shared" si="0"/>
        <v>0</v>
      </c>
      <c r="AJ5" s="27">
        <f t="shared" si="0"/>
        <v>0</v>
      </c>
      <c r="AK5" s="27">
        <f t="shared" si="0"/>
        <v>0</v>
      </c>
      <c r="AL5" s="27">
        <f t="shared" si="0"/>
        <v>626.91</v>
      </c>
      <c r="AM5" s="27">
        <f t="shared" si="0"/>
        <v>0</v>
      </c>
      <c r="AN5" s="27">
        <f t="shared" si="0"/>
        <v>22266.699999999997</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195640.36</v>
      </c>
      <c r="BA5" s="29">
        <f t="shared" si="1"/>
        <v>171367.55</v>
      </c>
      <c r="BB5" s="29">
        <f t="shared" si="1"/>
        <v>119144.43999999997</v>
      </c>
      <c r="BC5" s="29">
        <f t="shared" si="1"/>
        <v>52223.11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24272.809999999998</v>
      </c>
      <c r="BM5" s="29">
        <f t="shared" si="1"/>
        <v>1379.2</v>
      </c>
      <c r="BN5" s="29">
        <f t="shared" si="1"/>
        <v>0</v>
      </c>
      <c r="BO5" s="29">
        <f t="shared" si="1"/>
        <v>0</v>
      </c>
      <c r="BP5" s="29">
        <f t="shared" si="1"/>
        <v>0</v>
      </c>
      <c r="BQ5" s="29">
        <f t="shared" si="1"/>
        <v>626.91</v>
      </c>
      <c r="BR5" s="29">
        <f t="shared" si="1"/>
        <v>22266.699999999997</v>
      </c>
      <c r="BS5" s="29">
        <f t="shared" si="1"/>
        <v>0</v>
      </c>
      <c r="BT5" s="30">
        <f t="shared" si="1"/>
        <v>0</v>
      </c>
    </row>
    <row r="6" spans="1:72" s="37" customFormat="1" ht="12.75">
      <c r="A6" s="26" t="s">
        <v>169</v>
      </c>
      <c r="B6" s="31"/>
      <c r="C6" s="31"/>
      <c r="D6" s="32"/>
      <c r="E6" s="27">
        <f>H6+AC6+AT6</f>
        <v>64530.530000000006</v>
      </c>
      <c r="F6" s="27" t="s">
        <v>1</v>
      </c>
      <c r="G6" s="27" t="s">
        <v>2</v>
      </c>
      <c r="H6" s="33">
        <f>SUMIF(I$12:AB$12,"总值",I6:AB6)</f>
        <v>56524.320000000007</v>
      </c>
      <c r="I6" s="27">
        <f t="shared" ref="I6:AB6" si="2">ROUND($A$3*I5/$B$3,2)</f>
        <v>39298.910000000003</v>
      </c>
      <c r="J6" s="27">
        <f t="shared" si="2"/>
        <v>0</v>
      </c>
      <c r="K6" s="27">
        <f t="shared" si="2"/>
        <v>17225.41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8006.21</v>
      </c>
      <c r="AD6" s="27">
        <f t="shared" ref="AD6:AS6" si="3">ROUND($A$3*AD5/$B$3,2)</f>
        <v>454.92</v>
      </c>
      <c r="AE6" s="27">
        <f t="shared" si="3"/>
        <v>0</v>
      </c>
      <c r="AF6" s="27">
        <f t="shared" si="3"/>
        <v>0</v>
      </c>
      <c r="AG6" s="27">
        <f t="shared" si="3"/>
        <v>0</v>
      </c>
      <c r="AH6" s="27">
        <f t="shared" si="3"/>
        <v>0</v>
      </c>
      <c r="AI6" s="27">
        <f t="shared" si="3"/>
        <v>0</v>
      </c>
      <c r="AJ6" s="27">
        <f t="shared" si="3"/>
        <v>0</v>
      </c>
      <c r="AK6" s="27">
        <f t="shared" si="3"/>
        <v>0</v>
      </c>
      <c r="AL6" s="27">
        <f t="shared" si="3"/>
        <v>206.78</v>
      </c>
      <c r="AM6" s="27">
        <f t="shared" si="3"/>
        <v>0</v>
      </c>
      <c r="AN6" s="27">
        <f t="shared" si="3"/>
        <v>7344.51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64530.53</v>
      </c>
      <c r="AZ6" s="27" t="s">
        <v>3</v>
      </c>
      <c r="BA6" s="27">
        <f>ROUND($AY$6*BA5/$AZ$5,2)</f>
        <v>56524.32</v>
      </c>
      <c r="BB6" s="27">
        <f>ROUND($AY$6*BB5/$AZ$5,2)</f>
        <v>39298.910000000003</v>
      </c>
      <c r="BC6" s="27">
        <f t="shared" ref="BC6:BH6" si="4">ROUND($AY$6*BC5/$AZ$5,2)</f>
        <v>17225.41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8006.21</v>
      </c>
      <c r="BM6" s="27">
        <f t="shared" si="5"/>
        <v>454.92</v>
      </c>
      <c r="BN6" s="27">
        <f t="shared" si="5"/>
        <v>0</v>
      </c>
      <c r="BO6" s="27">
        <f t="shared" si="5"/>
        <v>0</v>
      </c>
      <c r="BP6" s="27">
        <f t="shared" si="5"/>
        <v>0</v>
      </c>
      <c r="BQ6" s="27">
        <f t="shared" si="5"/>
        <v>206.78</v>
      </c>
      <c r="BR6" s="27">
        <f t="shared" si="5"/>
        <v>7344.51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4" t="s">
        <v>2990</v>
      </c>
      <c r="J9" s="51"/>
      <c r="K9" s="3014" t="s">
        <v>3324</v>
      </c>
      <c r="L9" s="51"/>
      <c r="M9" s="301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4" t="s">
        <v>923</v>
      </c>
      <c r="J10" s="51"/>
      <c r="K10" s="3016" t="s">
        <v>3325</v>
      </c>
      <c r="L10" s="51"/>
      <c r="M10" s="3016"/>
      <c r="N10" s="51"/>
      <c r="O10" s="66"/>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2330</v>
      </c>
      <c r="AK10" s="2330"/>
      <c r="AL10" s="2311" t="s">
        <v>2320</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5" t="s">
        <v>2991</v>
      </c>
      <c r="J11" s="71"/>
      <c r="K11" s="3015" t="s">
        <v>3325</v>
      </c>
      <c r="L11" s="71"/>
      <c r="M11" s="70"/>
      <c r="N11" s="71"/>
      <c r="O11" s="70"/>
      <c r="P11" s="71"/>
      <c r="Q11" s="70"/>
      <c r="R11" s="71"/>
      <c r="S11" s="70"/>
      <c r="T11" s="71"/>
      <c r="U11" s="70"/>
      <c r="V11" s="71"/>
      <c r="W11" s="70"/>
      <c r="X11" s="71"/>
      <c r="Y11" s="70"/>
      <c r="Z11" s="71"/>
      <c r="AA11" s="70"/>
      <c r="AB11" s="71"/>
      <c r="AC11" s="55"/>
      <c r="AD11" s="2331" t="s">
        <v>2329</v>
      </c>
      <c r="AE11" s="1000"/>
      <c r="AF11" s="2331" t="s">
        <v>2329</v>
      </c>
      <c r="AG11" s="1000"/>
      <c r="AH11" s="2331" t="s">
        <v>2328</v>
      </c>
      <c r="AI11" s="2332"/>
      <c r="AJ11" s="2331" t="s">
        <v>2328</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1"/>
      <c r="B13" s="3011">
        <v>51</v>
      </c>
      <c r="C13" s="3011" t="s">
        <v>3298</v>
      </c>
      <c r="D13" s="3012" t="s">
        <v>1679</v>
      </c>
      <c r="E13" s="27">
        <f t="shared" ref="E13:E20" si="6">IF($C$3="是",ROUND($A$3*G13/$B$3,2),ROUND($A$3*(G13-AT13)/$B$3,2))</f>
        <v>3614.37</v>
      </c>
      <c r="F13" s="81"/>
      <c r="G13" s="82">
        <f t="shared" ref="G13:G20" si="7">H13+AC13+AT13</f>
        <v>10957.85</v>
      </c>
      <c r="H13" s="33">
        <f t="shared" ref="H13:H20" si="8">SUMIF(I$12:AB$12,"总值",I13:AB13)</f>
        <v>8947.83</v>
      </c>
      <c r="I13" s="3013">
        <v>8947.83</v>
      </c>
      <c r="J13" s="3013"/>
      <c r="K13" s="3013"/>
      <c r="L13" s="3013"/>
      <c r="M13" s="3013"/>
      <c r="N13" s="83"/>
      <c r="O13" s="83"/>
      <c r="P13" s="83"/>
      <c r="Q13" s="83"/>
      <c r="R13" s="83"/>
      <c r="S13" s="83"/>
      <c r="T13" s="83"/>
      <c r="U13" s="83"/>
      <c r="V13" s="83"/>
      <c r="W13" s="83"/>
      <c r="X13" s="83"/>
      <c r="Y13" s="83"/>
      <c r="Z13" s="83"/>
      <c r="AA13" s="83"/>
      <c r="AB13" s="83"/>
      <c r="AC13" s="27">
        <f t="shared" ref="AC13:AC20" si="9">SUMIF(AD$12:AS$12,"总值",AD13:AS13)</f>
        <v>2010.02</v>
      </c>
      <c r="AD13" s="3017"/>
      <c r="AE13" s="3017"/>
      <c r="AF13" s="3017"/>
      <c r="AG13" s="3017"/>
      <c r="AH13" s="3017"/>
      <c r="AI13" s="3017"/>
      <c r="AJ13" s="3017"/>
      <c r="AK13" s="3017"/>
      <c r="AL13" s="3017"/>
      <c r="AM13" s="3017"/>
      <c r="AN13" s="3017">
        <v>2010.02</v>
      </c>
      <c r="AO13" s="3017"/>
      <c r="AP13" s="3017"/>
      <c r="AQ13" s="3017"/>
      <c r="AR13" s="3017"/>
      <c r="AS13" s="3017"/>
      <c r="AT13" s="3018"/>
      <c r="AU13" s="3019"/>
      <c r="AV13" s="17">
        <f t="shared" ref="AV13:AX20" si="10">A13</f>
        <v>0</v>
      </c>
      <c r="AW13" s="17">
        <f t="shared" si="10"/>
        <v>51</v>
      </c>
      <c r="AX13" s="17" t="str">
        <f t="shared" si="10"/>
        <v>Y6</v>
      </c>
      <c r="AY13" s="994">
        <f t="shared" ref="AY13:AY20" si="11">ROUND($AY$6*AZ13/$AZ$5,2)</f>
        <v>3614.37</v>
      </c>
      <c r="AZ13" s="27">
        <f t="shared" ref="AZ13:AZ20" si="12">BA13+BL13</f>
        <v>10957.85</v>
      </c>
      <c r="BA13" s="27">
        <f t="shared" ref="BA13:BA20" si="13">SUM(BB13:BK13)</f>
        <v>8947.83</v>
      </c>
      <c r="BB13" s="27">
        <f t="shared" ref="BB13:BB20" si="14">IF($D13="是",I13-J13,0)</f>
        <v>8947.83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2010.02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2010.02</v>
      </c>
      <c r="BS13" s="27">
        <f t="shared" ref="BS13:BS20" si="31">IF($D13="是",AP13-AQ13,0)</f>
        <v>0</v>
      </c>
      <c r="BT13" s="36">
        <f t="shared" ref="BT13:BT20" si="32">IF($D13="是",AR13-AS13,0)</f>
        <v>0</v>
      </c>
    </row>
    <row r="14" spans="1:72" s="18" customFormat="1" ht="12.75">
      <c r="A14" s="3011"/>
      <c r="B14" s="3011"/>
      <c r="C14" s="3011" t="s">
        <v>3299</v>
      </c>
      <c r="D14" s="3012" t="s">
        <v>1679</v>
      </c>
      <c r="E14" s="27">
        <f t="shared" si="6"/>
        <v>3610.49</v>
      </c>
      <c r="F14" s="81"/>
      <c r="G14" s="82">
        <f t="shared" si="7"/>
        <v>10946.09</v>
      </c>
      <c r="H14" s="33">
        <f t="shared" si="8"/>
        <v>8947.83</v>
      </c>
      <c r="I14" s="3013">
        <v>8947.83</v>
      </c>
      <c r="J14" s="3013"/>
      <c r="K14" s="3013"/>
      <c r="L14" s="3013"/>
      <c r="M14" s="3013"/>
      <c r="N14" s="83"/>
      <c r="O14" s="83"/>
      <c r="P14" s="83"/>
      <c r="Q14" s="83"/>
      <c r="R14" s="83"/>
      <c r="S14" s="83"/>
      <c r="T14" s="83"/>
      <c r="U14" s="83"/>
      <c r="V14" s="83"/>
      <c r="W14" s="83"/>
      <c r="X14" s="83"/>
      <c r="Y14" s="83"/>
      <c r="Z14" s="83"/>
      <c r="AA14" s="83"/>
      <c r="AB14" s="83"/>
      <c r="AC14" s="27">
        <f t="shared" si="9"/>
        <v>1998.26</v>
      </c>
      <c r="AD14" s="3017"/>
      <c r="AE14" s="3017"/>
      <c r="AF14" s="3017"/>
      <c r="AG14" s="3017"/>
      <c r="AH14" s="3017"/>
      <c r="AI14" s="3017"/>
      <c r="AJ14" s="3017"/>
      <c r="AK14" s="3017"/>
      <c r="AL14" s="3017"/>
      <c r="AM14" s="3017"/>
      <c r="AN14" s="3017">
        <v>1998.26</v>
      </c>
      <c r="AO14" s="3017"/>
      <c r="AP14" s="3017"/>
      <c r="AQ14" s="3017"/>
      <c r="AR14" s="3017"/>
      <c r="AS14" s="3017"/>
      <c r="AT14" s="3018"/>
      <c r="AU14" s="3019"/>
      <c r="AV14" s="17">
        <f t="shared" si="10"/>
        <v>0</v>
      </c>
      <c r="AW14" s="17">
        <f t="shared" si="10"/>
        <v>0</v>
      </c>
      <c r="AX14" s="17" t="str">
        <f t="shared" si="10"/>
        <v>Y7</v>
      </c>
      <c r="AY14" s="994">
        <f t="shared" si="11"/>
        <v>3610.49</v>
      </c>
      <c r="AZ14" s="27">
        <f t="shared" si="12"/>
        <v>10946.09</v>
      </c>
      <c r="BA14" s="27">
        <f t="shared" si="13"/>
        <v>8947.83</v>
      </c>
      <c r="BB14" s="27">
        <f t="shared" si="14"/>
        <v>8947.83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1998.26</v>
      </c>
      <c r="BM14" s="27">
        <f t="shared" si="25"/>
        <v>0</v>
      </c>
      <c r="BN14" s="27">
        <f t="shared" si="26"/>
        <v>0</v>
      </c>
      <c r="BO14" s="27">
        <f t="shared" si="27"/>
        <v>0</v>
      </c>
      <c r="BP14" s="27">
        <f t="shared" si="28"/>
        <v>0</v>
      </c>
      <c r="BQ14" s="27">
        <f t="shared" si="29"/>
        <v>0</v>
      </c>
      <c r="BR14" s="27">
        <f t="shared" si="30"/>
        <v>1998.26</v>
      </c>
      <c r="BS14" s="27">
        <f t="shared" si="31"/>
        <v>0</v>
      </c>
      <c r="BT14" s="36">
        <f t="shared" si="32"/>
        <v>0</v>
      </c>
    </row>
    <row r="15" spans="1:72" s="18" customFormat="1" ht="12.75">
      <c r="A15" s="3011"/>
      <c r="B15" s="3011"/>
      <c r="C15" s="3011" t="s">
        <v>3300</v>
      </c>
      <c r="D15" s="3012" t="s">
        <v>1679</v>
      </c>
      <c r="E15" s="27">
        <f t="shared" si="6"/>
        <v>5377.53</v>
      </c>
      <c r="F15" s="81"/>
      <c r="G15" s="82">
        <f t="shared" si="7"/>
        <v>16303.32</v>
      </c>
      <c r="H15" s="33">
        <f t="shared" si="8"/>
        <v>13311.63</v>
      </c>
      <c r="I15" s="3013">
        <v>13311.63</v>
      </c>
      <c r="J15" s="3013"/>
      <c r="K15" s="3013"/>
      <c r="L15" s="3013"/>
      <c r="M15" s="3013"/>
      <c r="N15" s="83"/>
      <c r="O15" s="83"/>
      <c r="P15" s="83"/>
      <c r="Q15" s="83"/>
      <c r="R15" s="83"/>
      <c r="S15" s="83"/>
      <c r="T15" s="83"/>
      <c r="U15" s="83"/>
      <c r="V15" s="83"/>
      <c r="W15" s="83"/>
      <c r="X15" s="83"/>
      <c r="Y15" s="83"/>
      <c r="Z15" s="83"/>
      <c r="AA15" s="83"/>
      <c r="AB15" s="83"/>
      <c r="AC15" s="27">
        <f t="shared" si="9"/>
        <v>2991.69</v>
      </c>
      <c r="AD15" s="3017"/>
      <c r="AE15" s="3017"/>
      <c r="AF15" s="3017"/>
      <c r="AG15" s="3017"/>
      <c r="AH15" s="3017"/>
      <c r="AI15" s="3017"/>
      <c r="AJ15" s="3017"/>
      <c r="AK15" s="3017"/>
      <c r="AL15" s="3017"/>
      <c r="AM15" s="3017"/>
      <c r="AN15" s="3017">
        <v>2991.69</v>
      </c>
      <c r="AO15" s="3017"/>
      <c r="AP15" s="3017"/>
      <c r="AQ15" s="3017"/>
      <c r="AR15" s="3017"/>
      <c r="AS15" s="3017"/>
      <c r="AT15" s="3018"/>
      <c r="AU15" s="3019"/>
      <c r="AV15" s="17">
        <f t="shared" si="10"/>
        <v>0</v>
      </c>
      <c r="AW15" s="17">
        <f t="shared" si="10"/>
        <v>0</v>
      </c>
      <c r="AX15" s="17" t="str">
        <f t="shared" si="10"/>
        <v>Y8</v>
      </c>
      <c r="AY15" s="994">
        <f t="shared" si="11"/>
        <v>5377.53</v>
      </c>
      <c r="AZ15" s="27">
        <f t="shared" si="12"/>
        <v>16303.32</v>
      </c>
      <c r="BA15" s="27">
        <f t="shared" si="13"/>
        <v>13311.63</v>
      </c>
      <c r="BB15" s="27">
        <f t="shared" si="14"/>
        <v>13311.63</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2991.69</v>
      </c>
      <c r="BM15" s="27">
        <f t="shared" si="25"/>
        <v>0</v>
      </c>
      <c r="BN15" s="27">
        <f t="shared" si="26"/>
        <v>0</v>
      </c>
      <c r="BO15" s="27">
        <f t="shared" si="27"/>
        <v>0</v>
      </c>
      <c r="BP15" s="27">
        <f t="shared" si="28"/>
        <v>0</v>
      </c>
      <c r="BQ15" s="27">
        <f t="shared" si="29"/>
        <v>0</v>
      </c>
      <c r="BR15" s="27">
        <f t="shared" si="30"/>
        <v>2991.69</v>
      </c>
      <c r="BS15" s="27">
        <f t="shared" si="31"/>
        <v>0</v>
      </c>
      <c r="BT15" s="36">
        <f t="shared" si="32"/>
        <v>0</v>
      </c>
    </row>
    <row r="16" spans="1:72" s="18" customFormat="1" ht="12.75">
      <c r="A16" s="3011"/>
      <c r="B16" s="3011"/>
      <c r="C16" s="3011" t="s">
        <v>3301</v>
      </c>
      <c r="D16" s="3012" t="s">
        <v>1679</v>
      </c>
      <c r="E16" s="27">
        <f t="shared" si="6"/>
        <v>5062.78</v>
      </c>
      <c r="F16" s="81"/>
      <c r="G16" s="82">
        <f t="shared" si="7"/>
        <v>15349.07</v>
      </c>
      <c r="H16" s="33">
        <f t="shared" si="8"/>
        <v>13345.17</v>
      </c>
      <c r="I16" s="3013">
        <v>13345.17</v>
      </c>
      <c r="J16" s="3013"/>
      <c r="K16" s="3013"/>
      <c r="L16" s="3013"/>
      <c r="M16" s="3013"/>
      <c r="N16" s="83"/>
      <c r="O16" s="83"/>
      <c r="P16" s="83"/>
      <c r="Q16" s="83"/>
      <c r="R16" s="83"/>
      <c r="S16" s="83"/>
      <c r="T16" s="83"/>
      <c r="U16" s="83"/>
      <c r="V16" s="83"/>
      <c r="W16" s="83"/>
      <c r="X16" s="83"/>
      <c r="Y16" s="83"/>
      <c r="Z16" s="83"/>
      <c r="AA16" s="83"/>
      <c r="AB16" s="83"/>
      <c r="AC16" s="27">
        <f t="shared" si="9"/>
        <v>2003.9</v>
      </c>
      <c r="AD16" s="3017"/>
      <c r="AE16" s="3017"/>
      <c r="AF16" s="3017"/>
      <c r="AG16" s="3017"/>
      <c r="AH16" s="3017"/>
      <c r="AI16" s="3017"/>
      <c r="AJ16" s="3017"/>
      <c r="AK16" s="3017"/>
      <c r="AL16" s="3017"/>
      <c r="AM16" s="3017"/>
      <c r="AN16" s="3017">
        <v>2003.9</v>
      </c>
      <c r="AO16" s="3017"/>
      <c r="AP16" s="3017"/>
      <c r="AQ16" s="3017"/>
      <c r="AR16" s="3017"/>
      <c r="AS16" s="3017"/>
      <c r="AT16" s="3018"/>
      <c r="AU16" s="3019"/>
      <c r="AV16" s="17">
        <f t="shared" si="10"/>
        <v>0</v>
      </c>
      <c r="AW16" s="17">
        <f t="shared" si="10"/>
        <v>0</v>
      </c>
      <c r="AX16" s="17" t="str">
        <f t="shared" si="10"/>
        <v>Y9</v>
      </c>
      <c r="AY16" s="994">
        <f t="shared" si="11"/>
        <v>5062.78</v>
      </c>
      <c r="AZ16" s="27">
        <f t="shared" si="12"/>
        <v>15349.07</v>
      </c>
      <c r="BA16" s="27">
        <f t="shared" si="13"/>
        <v>13345.17</v>
      </c>
      <c r="BB16" s="27">
        <f t="shared" si="14"/>
        <v>13345.17</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2003.9</v>
      </c>
      <c r="BM16" s="27">
        <f t="shared" si="25"/>
        <v>0</v>
      </c>
      <c r="BN16" s="27">
        <f t="shared" si="26"/>
        <v>0</v>
      </c>
      <c r="BO16" s="27">
        <f t="shared" si="27"/>
        <v>0</v>
      </c>
      <c r="BP16" s="27">
        <f t="shared" si="28"/>
        <v>0</v>
      </c>
      <c r="BQ16" s="27">
        <f t="shared" si="29"/>
        <v>0</v>
      </c>
      <c r="BR16" s="27">
        <f t="shared" si="30"/>
        <v>2003.9</v>
      </c>
      <c r="BS16" s="27">
        <f t="shared" si="31"/>
        <v>0</v>
      </c>
      <c r="BT16" s="36">
        <f t="shared" si="32"/>
        <v>0</v>
      </c>
    </row>
    <row r="17" spans="1:72" s="18" customFormat="1" ht="12.75">
      <c r="A17" s="3011"/>
      <c r="B17" s="3011"/>
      <c r="C17" s="3011" t="s">
        <v>3302</v>
      </c>
      <c r="D17" s="3012" t="s">
        <v>1679</v>
      </c>
      <c r="E17" s="27">
        <f t="shared" si="6"/>
        <v>3620.36</v>
      </c>
      <c r="F17" s="81"/>
      <c r="G17" s="82">
        <f t="shared" si="7"/>
        <v>10976.029999999999</v>
      </c>
      <c r="H17" s="33">
        <f t="shared" si="8"/>
        <v>9071.0499999999993</v>
      </c>
      <c r="I17" s="3013">
        <v>9071.0499999999993</v>
      </c>
      <c r="J17" s="3013"/>
      <c r="K17" s="3013"/>
      <c r="L17" s="3013"/>
      <c r="M17" s="3013"/>
      <c r="N17" s="83"/>
      <c r="O17" s="83"/>
      <c r="P17" s="83"/>
      <c r="Q17" s="83"/>
      <c r="R17" s="83"/>
      <c r="S17" s="83"/>
      <c r="T17" s="83"/>
      <c r="U17" s="83"/>
      <c r="V17" s="83"/>
      <c r="W17" s="83"/>
      <c r="X17" s="83"/>
      <c r="Y17" s="83"/>
      <c r="Z17" s="83"/>
      <c r="AA17" s="83"/>
      <c r="AB17" s="83"/>
      <c r="AC17" s="27">
        <f t="shared" si="9"/>
        <v>1904.98</v>
      </c>
      <c r="AD17" s="3017"/>
      <c r="AE17" s="3017"/>
      <c r="AF17" s="3017"/>
      <c r="AG17" s="3017"/>
      <c r="AH17" s="3017"/>
      <c r="AI17" s="3017"/>
      <c r="AJ17" s="3017"/>
      <c r="AK17" s="3017"/>
      <c r="AL17" s="3017"/>
      <c r="AM17" s="3017"/>
      <c r="AN17" s="3017">
        <v>1904.98</v>
      </c>
      <c r="AO17" s="3017"/>
      <c r="AP17" s="3017"/>
      <c r="AQ17" s="3017"/>
      <c r="AR17" s="3017"/>
      <c r="AS17" s="3017"/>
      <c r="AT17" s="3018"/>
      <c r="AU17" s="3019"/>
      <c r="AV17" s="17">
        <f t="shared" si="10"/>
        <v>0</v>
      </c>
      <c r="AW17" s="17">
        <f t="shared" si="10"/>
        <v>0</v>
      </c>
      <c r="AX17" s="17" t="str">
        <f t="shared" si="10"/>
        <v>Y11</v>
      </c>
      <c r="AY17" s="994">
        <f t="shared" si="11"/>
        <v>3620.36</v>
      </c>
      <c r="AZ17" s="27">
        <f t="shared" si="12"/>
        <v>10976.029999999999</v>
      </c>
      <c r="BA17" s="27">
        <f t="shared" si="13"/>
        <v>9071.0499999999993</v>
      </c>
      <c r="BB17" s="27">
        <f t="shared" si="14"/>
        <v>9071.0499999999993</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1904.98</v>
      </c>
      <c r="BM17" s="27">
        <f t="shared" si="25"/>
        <v>0</v>
      </c>
      <c r="BN17" s="27">
        <f t="shared" si="26"/>
        <v>0</v>
      </c>
      <c r="BO17" s="27">
        <f t="shared" si="27"/>
        <v>0</v>
      </c>
      <c r="BP17" s="27">
        <f t="shared" si="28"/>
        <v>0</v>
      </c>
      <c r="BQ17" s="27">
        <f t="shared" si="29"/>
        <v>0</v>
      </c>
      <c r="BR17" s="27">
        <f t="shared" si="30"/>
        <v>1904.98</v>
      </c>
      <c r="BS17" s="27">
        <f t="shared" si="31"/>
        <v>0</v>
      </c>
      <c r="BT17" s="36">
        <f t="shared" si="32"/>
        <v>0</v>
      </c>
    </row>
    <row r="18" spans="1:72">
      <c r="A18" s="84"/>
      <c r="B18" s="85"/>
      <c r="C18" s="3011" t="s">
        <v>3303</v>
      </c>
      <c r="D18" s="3012" t="s">
        <v>1679</v>
      </c>
      <c r="E18" s="87">
        <f t="shared" si="6"/>
        <v>3177.66</v>
      </c>
      <c r="F18" s="88"/>
      <c r="G18" s="89">
        <f t="shared" si="7"/>
        <v>9633.8700000000008</v>
      </c>
      <c r="H18" s="90">
        <f t="shared" si="8"/>
        <v>8948.44</v>
      </c>
      <c r="I18" s="3013">
        <v>8948.44</v>
      </c>
      <c r="J18" s="91"/>
      <c r="K18" s="1393"/>
      <c r="L18" s="91"/>
      <c r="M18" s="91"/>
      <c r="N18" s="91"/>
      <c r="O18" s="91"/>
      <c r="P18" s="91"/>
      <c r="Q18" s="91"/>
      <c r="R18" s="91"/>
      <c r="S18" s="91"/>
      <c r="T18" s="91"/>
      <c r="U18" s="91"/>
      <c r="V18" s="91"/>
      <c r="W18" s="91"/>
      <c r="X18" s="91"/>
      <c r="Y18" s="91"/>
      <c r="Z18" s="91"/>
      <c r="AA18" s="91"/>
      <c r="AB18" s="91"/>
      <c r="AC18" s="87">
        <f t="shared" si="9"/>
        <v>685.43</v>
      </c>
      <c r="AD18" s="92"/>
      <c r="AE18" s="92"/>
      <c r="AF18" s="1393"/>
      <c r="AG18" s="92"/>
      <c r="AH18" s="92"/>
      <c r="AI18" s="92"/>
      <c r="AJ18" s="92"/>
      <c r="AK18" s="92"/>
      <c r="AL18" s="3017"/>
      <c r="AM18" s="92"/>
      <c r="AN18" s="3017">
        <v>685.43</v>
      </c>
      <c r="AO18" s="92"/>
      <c r="AP18" s="92"/>
      <c r="AQ18" s="92"/>
      <c r="AR18" s="92"/>
      <c r="AS18" s="92"/>
      <c r="AT18" s="93"/>
      <c r="AU18" s="94"/>
      <c r="AV18" s="990">
        <f t="shared" si="10"/>
        <v>0</v>
      </c>
      <c r="AW18" s="990">
        <f t="shared" si="10"/>
        <v>0</v>
      </c>
      <c r="AX18" s="990" t="str">
        <f t="shared" si="10"/>
        <v>Y16</v>
      </c>
      <c r="AY18" s="95">
        <f t="shared" si="11"/>
        <v>3177.66</v>
      </c>
      <c r="AZ18" s="87">
        <f t="shared" si="12"/>
        <v>9633.8700000000008</v>
      </c>
      <c r="BA18" s="87">
        <f t="shared" si="13"/>
        <v>8948.44</v>
      </c>
      <c r="BB18" s="87">
        <f t="shared" si="14"/>
        <v>8948.44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685.43</v>
      </c>
      <c r="BM18" s="87">
        <f t="shared" si="25"/>
        <v>0</v>
      </c>
      <c r="BN18" s="87">
        <f t="shared" si="26"/>
        <v>0</v>
      </c>
      <c r="BO18" s="87">
        <f t="shared" si="27"/>
        <v>0</v>
      </c>
      <c r="BP18" s="87">
        <f t="shared" si="28"/>
        <v>0</v>
      </c>
      <c r="BQ18" s="87">
        <f t="shared" si="29"/>
        <v>0</v>
      </c>
      <c r="BR18" s="87">
        <f t="shared" si="30"/>
        <v>685.43</v>
      </c>
      <c r="BS18" s="87">
        <f t="shared" si="31"/>
        <v>0</v>
      </c>
      <c r="BT18" s="96">
        <f t="shared" si="32"/>
        <v>0</v>
      </c>
    </row>
    <row r="19" spans="1:72" s="3213" customFormat="1">
      <c r="A19" s="3196"/>
      <c r="B19" s="3197">
        <v>49</v>
      </c>
      <c r="C19" s="3198" t="s">
        <v>3304</v>
      </c>
      <c r="D19" s="3199" t="s">
        <v>1679</v>
      </c>
      <c r="E19" s="3200">
        <f t="shared" si="6"/>
        <v>4357.05</v>
      </c>
      <c r="F19" s="3201"/>
      <c r="G19" s="3202">
        <f t="shared" si="7"/>
        <v>13209.48</v>
      </c>
      <c r="H19" s="3203">
        <f t="shared" si="8"/>
        <v>10827.32</v>
      </c>
      <c r="I19" s="3204">
        <v>10827.32</v>
      </c>
      <c r="J19" s="3205"/>
      <c r="K19" s="3206"/>
      <c r="L19" s="3205"/>
      <c r="M19" s="3205"/>
      <c r="N19" s="3205"/>
      <c r="O19" s="3205"/>
      <c r="P19" s="3205"/>
      <c r="Q19" s="3205"/>
      <c r="R19" s="3205"/>
      <c r="S19" s="3205"/>
      <c r="T19" s="3205"/>
      <c r="U19" s="3205"/>
      <c r="V19" s="3205"/>
      <c r="W19" s="3205"/>
      <c r="X19" s="3205"/>
      <c r="Y19" s="3205"/>
      <c r="Z19" s="3205"/>
      <c r="AA19" s="3205"/>
      <c r="AB19" s="3205"/>
      <c r="AC19" s="3200">
        <f t="shared" si="9"/>
        <v>2382.16</v>
      </c>
      <c r="AD19" s="3207"/>
      <c r="AE19" s="3207"/>
      <c r="AF19" s="3206"/>
      <c r="AG19" s="3207"/>
      <c r="AH19" s="3207"/>
      <c r="AI19" s="3207"/>
      <c r="AJ19" s="3207"/>
      <c r="AK19" s="3207"/>
      <c r="AL19" s="3207"/>
      <c r="AM19" s="3207"/>
      <c r="AN19" s="3208">
        <v>2382.16</v>
      </c>
      <c r="AO19" s="3207"/>
      <c r="AP19" s="3207"/>
      <c r="AQ19" s="3207"/>
      <c r="AR19" s="3207"/>
      <c r="AS19" s="3207"/>
      <c r="AT19" s="3201"/>
      <c r="AU19" s="3209"/>
      <c r="AV19" s="3210">
        <f t="shared" si="10"/>
        <v>0</v>
      </c>
      <c r="AW19" s="3210">
        <f t="shared" si="10"/>
        <v>49</v>
      </c>
      <c r="AX19" s="3210" t="str">
        <f t="shared" si="10"/>
        <v>Y12</v>
      </c>
      <c r="AY19" s="3211">
        <f t="shared" si="11"/>
        <v>4357.05</v>
      </c>
      <c r="AZ19" s="3200">
        <f t="shared" si="12"/>
        <v>13209.48</v>
      </c>
      <c r="BA19" s="3200">
        <f t="shared" si="13"/>
        <v>10827.32</v>
      </c>
      <c r="BB19" s="3200">
        <f t="shared" si="14"/>
        <v>10827.32</v>
      </c>
      <c r="BC19" s="3200">
        <f t="shared" si="15"/>
        <v>0</v>
      </c>
      <c r="BD19" s="3200">
        <f t="shared" si="16"/>
        <v>0</v>
      </c>
      <c r="BE19" s="3200">
        <f t="shared" si="17"/>
        <v>0</v>
      </c>
      <c r="BF19" s="3200">
        <f t="shared" si="18"/>
        <v>0</v>
      </c>
      <c r="BG19" s="3200">
        <f t="shared" si="19"/>
        <v>0</v>
      </c>
      <c r="BH19" s="3200">
        <f t="shared" si="20"/>
        <v>0</v>
      </c>
      <c r="BI19" s="3200">
        <f t="shared" si="21"/>
        <v>0</v>
      </c>
      <c r="BJ19" s="3200">
        <f t="shared" si="22"/>
        <v>0</v>
      </c>
      <c r="BK19" s="3200">
        <f t="shared" si="23"/>
        <v>0</v>
      </c>
      <c r="BL19" s="3200">
        <f t="shared" si="24"/>
        <v>2382.16</v>
      </c>
      <c r="BM19" s="3200">
        <f t="shared" si="25"/>
        <v>0</v>
      </c>
      <c r="BN19" s="3200">
        <f t="shared" si="26"/>
        <v>0</v>
      </c>
      <c r="BO19" s="3200">
        <f t="shared" si="27"/>
        <v>0</v>
      </c>
      <c r="BP19" s="3200">
        <f t="shared" si="28"/>
        <v>0</v>
      </c>
      <c r="BQ19" s="3200">
        <f t="shared" si="29"/>
        <v>0</v>
      </c>
      <c r="BR19" s="3200">
        <f t="shared" si="30"/>
        <v>2382.16</v>
      </c>
      <c r="BS19" s="3200">
        <f t="shared" si="31"/>
        <v>0</v>
      </c>
      <c r="BT19" s="3212">
        <f t="shared" si="32"/>
        <v>0</v>
      </c>
    </row>
    <row r="20" spans="1:72">
      <c r="A20" s="84"/>
      <c r="B20" s="1397"/>
      <c r="C20" s="3011" t="s">
        <v>3305</v>
      </c>
      <c r="D20" s="3012" t="s">
        <v>1679</v>
      </c>
      <c r="E20" s="87">
        <f t="shared" si="6"/>
        <v>4087.55</v>
      </c>
      <c r="F20" s="88"/>
      <c r="G20" s="89">
        <f t="shared" si="7"/>
        <v>12392.44</v>
      </c>
      <c r="H20" s="90">
        <f t="shared" si="8"/>
        <v>10010.280000000001</v>
      </c>
      <c r="I20" s="3013">
        <v>10010.280000000001</v>
      </c>
      <c r="J20" s="91"/>
      <c r="K20" s="1393"/>
      <c r="L20" s="91"/>
      <c r="M20" s="91"/>
      <c r="N20" s="91"/>
      <c r="O20" s="91"/>
      <c r="P20" s="91"/>
      <c r="Q20" s="91"/>
      <c r="R20" s="91"/>
      <c r="S20" s="91"/>
      <c r="T20" s="91"/>
      <c r="U20" s="91"/>
      <c r="V20" s="91"/>
      <c r="W20" s="91"/>
      <c r="X20" s="91"/>
      <c r="Y20" s="91"/>
      <c r="Z20" s="91"/>
      <c r="AA20" s="91"/>
      <c r="AB20" s="91"/>
      <c r="AC20" s="87">
        <f t="shared" si="9"/>
        <v>2382.16</v>
      </c>
      <c r="AD20" s="92"/>
      <c r="AE20" s="92"/>
      <c r="AF20" s="1393"/>
      <c r="AG20" s="92"/>
      <c r="AH20" s="92"/>
      <c r="AI20" s="92"/>
      <c r="AJ20" s="92"/>
      <c r="AK20" s="92"/>
      <c r="AL20" s="3017"/>
      <c r="AM20" s="92"/>
      <c r="AN20" s="3017">
        <v>2382.16</v>
      </c>
      <c r="AO20" s="92"/>
      <c r="AP20" s="92"/>
      <c r="AQ20" s="92"/>
      <c r="AR20" s="92"/>
      <c r="AS20" s="92"/>
      <c r="AT20" s="93"/>
      <c r="AU20" s="94"/>
      <c r="AV20" s="990">
        <f t="shared" si="10"/>
        <v>0</v>
      </c>
      <c r="AW20" s="990">
        <f t="shared" si="10"/>
        <v>0</v>
      </c>
      <c r="AX20" s="990" t="str">
        <f t="shared" si="10"/>
        <v>Y13</v>
      </c>
      <c r="AY20" s="95">
        <f t="shared" si="11"/>
        <v>4087.55</v>
      </c>
      <c r="AZ20" s="87">
        <f t="shared" si="12"/>
        <v>12392.44</v>
      </c>
      <c r="BA20" s="87">
        <f t="shared" si="13"/>
        <v>10010.280000000001</v>
      </c>
      <c r="BB20" s="87">
        <f t="shared" si="14"/>
        <v>10010.280000000001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2382.16</v>
      </c>
      <c r="BM20" s="87">
        <f t="shared" si="25"/>
        <v>0</v>
      </c>
      <c r="BN20" s="87">
        <f t="shared" si="26"/>
        <v>0</v>
      </c>
      <c r="BO20" s="87">
        <f t="shared" si="27"/>
        <v>0</v>
      </c>
      <c r="BP20" s="87">
        <f t="shared" si="28"/>
        <v>0</v>
      </c>
      <c r="BQ20" s="87">
        <f t="shared" si="29"/>
        <v>0</v>
      </c>
      <c r="BR20" s="87">
        <f t="shared" si="30"/>
        <v>2382.16</v>
      </c>
      <c r="BS20" s="87">
        <f t="shared" si="31"/>
        <v>0</v>
      </c>
      <c r="BT20" s="96">
        <f t="shared" si="32"/>
        <v>0</v>
      </c>
    </row>
    <row r="21" spans="1:72">
      <c r="A21" s="84"/>
      <c r="B21" s="1392"/>
      <c r="C21" s="3011" t="s">
        <v>3306</v>
      </c>
      <c r="D21" s="3012" t="s">
        <v>1679</v>
      </c>
      <c r="E21" s="87">
        <f t="shared" ref="E21:E112" si="33">IF($C$3="是",ROUND($A$3*G21/$B$3,2),ROUND($A$3*(G21-AT21)/$B$3,2))</f>
        <v>3065.15</v>
      </c>
      <c r="F21" s="88"/>
      <c r="G21" s="89">
        <f t="shared" ref="G21:G109" si="34">H21+AC21+AT21</f>
        <v>9292.75</v>
      </c>
      <c r="H21" s="90">
        <f t="shared" ref="H21:H109" si="35">SUMIF(I$12:AB$12,"总值",I21:AB21)</f>
        <v>7516.98</v>
      </c>
      <c r="I21" s="3013">
        <v>7516.98</v>
      </c>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1775.77</v>
      </c>
      <c r="AD21" s="92"/>
      <c r="AE21" s="92"/>
      <c r="AF21" s="1396"/>
      <c r="AG21" s="92"/>
      <c r="AH21" s="92"/>
      <c r="AI21" s="92"/>
      <c r="AJ21" s="92"/>
      <c r="AK21" s="92"/>
      <c r="AL21" s="3017"/>
      <c r="AM21" s="92"/>
      <c r="AN21" s="3017">
        <v>1775.77</v>
      </c>
      <c r="AO21" s="92"/>
      <c r="AP21" s="92"/>
      <c r="AQ21" s="92"/>
      <c r="AR21" s="92"/>
      <c r="AS21" s="92"/>
      <c r="AT21" s="93"/>
      <c r="AU21" s="94"/>
      <c r="AV21" s="1976">
        <f t="shared" ref="AV21:AV112" si="37">A21</f>
        <v>0</v>
      </c>
      <c r="AW21" s="1976">
        <f t="shared" ref="AW21:AW112" si="38">B21</f>
        <v>0</v>
      </c>
      <c r="AX21" s="1976" t="str">
        <f t="shared" ref="AX21:AX112" si="39">C21</f>
        <v>Y14</v>
      </c>
      <c r="AY21" s="95">
        <f t="shared" ref="AY21:AY109" si="40">ROUND($AY$6*AZ21/$AZ$5,2)</f>
        <v>3065.15</v>
      </c>
      <c r="AZ21" s="87">
        <f t="shared" ref="AZ21:AZ109" si="41">BA21+BL21</f>
        <v>9292.75</v>
      </c>
      <c r="BA21" s="87">
        <f t="shared" ref="BA21:BA109" si="42">SUM(BB21:BK21)</f>
        <v>7516.98</v>
      </c>
      <c r="BB21" s="87">
        <f t="shared" ref="BB21:BB109" si="43">IF($D21="是",I21-J21,0)</f>
        <v>7516.98</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1775.77</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1775.77</v>
      </c>
      <c r="BS21" s="87">
        <f t="shared" ref="BS21:BS109" si="60">IF($D21="是",AP21-AQ21,0)</f>
        <v>0</v>
      </c>
      <c r="BT21" s="96">
        <f t="shared" ref="BT21:BT109" si="61">IF($D21="是",AR21-AS21,0)</f>
        <v>0</v>
      </c>
    </row>
    <row r="22" spans="1:72">
      <c r="A22" s="84"/>
      <c r="B22" s="1392"/>
      <c r="C22" s="3011" t="s">
        <v>3307</v>
      </c>
      <c r="D22" s="3012" t="s">
        <v>1679</v>
      </c>
      <c r="E22" s="87">
        <f t="shared" si="33"/>
        <v>3266.64</v>
      </c>
      <c r="F22" s="88"/>
      <c r="G22" s="89">
        <f t="shared" si="34"/>
        <v>9903.6299999999992</v>
      </c>
      <c r="H22" s="90">
        <f t="shared" si="35"/>
        <v>8133.65</v>
      </c>
      <c r="I22" s="3013">
        <v>8133.65</v>
      </c>
      <c r="J22" s="91"/>
      <c r="K22" s="1395"/>
      <c r="L22" s="91"/>
      <c r="M22" s="1362"/>
      <c r="N22" s="91"/>
      <c r="O22" s="91"/>
      <c r="P22" s="91"/>
      <c r="Q22" s="91"/>
      <c r="R22" s="91"/>
      <c r="S22" s="91"/>
      <c r="T22" s="91"/>
      <c r="U22" s="91"/>
      <c r="V22" s="91"/>
      <c r="W22" s="91"/>
      <c r="X22" s="91"/>
      <c r="Y22" s="91"/>
      <c r="Z22" s="91"/>
      <c r="AA22" s="91"/>
      <c r="AB22" s="91"/>
      <c r="AC22" s="87">
        <f t="shared" si="36"/>
        <v>1769.98</v>
      </c>
      <c r="AD22" s="1362"/>
      <c r="AE22" s="92"/>
      <c r="AF22" s="1396"/>
      <c r="AG22" s="92"/>
      <c r="AH22" s="92"/>
      <c r="AI22" s="92"/>
      <c r="AJ22" s="92"/>
      <c r="AK22" s="92"/>
      <c r="AL22" s="3017"/>
      <c r="AM22" s="92"/>
      <c r="AN22" s="3017">
        <v>1769.98</v>
      </c>
      <c r="AO22" s="92"/>
      <c r="AP22" s="92"/>
      <c r="AQ22" s="92"/>
      <c r="AR22" s="92"/>
      <c r="AS22" s="92"/>
      <c r="AT22" s="93"/>
      <c r="AU22" s="94"/>
      <c r="AV22" s="1976">
        <f t="shared" si="37"/>
        <v>0</v>
      </c>
      <c r="AW22" s="1976">
        <f t="shared" si="38"/>
        <v>0</v>
      </c>
      <c r="AX22" s="1976" t="str">
        <f t="shared" si="39"/>
        <v>Y15</v>
      </c>
      <c r="AY22" s="95">
        <f t="shared" si="40"/>
        <v>3266.64</v>
      </c>
      <c r="AZ22" s="87">
        <f t="shared" si="41"/>
        <v>9903.6299999999992</v>
      </c>
      <c r="BA22" s="87">
        <f t="shared" si="42"/>
        <v>8133.65</v>
      </c>
      <c r="BB22" s="87">
        <f t="shared" si="43"/>
        <v>8133.65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1769.98</v>
      </c>
      <c r="BM22" s="87">
        <f t="shared" si="54"/>
        <v>0</v>
      </c>
      <c r="BN22" s="87">
        <f t="shared" si="55"/>
        <v>0</v>
      </c>
      <c r="BO22" s="87">
        <f t="shared" si="56"/>
        <v>0</v>
      </c>
      <c r="BP22" s="87">
        <f t="shared" si="57"/>
        <v>0</v>
      </c>
      <c r="BQ22" s="87">
        <f t="shared" si="58"/>
        <v>0</v>
      </c>
      <c r="BR22" s="87">
        <f t="shared" si="59"/>
        <v>1769.98</v>
      </c>
      <c r="BS22" s="87">
        <f t="shared" si="60"/>
        <v>0</v>
      </c>
      <c r="BT22" s="96">
        <f t="shared" si="61"/>
        <v>0</v>
      </c>
    </row>
    <row r="23" spans="1:72">
      <c r="A23" s="84"/>
      <c r="B23" s="1392"/>
      <c r="C23" s="3011" t="s">
        <v>3308</v>
      </c>
      <c r="D23" s="3012" t="s">
        <v>1679</v>
      </c>
      <c r="E23" s="87">
        <f t="shared" si="33"/>
        <v>2269.6799999999998</v>
      </c>
      <c r="F23" s="88"/>
      <c r="G23" s="89">
        <f t="shared" si="34"/>
        <v>6881.1</v>
      </c>
      <c r="H23" s="90">
        <f t="shared" si="35"/>
        <v>6283.64</v>
      </c>
      <c r="I23" s="3013">
        <v>6283.64</v>
      </c>
      <c r="J23" s="91"/>
      <c r="K23" s="1395"/>
      <c r="L23" s="91"/>
      <c r="M23" s="1362"/>
      <c r="N23" s="91"/>
      <c r="O23" s="91"/>
      <c r="P23" s="91"/>
      <c r="Q23" s="91"/>
      <c r="R23" s="91"/>
      <c r="S23" s="91"/>
      <c r="T23" s="91"/>
      <c r="U23" s="91"/>
      <c r="V23" s="91"/>
      <c r="W23" s="91"/>
      <c r="X23" s="91"/>
      <c r="Y23" s="91"/>
      <c r="Z23" s="91"/>
      <c r="AA23" s="91"/>
      <c r="AB23" s="91"/>
      <c r="AC23" s="87">
        <f t="shared" si="36"/>
        <v>597.46</v>
      </c>
      <c r="AD23" s="92"/>
      <c r="AE23" s="92"/>
      <c r="AF23" s="1396"/>
      <c r="AG23" s="92"/>
      <c r="AH23" s="92"/>
      <c r="AI23" s="92"/>
      <c r="AJ23" s="92"/>
      <c r="AK23" s="92"/>
      <c r="AL23" s="3017"/>
      <c r="AM23" s="92"/>
      <c r="AN23" s="3017">
        <v>597.46</v>
      </c>
      <c r="AO23" s="92"/>
      <c r="AP23" s="92"/>
      <c r="AQ23" s="92"/>
      <c r="AR23" s="92"/>
      <c r="AS23" s="92"/>
      <c r="AT23" s="93"/>
      <c r="AU23" s="94"/>
      <c r="AV23" s="1976">
        <f t="shared" si="37"/>
        <v>0</v>
      </c>
      <c r="AW23" s="1976">
        <f t="shared" si="38"/>
        <v>0</v>
      </c>
      <c r="AX23" s="1976" t="str">
        <f t="shared" si="39"/>
        <v>Y18</v>
      </c>
      <c r="AY23" s="95">
        <f t="shared" si="40"/>
        <v>2269.6799999999998</v>
      </c>
      <c r="AZ23" s="87">
        <f t="shared" si="41"/>
        <v>6881.1</v>
      </c>
      <c r="BA23" s="87">
        <f t="shared" si="42"/>
        <v>6283.64</v>
      </c>
      <c r="BB23" s="87">
        <f t="shared" si="43"/>
        <v>6283.64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597.46</v>
      </c>
      <c r="BM23" s="87">
        <f t="shared" si="54"/>
        <v>0</v>
      </c>
      <c r="BN23" s="87">
        <f t="shared" si="55"/>
        <v>0</v>
      </c>
      <c r="BO23" s="87">
        <f t="shared" si="56"/>
        <v>0</v>
      </c>
      <c r="BP23" s="87">
        <f t="shared" si="57"/>
        <v>0</v>
      </c>
      <c r="BQ23" s="87">
        <f t="shared" si="58"/>
        <v>0</v>
      </c>
      <c r="BR23" s="87">
        <f t="shared" si="59"/>
        <v>597.46</v>
      </c>
      <c r="BS23" s="87">
        <f t="shared" si="60"/>
        <v>0</v>
      </c>
      <c r="BT23" s="96">
        <f t="shared" si="61"/>
        <v>0</v>
      </c>
    </row>
    <row r="24" spans="1:72">
      <c r="A24" s="84"/>
      <c r="B24" s="1392"/>
      <c r="C24" s="3011" t="s">
        <v>3309</v>
      </c>
      <c r="D24" s="3012" t="s">
        <v>1679</v>
      </c>
      <c r="E24" s="87">
        <f t="shared" si="33"/>
        <v>2473.08</v>
      </c>
      <c r="F24" s="88"/>
      <c r="G24" s="89">
        <f t="shared" si="34"/>
        <v>7497.77</v>
      </c>
      <c r="H24" s="90">
        <f t="shared" si="35"/>
        <v>6900.31</v>
      </c>
      <c r="I24" s="3013">
        <v>6900.31</v>
      </c>
      <c r="J24" s="91"/>
      <c r="K24" s="1395"/>
      <c r="L24" s="91"/>
      <c r="M24" s="91"/>
      <c r="N24" s="91"/>
      <c r="O24" s="1362"/>
      <c r="P24" s="91"/>
      <c r="Q24" s="91"/>
      <c r="R24" s="91"/>
      <c r="S24" s="91"/>
      <c r="T24" s="91"/>
      <c r="U24" s="91"/>
      <c r="V24" s="91"/>
      <c r="W24" s="91"/>
      <c r="X24" s="91"/>
      <c r="Y24" s="91"/>
      <c r="Z24" s="91"/>
      <c r="AA24" s="91"/>
      <c r="AB24" s="91"/>
      <c r="AC24" s="87">
        <f t="shared" si="36"/>
        <v>597.46</v>
      </c>
      <c r="AD24" s="92"/>
      <c r="AE24" s="92"/>
      <c r="AF24" s="1396"/>
      <c r="AG24" s="92"/>
      <c r="AH24" s="92"/>
      <c r="AI24" s="92"/>
      <c r="AJ24" s="92"/>
      <c r="AK24" s="92"/>
      <c r="AL24" s="3017"/>
      <c r="AM24" s="92"/>
      <c r="AN24" s="3017">
        <v>597.46</v>
      </c>
      <c r="AO24" s="92"/>
      <c r="AP24" s="92"/>
      <c r="AQ24" s="92"/>
      <c r="AR24" s="92"/>
      <c r="AS24" s="92"/>
      <c r="AT24" s="93"/>
      <c r="AU24" s="94"/>
      <c r="AV24" s="1976">
        <f t="shared" si="37"/>
        <v>0</v>
      </c>
      <c r="AW24" s="1976">
        <f t="shared" si="38"/>
        <v>0</v>
      </c>
      <c r="AX24" s="1976" t="str">
        <f t="shared" si="39"/>
        <v>Y19</v>
      </c>
      <c r="AY24" s="95">
        <f t="shared" si="40"/>
        <v>2473.08</v>
      </c>
      <c r="AZ24" s="87">
        <f t="shared" si="41"/>
        <v>7497.77</v>
      </c>
      <c r="BA24" s="87">
        <f t="shared" si="42"/>
        <v>6900.31</v>
      </c>
      <c r="BB24" s="87">
        <f t="shared" si="43"/>
        <v>6900.31</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597.46</v>
      </c>
      <c r="BM24" s="87">
        <f t="shared" si="54"/>
        <v>0</v>
      </c>
      <c r="BN24" s="87">
        <f t="shared" si="55"/>
        <v>0</v>
      </c>
      <c r="BO24" s="87">
        <f t="shared" si="56"/>
        <v>0</v>
      </c>
      <c r="BP24" s="87">
        <f t="shared" si="57"/>
        <v>0</v>
      </c>
      <c r="BQ24" s="87">
        <f t="shared" si="58"/>
        <v>0</v>
      </c>
      <c r="BR24" s="87">
        <f t="shared" si="59"/>
        <v>597.46</v>
      </c>
      <c r="BS24" s="87">
        <f t="shared" si="60"/>
        <v>0</v>
      </c>
      <c r="BT24" s="96">
        <f t="shared" si="61"/>
        <v>0</v>
      </c>
    </row>
    <row r="25" spans="1:72">
      <c r="A25" s="84"/>
      <c r="B25" s="1392"/>
      <c r="C25" s="3011" t="s">
        <v>3310</v>
      </c>
      <c r="D25" s="3012" t="s">
        <v>1679</v>
      </c>
      <c r="E25" s="87">
        <f t="shared" si="33"/>
        <v>2661.08</v>
      </c>
      <c r="F25" s="88"/>
      <c r="G25" s="89">
        <f t="shared" si="34"/>
        <v>8067.7400000000007</v>
      </c>
      <c r="H25" s="90">
        <f t="shared" si="35"/>
        <v>6900.31</v>
      </c>
      <c r="I25" s="3013">
        <v>6900.31</v>
      </c>
      <c r="J25" s="91"/>
      <c r="K25" s="1395"/>
      <c r="L25" s="91"/>
      <c r="M25" s="91"/>
      <c r="N25" s="91"/>
      <c r="O25" s="91"/>
      <c r="P25" s="91"/>
      <c r="Q25" s="91"/>
      <c r="R25" s="91"/>
      <c r="S25" s="91"/>
      <c r="T25" s="91"/>
      <c r="U25" s="91"/>
      <c r="V25" s="91"/>
      <c r="W25" s="91"/>
      <c r="X25" s="91"/>
      <c r="Y25" s="91"/>
      <c r="Z25" s="91"/>
      <c r="AA25" s="91"/>
      <c r="AB25" s="91"/>
      <c r="AC25" s="87">
        <f t="shared" si="36"/>
        <v>1167.43</v>
      </c>
      <c r="AD25" s="92"/>
      <c r="AE25" s="92"/>
      <c r="AF25" s="1396"/>
      <c r="AG25" s="92"/>
      <c r="AH25" s="92"/>
      <c r="AI25" s="92"/>
      <c r="AJ25" s="92"/>
      <c r="AK25" s="92"/>
      <c r="AL25" s="3017"/>
      <c r="AM25" s="92"/>
      <c r="AN25" s="3017">
        <v>1167.43</v>
      </c>
      <c r="AO25" s="92"/>
      <c r="AP25" s="92"/>
      <c r="AQ25" s="92"/>
      <c r="AR25" s="92"/>
      <c r="AS25" s="92"/>
      <c r="AT25" s="93"/>
      <c r="AU25" s="94"/>
      <c r="AV25" s="1976">
        <f t="shared" si="37"/>
        <v>0</v>
      </c>
      <c r="AW25" s="1976">
        <f t="shared" si="38"/>
        <v>0</v>
      </c>
      <c r="AX25" s="1976" t="str">
        <f t="shared" si="39"/>
        <v>Y20</v>
      </c>
      <c r="AY25" s="95">
        <f t="shared" si="40"/>
        <v>2661.08</v>
      </c>
      <c r="AZ25" s="87">
        <f t="shared" si="41"/>
        <v>8067.7400000000007</v>
      </c>
      <c r="BA25" s="87">
        <f t="shared" si="42"/>
        <v>6900.31</v>
      </c>
      <c r="BB25" s="87">
        <f t="shared" si="43"/>
        <v>6900.31</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1167.43</v>
      </c>
      <c r="BM25" s="87">
        <f t="shared" si="54"/>
        <v>0</v>
      </c>
      <c r="BN25" s="87">
        <f t="shared" si="55"/>
        <v>0</v>
      </c>
      <c r="BO25" s="87">
        <f t="shared" si="56"/>
        <v>0</v>
      </c>
      <c r="BP25" s="87">
        <f t="shared" si="57"/>
        <v>0</v>
      </c>
      <c r="BQ25" s="87">
        <f t="shared" si="58"/>
        <v>0</v>
      </c>
      <c r="BR25" s="87">
        <f t="shared" si="59"/>
        <v>1167.43</v>
      </c>
      <c r="BS25" s="87">
        <f t="shared" si="60"/>
        <v>0</v>
      </c>
      <c r="BT25" s="96">
        <f t="shared" si="61"/>
        <v>0</v>
      </c>
    </row>
    <row r="26" spans="1:72">
      <c r="A26" s="84"/>
      <c r="B26" s="1392"/>
      <c r="C26" s="3011" t="s">
        <v>3311</v>
      </c>
      <c r="D26" s="3012" t="s">
        <v>1679</v>
      </c>
      <c r="E26" s="87">
        <f t="shared" si="33"/>
        <v>414.94</v>
      </c>
      <c r="F26" s="88"/>
      <c r="G26" s="89">
        <f t="shared" si="34"/>
        <v>1258</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1258</v>
      </c>
      <c r="AD26" s="92">
        <v>1258</v>
      </c>
      <c r="AE26" s="92"/>
      <c r="AF26" s="1396"/>
      <c r="AG26" s="92"/>
      <c r="AH26" s="92"/>
      <c r="AI26" s="92"/>
      <c r="AJ26" s="92"/>
      <c r="AK26" s="92"/>
      <c r="AL26" s="3013"/>
      <c r="AM26" s="92"/>
      <c r="AN26" s="3017"/>
      <c r="AO26" s="92"/>
      <c r="AP26" s="92"/>
      <c r="AQ26" s="92"/>
      <c r="AR26" s="92"/>
      <c r="AS26" s="92"/>
      <c r="AT26" s="93"/>
      <c r="AU26" s="94"/>
      <c r="AV26" s="1976">
        <f t="shared" si="37"/>
        <v>0</v>
      </c>
      <c r="AW26" s="1976">
        <f t="shared" si="38"/>
        <v>0</v>
      </c>
      <c r="AX26" s="1976" t="str">
        <f t="shared" si="39"/>
        <v>Y63</v>
      </c>
      <c r="AY26" s="95">
        <f t="shared" si="40"/>
        <v>414.94</v>
      </c>
      <c r="AZ26" s="87">
        <f t="shared" si="41"/>
        <v>1258</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1258</v>
      </c>
      <c r="BM26" s="87">
        <f t="shared" si="54"/>
        <v>1258</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3011" t="s">
        <v>3312</v>
      </c>
      <c r="D27" s="3012" t="s">
        <v>1679</v>
      </c>
      <c r="E27" s="87">
        <f t="shared" si="33"/>
        <v>39.979999999999997</v>
      </c>
      <c r="F27" s="88"/>
      <c r="G27" s="89">
        <f t="shared" si="34"/>
        <v>121.2</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121.2</v>
      </c>
      <c r="AD27" s="92">
        <v>121.2</v>
      </c>
      <c r="AE27" s="92"/>
      <c r="AF27" s="1396"/>
      <c r="AG27" s="92"/>
      <c r="AH27" s="92"/>
      <c r="AI27" s="92"/>
      <c r="AJ27" s="92"/>
      <c r="AK27" s="92"/>
      <c r="AL27" s="3013"/>
      <c r="AM27" s="92"/>
      <c r="AN27" s="3017"/>
      <c r="AO27" s="92"/>
      <c r="AP27" s="92"/>
      <c r="AQ27" s="92"/>
      <c r="AR27" s="92"/>
      <c r="AS27" s="92"/>
      <c r="AT27" s="93"/>
      <c r="AU27" s="94"/>
      <c r="AV27" s="1976">
        <f t="shared" si="37"/>
        <v>0</v>
      </c>
      <c r="AW27" s="1976">
        <f t="shared" si="38"/>
        <v>0</v>
      </c>
      <c r="AX27" s="1976" t="str">
        <f t="shared" si="39"/>
        <v>Y199</v>
      </c>
      <c r="AY27" s="95">
        <f t="shared" si="40"/>
        <v>39.979999999999997</v>
      </c>
      <c r="AZ27" s="87">
        <f t="shared" si="41"/>
        <v>121.2</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121.2</v>
      </c>
      <c r="BM27" s="87">
        <f t="shared" si="54"/>
        <v>121.2</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3011" t="s">
        <v>3313</v>
      </c>
      <c r="D28" s="3012" t="s">
        <v>1679</v>
      </c>
      <c r="E28" s="87">
        <f t="shared" si="33"/>
        <v>6012.22</v>
      </c>
      <c r="F28" s="88"/>
      <c r="G28" s="89">
        <f t="shared" si="34"/>
        <v>18227.55</v>
      </c>
      <c r="H28" s="90">
        <f t="shared" si="35"/>
        <v>17895.66</v>
      </c>
      <c r="I28" s="1395"/>
      <c r="J28" s="91"/>
      <c r="K28" s="3017">
        <v>17895.66</v>
      </c>
      <c r="L28" s="91"/>
      <c r="M28" s="91"/>
      <c r="N28" s="91"/>
      <c r="O28" s="91"/>
      <c r="P28" s="91"/>
      <c r="Q28" s="91"/>
      <c r="R28" s="91"/>
      <c r="S28" s="91"/>
      <c r="T28" s="91"/>
      <c r="U28" s="91"/>
      <c r="V28" s="91"/>
      <c r="W28" s="91"/>
      <c r="X28" s="91"/>
      <c r="Y28" s="91"/>
      <c r="Z28" s="91"/>
      <c r="AA28" s="91"/>
      <c r="AB28" s="91"/>
      <c r="AC28" s="87">
        <f t="shared" si="36"/>
        <v>331.89</v>
      </c>
      <c r="AD28" s="92"/>
      <c r="AE28" s="92"/>
      <c r="AF28" s="1395"/>
      <c r="AG28" s="92"/>
      <c r="AH28" s="92"/>
      <c r="AI28" s="92"/>
      <c r="AJ28" s="92"/>
      <c r="AK28" s="92"/>
      <c r="AL28" s="3017">
        <v>331.89</v>
      </c>
      <c r="AM28" s="92"/>
      <c r="AN28" s="92"/>
      <c r="AO28" s="92"/>
      <c r="AP28" s="92"/>
      <c r="AQ28" s="92"/>
      <c r="AR28" s="92"/>
      <c r="AS28" s="92"/>
      <c r="AT28" s="93"/>
      <c r="AU28" s="94"/>
      <c r="AV28" s="1976">
        <f t="shared" si="37"/>
        <v>0</v>
      </c>
      <c r="AW28" s="1976">
        <f t="shared" si="38"/>
        <v>0</v>
      </c>
      <c r="AX28" s="1976" t="str">
        <f t="shared" si="39"/>
        <v>A1-1a地库</v>
      </c>
      <c r="AY28" s="95">
        <f t="shared" si="40"/>
        <v>6012.22</v>
      </c>
      <c r="AZ28" s="87">
        <f t="shared" si="41"/>
        <v>18227.55</v>
      </c>
      <c r="BA28" s="87">
        <f t="shared" si="42"/>
        <v>17895.66</v>
      </c>
      <c r="BB28" s="87">
        <f t="shared" si="43"/>
        <v>0</v>
      </c>
      <c r="BC28" s="87">
        <f>IF($D28="是",K28-L28,0)</f>
        <v>17895.66</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331.89</v>
      </c>
      <c r="BM28" s="87">
        <f t="shared" si="54"/>
        <v>0</v>
      </c>
      <c r="BN28" s="87">
        <f t="shared" si="55"/>
        <v>0</v>
      </c>
      <c r="BO28" s="87">
        <f t="shared" si="56"/>
        <v>0</v>
      </c>
      <c r="BP28" s="87">
        <f t="shared" si="57"/>
        <v>0</v>
      </c>
      <c r="BQ28" s="87">
        <f t="shared" si="58"/>
        <v>331.89</v>
      </c>
      <c r="BR28" s="87">
        <f>IF($D28="是",AN28-AO28,0)</f>
        <v>0</v>
      </c>
      <c r="BS28" s="87">
        <f t="shared" si="60"/>
        <v>0</v>
      </c>
      <c r="BT28" s="96">
        <f t="shared" si="61"/>
        <v>0</v>
      </c>
    </row>
    <row r="29" spans="1:72">
      <c r="A29" s="84"/>
      <c r="B29" s="1394"/>
      <c r="C29" s="3011" t="s">
        <v>3314</v>
      </c>
      <c r="D29" s="3012" t="s">
        <v>1679</v>
      </c>
      <c r="E29" s="87">
        <f t="shared" si="33"/>
        <v>7254.16</v>
      </c>
      <c r="F29" s="88"/>
      <c r="G29" s="89">
        <f t="shared" si="34"/>
        <v>21992.79</v>
      </c>
      <c r="H29" s="90">
        <f t="shared" si="35"/>
        <v>21870.639999999999</v>
      </c>
      <c r="I29" s="1395"/>
      <c r="J29" s="91"/>
      <c r="K29" s="3017">
        <v>21870.639999999999</v>
      </c>
      <c r="L29" s="91"/>
      <c r="M29" s="91"/>
      <c r="N29" s="91"/>
      <c r="O29" s="91"/>
      <c r="P29" s="91"/>
      <c r="Q29" s="91"/>
      <c r="R29" s="91"/>
      <c r="S29" s="91"/>
      <c r="T29" s="91"/>
      <c r="U29" s="91"/>
      <c r="V29" s="91"/>
      <c r="W29" s="91"/>
      <c r="X29" s="91"/>
      <c r="Y29" s="91"/>
      <c r="Z29" s="91"/>
      <c r="AA29" s="91"/>
      <c r="AB29" s="91"/>
      <c r="AC29" s="87">
        <f t="shared" si="36"/>
        <v>122.15</v>
      </c>
      <c r="AD29" s="92"/>
      <c r="AE29" s="92"/>
      <c r="AF29" s="1395"/>
      <c r="AG29" s="92"/>
      <c r="AH29" s="92"/>
      <c r="AI29" s="92"/>
      <c r="AJ29" s="92"/>
      <c r="AK29" s="92"/>
      <c r="AL29" s="3017">
        <v>122.15</v>
      </c>
      <c r="AM29" s="92"/>
      <c r="AN29" s="92"/>
      <c r="AO29" s="92"/>
      <c r="AP29" s="92"/>
      <c r="AQ29" s="92"/>
      <c r="AR29" s="92"/>
      <c r="AS29" s="92"/>
      <c r="AT29" s="93"/>
      <c r="AU29" s="94"/>
      <c r="AV29" s="1976">
        <f t="shared" si="37"/>
        <v>0</v>
      </c>
      <c r="AW29" s="1976">
        <f t="shared" si="38"/>
        <v>0</v>
      </c>
      <c r="AX29" s="1976" t="str">
        <f t="shared" si="39"/>
        <v>A1-1b地库</v>
      </c>
      <c r="AY29" s="95">
        <f t="shared" si="40"/>
        <v>7254.16</v>
      </c>
      <c r="AZ29" s="87">
        <f t="shared" si="41"/>
        <v>21992.79</v>
      </c>
      <c r="BA29" s="87">
        <f t="shared" si="42"/>
        <v>21870.639999999999</v>
      </c>
      <c r="BB29" s="87">
        <f t="shared" si="43"/>
        <v>0</v>
      </c>
      <c r="BC29" s="87">
        <f>IF($D29="是",K29-L29,0)</f>
        <v>21870.639999999999</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122.15</v>
      </c>
      <c r="BM29" s="87">
        <f t="shared" si="54"/>
        <v>0</v>
      </c>
      <c r="BN29" s="87">
        <f t="shared" si="55"/>
        <v>0</v>
      </c>
      <c r="BO29" s="87">
        <f t="shared" si="56"/>
        <v>0</v>
      </c>
      <c r="BP29" s="87">
        <f t="shared" si="57"/>
        <v>0</v>
      </c>
      <c r="BQ29" s="87">
        <f t="shared" si="58"/>
        <v>122.15</v>
      </c>
      <c r="BR29" s="87">
        <f>IF($D29="是",AN29-AO29,0)</f>
        <v>0</v>
      </c>
      <c r="BS29" s="87">
        <f t="shared" si="60"/>
        <v>0</v>
      </c>
      <c r="BT29" s="96">
        <f t="shared" si="61"/>
        <v>0</v>
      </c>
    </row>
    <row r="30" spans="1:72">
      <c r="A30" s="84"/>
      <c r="B30" s="1392"/>
      <c r="C30" s="3011" t="s">
        <v>3315</v>
      </c>
      <c r="D30" s="3012" t="s">
        <v>1679</v>
      </c>
      <c r="E30" s="87">
        <f t="shared" si="33"/>
        <v>4165.8100000000004</v>
      </c>
      <c r="F30" s="88"/>
      <c r="G30" s="89">
        <f t="shared" si="34"/>
        <v>12629.68</v>
      </c>
      <c r="H30" s="90">
        <f t="shared" si="35"/>
        <v>12456.81</v>
      </c>
      <c r="I30" s="1395"/>
      <c r="J30" s="91"/>
      <c r="K30" s="3017">
        <v>12456.81</v>
      </c>
      <c r="L30" s="91"/>
      <c r="M30" s="91"/>
      <c r="N30" s="91"/>
      <c r="O30" s="91"/>
      <c r="P30" s="91"/>
      <c r="Q30" s="91"/>
      <c r="R30" s="91"/>
      <c r="S30" s="91"/>
      <c r="T30" s="91"/>
      <c r="U30" s="91"/>
      <c r="V30" s="91"/>
      <c r="W30" s="91"/>
      <c r="X30" s="91"/>
      <c r="Y30" s="91"/>
      <c r="Z30" s="91"/>
      <c r="AA30" s="91"/>
      <c r="AB30" s="91"/>
      <c r="AC30" s="87">
        <f t="shared" si="36"/>
        <v>172.87</v>
      </c>
      <c r="AD30" s="92"/>
      <c r="AE30" s="92"/>
      <c r="AF30" s="1395"/>
      <c r="AG30" s="92"/>
      <c r="AH30" s="92"/>
      <c r="AI30" s="92"/>
      <c r="AJ30" s="92"/>
      <c r="AK30" s="92"/>
      <c r="AL30" s="3017">
        <v>172.87</v>
      </c>
      <c r="AM30" s="92"/>
      <c r="AN30" s="92"/>
      <c r="AO30" s="92"/>
      <c r="AP30" s="92"/>
      <c r="AQ30" s="92"/>
      <c r="AR30" s="92"/>
      <c r="AS30" s="92"/>
      <c r="AT30" s="93"/>
      <c r="AU30" s="94"/>
      <c r="AV30" s="1976">
        <f t="shared" si="37"/>
        <v>0</v>
      </c>
      <c r="AW30" s="1976">
        <f t="shared" si="38"/>
        <v>0</v>
      </c>
      <c r="AX30" s="1976" t="str">
        <f t="shared" si="39"/>
        <v>A1-2地库</v>
      </c>
      <c r="AY30" s="95">
        <f t="shared" si="40"/>
        <v>4165.8100000000004</v>
      </c>
      <c r="AZ30" s="87">
        <f t="shared" si="41"/>
        <v>12629.68</v>
      </c>
      <c r="BA30" s="87">
        <f t="shared" si="42"/>
        <v>12456.81</v>
      </c>
      <c r="BB30" s="87">
        <f t="shared" si="43"/>
        <v>0</v>
      </c>
      <c r="BC30" s="87">
        <f>IF($D30="是",K30-L30,0)</f>
        <v>12456.81</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172.87</v>
      </c>
      <c r="BM30" s="87">
        <f t="shared" si="54"/>
        <v>0</v>
      </c>
      <c r="BN30" s="87">
        <f t="shared" si="55"/>
        <v>0</v>
      </c>
      <c r="BO30" s="87">
        <f t="shared" si="56"/>
        <v>0</v>
      </c>
      <c r="BP30" s="87">
        <f t="shared" si="57"/>
        <v>0</v>
      </c>
      <c r="BQ30" s="87">
        <f t="shared" si="58"/>
        <v>172.87</v>
      </c>
      <c r="BR30" s="87">
        <f>IF($D30="是",AN30-AO30,0)</f>
        <v>0</v>
      </c>
      <c r="BS30" s="87">
        <f t="shared" si="60"/>
        <v>0</v>
      </c>
      <c r="BT30" s="96">
        <f t="shared" si="61"/>
        <v>0</v>
      </c>
    </row>
    <row r="31" spans="1:72">
      <c r="A31" s="84"/>
      <c r="B31" s="1392"/>
      <c r="C31" s="3011"/>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3017"/>
      <c r="AM31" s="92"/>
      <c r="AN31" s="3017"/>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3011"/>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3011"/>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8" sqref="E28"/>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8" t="s">
        <v>203</v>
      </c>
      <c r="B2" s="3298"/>
      <c r="C2" s="3298"/>
      <c r="D2" s="1972" t="s">
        <v>204</v>
      </c>
      <c r="E2" s="106" t="s">
        <v>205</v>
      </c>
      <c r="F2" s="1981"/>
      <c r="G2" s="1196"/>
      <c r="H2" s="1197"/>
      <c r="I2" s="1198" t="s">
        <v>857</v>
      </c>
      <c r="J2" s="1981"/>
      <c r="K2" s="1981"/>
      <c r="L2" s="1981"/>
    </row>
    <row r="3" spans="1:16" ht="15.75" thickBot="1">
      <c r="A3" s="3299" t="s">
        <v>206</v>
      </c>
      <c r="B3" s="3299"/>
      <c r="C3" s="3299"/>
      <c r="D3" s="107">
        <f>'数据-基础表'!AY6</f>
        <v>64530.53</v>
      </c>
      <c r="E3" s="107">
        <f>'数据-基础表'!AZ5</f>
        <v>195640.36</v>
      </c>
      <c r="F3" s="1981"/>
      <c r="G3" s="278" t="s">
        <v>858</v>
      </c>
      <c r="H3" s="273" t="s">
        <v>859</v>
      </c>
      <c r="I3" s="1973">
        <f>ROUND('数据-基础表'!B3/'数据-基础表'!A3,2)</f>
        <v>3.03</v>
      </c>
      <c r="J3" s="1981"/>
      <c r="K3" s="1981"/>
      <c r="L3" s="1981"/>
    </row>
    <row r="4" spans="1:16" ht="15">
      <c r="A4" s="3300"/>
      <c r="B4" s="3301"/>
      <c r="C4" s="3302"/>
      <c r="D4" s="108" t="s">
        <v>204</v>
      </c>
      <c r="E4" s="109" t="s">
        <v>205</v>
      </c>
      <c r="F4" s="1981"/>
      <c r="G4" s="1199"/>
      <c r="H4" s="273" t="s">
        <v>860</v>
      </c>
      <c r="I4" s="1973">
        <f>ROUND(SUMIF('数据-基础表'!I9:AS9,"地上",'数据-基础表'!I5:AS5)/'数据-基础表'!A3,2)</f>
        <v>1.88</v>
      </c>
      <c r="J4" s="1981"/>
      <c r="K4" s="1981"/>
      <c r="L4" s="1981"/>
    </row>
    <row r="5" spans="1:16">
      <c r="A5" s="110" t="s">
        <v>207</v>
      </c>
      <c r="B5" s="3303" t="s">
        <v>230</v>
      </c>
      <c r="C5" s="3303"/>
      <c r="D5" s="111">
        <f>ROUND($D$3*E5/$E$3,2)</f>
        <v>39298.910000000003</v>
      </c>
      <c r="E5" s="112">
        <f>SUMIF('数据-基础表'!$11:$11,"住宅",'数据-基础表'!$5:$5)</f>
        <v>119144.43999999997</v>
      </c>
      <c r="F5" s="1981"/>
      <c r="G5" s="278" t="s">
        <v>861</v>
      </c>
      <c r="H5" s="273" t="s">
        <v>859</v>
      </c>
      <c r="I5" s="1973">
        <f>ROUND(E31/D31,2)</f>
        <v>3.03</v>
      </c>
      <c r="J5" s="1981"/>
      <c r="K5" s="1981"/>
      <c r="L5" s="1981"/>
    </row>
    <row r="6" spans="1:16" ht="15" thickBot="1">
      <c r="A6" s="113"/>
      <c r="B6" s="3303" t="s">
        <v>208</v>
      </c>
      <c r="C6" s="3303"/>
      <c r="D6" s="111">
        <f>ROUND($D$3*E6/$E$3,2)</f>
        <v>25231.62</v>
      </c>
      <c r="E6" s="112">
        <f>E3-E5</f>
        <v>76495.920000000013</v>
      </c>
      <c r="F6" s="1981"/>
      <c r="G6" s="1199"/>
      <c r="H6" s="273" t="s">
        <v>860</v>
      </c>
      <c r="I6" s="1973">
        <f>ROUND(F31/D31,2)</f>
        <v>1.88</v>
      </c>
      <c r="J6" s="1981"/>
      <c r="K6" s="1981"/>
      <c r="L6" s="1981"/>
    </row>
    <row r="7" spans="1:16" ht="15">
      <c r="A7" s="3295"/>
      <c r="B7" s="3296"/>
      <c r="C7" s="3297"/>
      <c r="D7" s="108" t="s">
        <v>204</v>
      </c>
      <c r="E7" s="114" t="s">
        <v>231</v>
      </c>
      <c r="F7" s="1981"/>
      <c r="G7" s="1154" t="s">
        <v>1646</v>
      </c>
      <c r="H7" s="1155"/>
      <c r="I7" s="1843"/>
      <c r="J7" s="1981"/>
      <c r="K7" s="1981"/>
      <c r="L7" s="1981"/>
    </row>
    <row r="8" spans="1:16">
      <c r="A8" s="110" t="s">
        <v>209</v>
      </c>
      <c r="B8" s="115" t="s">
        <v>210</v>
      </c>
      <c r="C8" s="111" t="s">
        <v>211</v>
      </c>
      <c r="D8" s="111">
        <f t="shared" ref="D8:D15" si="0">ROUND($D$3*E8/$E$3,2)</f>
        <v>39298.910000000003</v>
      </c>
      <c r="E8" s="116">
        <f>SUMIF('数据-基础表'!BB10:BK10,"地上",'数据-基础表'!BB5:BK5)</f>
        <v>119144.43999999997</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17225.41</v>
      </c>
      <c r="E13" s="116">
        <f>SUMPRODUCT(('数据-基础表'!BB10:BK10="地下")*('数据-基础表'!BB11:BK11="车库")*('数据-基础表'!BB5:BK5))</f>
        <v>52223.11</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56524.320000000007</v>
      </c>
      <c r="E16" s="120">
        <f>SUM(E8:E15)</f>
        <v>171367.55</v>
      </c>
      <c r="F16" s="1981"/>
      <c r="G16" s="1983"/>
      <c r="H16" s="966" t="s">
        <v>219</v>
      </c>
      <c r="I16" s="967"/>
      <c r="J16" s="1981"/>
      <c r="K16" s="3289" t="s">
        <v>2565</v>
      </c>
      <c r="L16" s="3290"/>
      <c r="M16" s="3290"/>
      <c r="N16" s="3290"/>
      <c r="O16" s="3290"/>
      <c r="P16" s="3291"/>
    </row>
    <row r="17" spans="1:19" ht="15">
      <c r="A17" s="121" t="s">
        <v>216</v>
      </c>
      <c r="B17" s="122" t="s">
        <v>217</v>
      </c>
      <c r="C17" s="2295" t="s">
        <v>2314</v>
      </c>
      <c r="D17" s="108" t="s">
        <v>204</v>
      </c>
      <c r="E17" s="124" t="s">
        <v>205</v>
      </c>
      <c r="F17" s="125"/>
      <c r="G17" s="1364"/>
      <c r="H17" s="968" t="s">
        <v>218</v>
      </c>
      <c r="I17" s="969" t="s">
        <v>2313</v>
      </c>
      <c r="J17" s="1981"/>
      <c r="K17" s="3292" t="s">
        <v>2566</v>
      </c>
      <c r="L17" s="3293"/>
      <c r="M17" s="3294"/>
      <c r="N17" s="3292" t="s">
        <v>2567</v>
      </c>
      <c r="O17" s="3293"/>
      <c r="P17" s="3294"/>
      <c r="R17" s="2296" t="s">
        <v>2312</v>
      </c>
      <c r="S17" s="144"/>
    </row>
    <row r="18" spans="1:19" ht="15">
      <c r="A18" s="117"/>
      <c r="B18" s="128"/>
      <c r="C18" s="129"/>
      <c r="D18" s="2639"/>
      <c r="E18" s="130" t="s">
        <v>220</v>
      </c>
      <c r="F18" s="131" t="s">
        <v>221</v>
      </c>
      <c r="G18" s="1365" t="s">
        <v>222</v>
      </c>
      <c r="H18" s="970" t="s">
        <v>223</v>
      </c>
      <c r="I18" s="971" t="s">
        <v>224</v>
      </c>
      <c r="J18" s="1981"/>
      <c r="K18" s="2602" t="s">
        <v>2568</v>
      </c>
      <c r="L18" s="2603" t="s">
        <v>2569</v>
      </c>
      <c r="M18" s="2604" t="s">
        <v>2570</v>
      </c>
      <c r="N18" s="2602" t="s">
        <v>2568</v>
      </c>
      <c r="O18" s="2603" t="s">
        <v>2569</v>
      </c>
      <c r="P18" s="2604" t="s">
        <v>2570</v>
      </c>
      <c r="R18" s="2297" t="s">
        <v>2310</v>
      </c>
      <c r="S18" s="2297" t="s">
        <v>2311</v>
      </c>
    </row>
    <row r="19" spans="1:19">
      <c r="A19" s="133"/>
      <c r="B19" s="115" t="s">
        <v>225</v>
      </c>
      <c r="C19" s="3020" t="s">
        <v>2992</v>
      </c>
      <c r="D19" s="111">
        <f t="shared" ref="D19:D26" si="1">ROUND($D$3*E19/$E$3,2)</f>
        <v>39298.910000000003</v>
      </c>
      <c r="E19" s="134">
        <f t="shared" ref="E19:E26" si="2">SUM(F19:G19)</f>
        <v>119144.43999999997</v>
      </c>
      <c r="F19" s="135">
        <f>'数据-基础表'!I5</f>
        <v>119144.43999999997</v>
      </c>
      <c r="G19" s="1366"/>
      <c r="H19" s="972">
        <f>ROUND($D$3*I19/$E$3,2)</f>
        <v>5705</v>
      </c>
      <c r="I19" s="116">
        <f>IF($I$17="自定义",P19,M19)</f>
        <v>17296.14</v>
      </c>
      <c r="J19" s="1981"/>
      <c r="K19" s="2605">
        <f t="shared" ref="K19:K26" si="3">ROUND(E$28*E19/E$27,2)</f>
        <v>15916.94</v>
      </c>
      <c r="L19" s="273">
        <f t="shared" ref="L19:L26" si="4">ROUND(IF(COUNTIF(C19,"*住宅*")&gt;0,E$29*E19/E$32,0),2)</f>
        <v>1379.2</v>
      </c>
      <c r="M19" s="2606">
        <f>K19+L19</f>
        <v>17296.14</v>
      </c>
      <c r="N19" s="2607"/>
      <c r="O19" s="2608"/>
      <c r="P19" s="2609">
        <f>N19+O19</f>
        <v>0</v>
      </c>
      <c r="R19" s="273">
        <f t="shared" ref="R19:S26" si="5">D19+H19</f>
        <v>45003.91</v>
      </c>
      <c r="S19" s="2298">
        <f t="shared" si="5"/>
        <v>136440.57999999996</v>
      </c>
    </row>
    <row r="20" spans="1:19">
      <c r="A20" s="138"/>
      <c r="B20" s="115" t="s">
        <v>226</v>
      </c>
      <c r="C20" s="3020" t="s">
        <v>3326</v>
      </c>
      <c r="D20" s="111">
        <f t="shared" si="1"/>
        <v>17225.41</v>
      </c>
      <c r="E20" s="134">
        <f t="shared" si="2"/>
        <v>52223.11</v>
      </c>
      <c r="F20" s="135"/>
      <c r="G20" s="1366">
        <f>'数据-基础表'!K5</f>
        <v>52223.11</v>
      </c>
      <c r="H20" s="972">
        <f t="shared" ref="H20:H26" si="6">ROUND($D$3*I20/$E$3,2)</f>
        <v>2301.1999999999998</v>
      </c>
      <c r="I20" s="116">
        <f t="shared" ref="I20:I26" si="7">IF($I$17="自定义",P20,M20)</f>
        <v>6976.67</v>
      </c>
      <c r="J20" s="1981"/>
      <c r="K20" s="2605">
        <f t="shared" si="3"/>
        <v>6976.67</v>
      </c>
      <c r="L20" s="273">
        <f t="shared" si="4"/>
        <v>0</v>
      </c>
      <c r="M20" s="2606">
        <f t="shared" ref="M20:M26" si="8">K20+L20</f>
        <v>6976.67</v>
      </c>
      <c r="N20" s="2607"/>
      <c r="O20" s="2608"/>
      <c r="P20" s="2609">
        <f t="shared" ref="P20:P26" si="9">N20+O20</f>
        <v>0</v>
      </c>
      <c r="R20" s="273">
        <f t="shared" si="5"/>
        <v>19526.61</v>
      </c>
      <c r="S20" s="2298">
        <f t="shared" si="5"/>
        <v>59199.78</v>
      </c>
    </row>
    <row r="21" spans="1:19">
      <c r="A21" s="138"/>
      <c r="B21" s="115" t="s">
        <v>226</v>
      </c>
      <c r="C21" s="3020"/>
      <c r="D21" s="111">
        <f t="shared" si="1"/>
        <v>0</v>
      </c>
      <c r="E21" s="134">
        <f t="shared" si="2"/>
        <v>0</v>
      </c>
      <c r="F21" s="135"/>
      <c r="G21" s="1366"/>
      <c r="H21" s="972">
        <f t="shared" si="6"/>
        <v>0</v>
      </c>
      <c r="I21" s="116">
        <f t="shared" si="7"/>
        <v>0</v>
      </c>
      <c r="J21" s="1981"/>
      <c r="K21" s="2605">
        <f t="shared" si="3"/>
        <v>0</v>
      </c>
      <c r="L21" s="273">
        <f t="shared" si="4"/>
        <v>0</v>
      </c>
      <c r="M21" s="2606">
        <f t="shared" si="8"/>
        <v>0</v>
      </c>
      <c r="N21" s="2607"/>
      <c r="O21" s="2608"/>
      <c r="P21" s="2609">
        <f t="shared" si="9"/>
        <v>0</v>
      </c>
      <c r="R21" s="273">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05">
        <f t="shared" si="3"/>
        <v>0</v>
      </c>
      <c r="L22" s="273">
        <f t="shared" si="4"/>
        <v>0</v>
      </c>
      <c r="M22" s="2606">
        <f t="shared" si="8"/>
        <v>0</v>
      </c>
      <c r="N22" s="2607"/>
      <c r="O22" s="2608"/>
      <c r="P22" s="2609">
        <f t="shared" si="9"/>
        <v>0</v>
      </c>
      <c r="R22" s="273">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05">
        <f t="shared" si="3"/>
        <v>0</v>
      </c>
      <c r="L23" s="273">
        <f t="shared" si="4"/>
        <v>0</v>
      </c>
      <c r="M23" s="2606">
        <f t="shared" si="8"/>
        <v>0</v>
      </c>
      <c r="N23" s="2607"/>
      <c r="O23" s="2608"/>
      <c r="P23" s="2609">
        <f t="shared" si="9"/>
        <v>0</v>
      </c>
      <c r="R23" s="273">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05">
        <f t="shared" si="3"/>
        <v>0</v>
      </c>
      <c r="L24" s="273">
        <f t="shared" si="4"/>
        <v>0</v>
      </c>
      <c r="M24" s="2606">
        <f t="shared" si="8"/>
        <v>0</v>
      </c>
      <c r="N24" s="2607"/>
      <c r="O24" s="2608"/>
      <c r="P24" s="2609">
        <f t="shared" si="9"/>
        <v>0</v>
      </c>
      <c r="R24" s="273">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3">
        <f t="shared" si="4"/>
        <v>0</v>
      </c>
      <c r="M25" s="2606">
        <f t="shared" si="8"/>
        <v>0</v>
      </c>
      <c r="N25" s="2607"/>
      <c r="O25" s="2608"/>
      <c r="P25" s="2609">
        <f t="shared" si="9"/>
        <v>0</v>
      </c>
      <c r="R25" s="273">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78">
        <f t="shared" si="4"/>
        <v>0</v>
      </c>
      <c r="M26" s="146">
        <f t="shared" si="8"/>
        <v>0</v>
      </c>
      <c r="N26" s="2611"/>
      <c r="O26" s="2612"/>
      <c r="P26" s="2613">
        <f t="shared" si="9"/>
        <v>0</v>
      </c>
      <c r="R26" s="273">
        <f t="shared" si="5"/>
        <v>0</v>
      </c>
      <c r="S26" s="2298">
        <f t="shared" si="5"/>
        <v>0</v>
      </c>
    </row>
    <row r="27" spans="1:19" ht="29.25" thickBot="1">
      <c r="A27" s="138"/>
      <c r="B27" s="111"/>
      <c r="C27" s="127" t="s">
        <v>215</v>
      </c>
      <c r="D27" s="134">
        <f>SUM(D19:D26)</f>
        <v>56524.320000000007</v>
      </c>
      <c r="E27" s="143">
        <f>IF(SUM(E19:E26)='数据-基础表'!BA5,SUM(E19:E26),IF(F27="地上面积有误","面积有误","地下面积有误"))</f>
        <v>171367.55</v>
      </c>
      <c r="F27" s="134">
        <f>IF(SUM(F19:F26)=E8,SUM(F19:F26),"地上面积有误")</f>
        <v>119144.43999999997</v>
      </c>
      <c r="G27" s="112">
        <f>SUM(G19:G26)</f>
        <v>52223.11</v>
      </c>
      <c r="H27" s="973">
        <f>SUM(H19:H26)</f>
        <v>8006.2</v>
      </c>
      <c r="I27" s="974">
        <f>SUM(I19:I26)</f>
        <v>24272.809999999998</v>
      </c>
      <c r="J27" s="1981"/>
      <c r="K27" s="2614">
        <f>SUM(K19:K26)</f>
        <v>22893.61</v>
      </c>
      <c r="L27" s="2615">
        <f>SUM(L19:L26)</f>
        <v>1379.2</v>
      </c>
      <c r="M27" s="2616">
        <f>SUM(M19:M26)</f>
        <v>24272.809999999998</v>
      </c>
      <c r="N27" s="2614">
        <f t="shared" ref="N27:O27" si="10">SUM(N19:N26)</f>
        <v>0</v>
      </c>
      <c r="O27" s="2615">
        <f t="shared" si="10"/>
        <v>0</v>
      </c>
      <c r="P27" s="2617">
        <f>SUM(P19:P26)</f>
        <v>0</v>
      </c>
      <c r="R27" s="2302" t="str">
        <f>IF(SUM(R19:R26)=$D$3,SUM(R19:R26),SUM(R19:R26)&amp;"误差"&amp;ROUND(SUM(R19:R26)-$D$3,2))</f>
        <v>64530.52误差-0.01</v>
      </c>
      <c r="S27" s="273">
        <f>IF(SUM(S19:S26)=$E$3,SUM(S19:S26),SUM(S19:S26)&amp;"误差"&amp;ROUND(SUM(S19:S26)-E3,2))</f>
        <v>195640.35999999996</v>
      </c>
    </row>
    <row r="28" spans="1:19">
      <c r="A28" s="138"/>
      <c r="B28" s="115" t="s">
        <v>227</v>
      </c>
      <c r="C28" s="136" t="s">
        <v>228</v>
      </c>
      <c r="D28" s="111">
        <f>ROUND($D$3*E28/$E$3,2)</f>
        <v>7551.29</v>
      </c>
      <c r="E28" s="134">
        <f>SUM(F28:G28)</f>
        <v>22893.609999999997</v>
      </c>
      <c r="F28" s="144">
        <f>'数据-基础表'!BQ5+'数据-基础表'!BS5</f>
        <v>626.91</v>
      </c>
      <c r="G28" s="145">
        <f>'数据-基础表'!BR5+'数据-基础表'!BT5</f>
        <v>22266.699999999997</v>
      </c>
      <c r="H28" s="1981"/>
      <c r="I28" s="1981"/>
      <c r="J28" s="1981"/>
      <c r="K28" s="1981"/>
      <c r="L28" s="1981"/>
    </row>
    <row r="29" spans="1:19">
      <c r="A29" s="138"/>
      <c r="B29" s="115" t="s">
        <v>227</v>
      </c>
      <c r="C29" s="2310" t="s">
        <v>2321</v>
      </c>
      <c r="D29" s="111">
        <f>ROUND($D$3*E29/$E$3,2)</f>
        <v>454.92</v>
      </c>
      <c r="E29" s="134">
        <f>SUM(F29:G29)</f>
        <v>1379.2</v>
      </c>
      <c r="F29" s="144">
        <f>'数据-基础表'!BM5+'数据-基础表'!BO5</f>
        <v>1379.2</v>
      </c>
      <c r="G29" s="146">
        <f>'数据-基础表'!BN5+'数据-基础表'!BP5</f>
        <v>0</v>
      </c>
      <c r="H29" s="1981"/>
      <c r="I29" s="1981"/>
      <c r="J29" s="1981"/>
      <c r="K29" s="1981"/>
      <c r="L29" s="1981"/>
    </row>
    <row r="30" spans="1:19">
      <c r="A30" s="138"/>
      <c r="B30" s="111"/>
      <c r="C30" s="147" t="s">
        <v>215</v>
      </c>
      <c r="D30" s="134">
        <f>SUM(D28:D29)</f>
        <v>8006.21</v>
      </c>
      <c r="E30" s="134">
        <f>SUM(E28:E29)</f>
        <v>24272.809999999998</v>
      </c>
      <c r="F30" s="134">
        <f>SUM(F28:F29)</f>
        <v>2006.1100000000001</v>
      </c>
      <c r="G30" s="112">
        <f>SUM(G28:G29)</f>
        <v>22266.699999999997</v>
      </c>
      <c r="H30" s="1981"/>
      <c r="I30" s="1981"/>
      <c r="J30" s="1981"/>
      <c r="K30" s="1981"/>
      <c r="L30" s="1981"/>
    </row>
    <row r="31" spans="1:19" ht="32.25" customHeight="1" thickBot="1">
      <c r="A31" s="1368"/>
      <c r="B31" s="1369" t="s">
        <v>229</v>
      </c>
      <c r="C31" s="2327" t="s">
        <v>2323</v>
      </c>
      <c r="D31" s="1370">
        <f>D27+D30</f>
        <v>64530.530000000006</v>
      </c>
      <c r="E31" s="1370">
        <f>E27+E30</f>
        <v>195640.36</v>
      </c>
      <c r="F31" s="1371">
        <f>F27+F30</f>
        <v>121150.54999999997</v>
      </c>
      <c r="G31" s="1372">
        <f>G27+G30</f>
        <v>74489.81</v>
      </c>
      <c r="H31" s="1981"/>
      <c r="I31" s="1981"/>
      <c r="J31" s="1981"/>
      <c r="K31" s="1981"/>
      <c r="L31" s="1981"/>
    </row>
    <row r="32" spans="1:19">
      <c r="A32" s="1981"/>
      <c r="B32" s="2360" t="s">
        <v>2322</v>
      </c>
      <c r="C32" s="2644"/>
      <c r="D32" s="1199"/>
      <c r="E32" s="1199">
        <f>SUMIF(C19:C26,"*住宅*",E19:E26)</f>
        <v>119144.43999999997</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16" sqref="Q1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43361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40.5">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2827</v>
      </c>
      <c r="O5" s="163" t="s">
        <v>246</v>
      </c>
      <c r="P5" s="165" t="s">
        <v>247</v>
      </c>
      <c r="Q5" s="166" t="s">
        <v>248</v>
      </c>
      <c r="R5" s="167" t="s">
        <v>249</v>
      </c>
      <c r="S5" s="2618"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8"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v>
      </c>
      <c r="B6" s="2334" t="str">
        <f>IF(A6=0,"","经营性")</f>
        <v>经营性</v>
      </c>
      <c r="C6" s="173" t="s">
        <v>923</v>
      </c>
      <c r="D6" s="2305">
        <f>SUMIF(项目基本情况!D$15:I$15,C6,项目基本情况!D$18:I$18)</f>
        <v>70</v>
      </c>
      <c r="E6" s="2306">
        <f>IF(B6="","",SUMIF(项目基本情况!D$15:I$15,C6,项目基本情况!D$17:I$17))</f>
        <v>66829</v>
      </c>
      <c r="F6" s="174">
        <f>SUMIF(项目基本情况!D$15:I$15,C6,项目基本情况!D$19:I$19)</f>
        <v>64.290000000000006</v>
      </c>
      <c r="G6" s="175">
        <f>IF(ISERROR(ROUND(POWER(1+H6,D6-F6)*(POWER(1+H6,F6)-1)/(POWER(1+H6,D6)-1),3)),0,ROUND(POWER(1+H6,D6-F6)*(POWER(1+H6,F6)-1)/(POWER(1+H6,D6)-1),3))</f>
        <v>0.98299999999999998</v>
      </c>
      <c r="H6" s="3021">
        <v>0.04</v>
      </c>
      <c r="I6" s="3021">
        <v>4.4999999999999998E-2</v>
      </c>
      <c r="J6" s="176"/>
      <c r="K6" s="179">
        <f>SUMIF('数据-汇总表'!C$19:C$33,'数据-取费表'!A6,'数据-汇总表'!E$19:E$33)</f>
        <v>119144.43999999997</v>
      </c>
      <c r="L6" s="3022">
        <v>2000</v>
      </c>
      <c r="M6" s="177">
        <f t="shared" ref="M6:M14" si="0">ROUND(K6*L6/10000,0)</f>
        <v>23829</v>
      </c>
      <c r="N6" s="3023">
        <v>0</v>
      </c>
      <c r="O6" s="177">
        <f>IF($N$5="成新度","——",ROUND(M6*N6,0))</f>
        <v>0</v>
      </c>
      <c r="P6" s="178">
        <f>IF($N$5="成新度","——",M6-O6)</f>
        <v>23829</v>
      </c>
      <c r="Q6" s="3024">
        <v>0.2</v>
      </c>
      <c r="R6" s="179">
        <f>SUMIF('数据-汇总表'!C$19:C$33,A6,'数据-汇总表'!R$19:R$33)</f>
        <v>45003.91</v>
      </c>
      <c r="S6" s="132">
        <f>IF('数据-汇总表'!$I$17="按面积比例",SUMIF('数据-汇总表'!C$19:C$33,A6,'数据-汇总表'!K$19:K$33),SUMIF('数据-汇总表'!C$19:C$33,A6,'数据-汇总表'!N$19:N$33))</f>
        <v>15916.94</v>
      </c>
      <c r="T6" s="2231">
        <f>IF($T$4="按面积比例",IF(ISERROR(ROUND($M$14*S6/S$16,0)),"0",ROUND($M$14*S6/S$16,0)),"需自行计算录入")</f>
        <v>3184</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3035"/>
      <c r="AN6" s="2389"/>
      <c r="AO6" s="1997"/>
      <c r="AP6" s="1202">
        <f>ROUND(1-1/(1+H6)^F6,3)</f>
        <v>0.92</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车库</v>
      </c>
      <c r="B7" s="2334" t="str">
        <f t="shared" ref="B7:B13" si="1">IF(A7=0,"","经营性")</f>
        <v>经营性</v>
      </c>
      <c r="C7" s="173" t="s">
        <v>3325</v>
      </c>
      <c r="D7" s="2305">
        <f>SUMIF(项目基本情况!D$15:I$15,C7,项目基本情况!D$18:I$18)</f>
        <v>50</v>
      </c>
      <c r="E7" s="2306">
        <f>IF(B7="","",SUMIF(项目基本情况!D$15:I$15,C7,项目基本情况!D$17:I$17))</f>
        <v>59524</v>
      </c>
      <c r="F7" s="174">
        <f>SUMIF(项目基本情况!D$15:I$15,C7,项目基本情况!D$19:I$19)</f>
        <v>44.28</v>
      </c>
      <c r="G7" s="175">
        <f t="shared" ref="G7:G11" si="2">IF(ISERROR(ROUND(POWER(1+H7,D7-F7)*(POWER(1+H7,F7)-1)/(POWER(1+H7,D7)-1),3)),0,ROUND(POWER(1+H7,D7-F7)*(POWER(1+H7,F7)-1)/(POWER(1+H7,D7)-1),3))</f>
        <v>0.96399999999999997</v>
      </c>
      <c r="H7" s="3021">
        <v>4.4999999999999998E-2</v>
      </c>
      <c r="I7" s="3021">
        <v>0.05</v>
      </c>
      <c r="J7" s="176"/>
      <c r="K7" s="179">
        <f>SUMIF('数据-汇总表'!C$19:C$33,'数据-取费表'!A7,'数据-汇总表'!E$19:E$33)</f>
        <v>52223.11</v>
      </c>
      <c r="L7" s="3022">
        <f>L6</f>
        <v>2000</v>
      </c>
      <c r="M7" s="177">
        <f t="shared" si="0"/>
        <v>10445</v>
      </c>
      <c r="N7" s="3023">
        <f>N6</f>
        <v>0</v>
      </c>
      <c r="O7" s="177">
        <f t="shared" ref="O7:O14" si="3">IF($N$5="成新度","——",ROUND(M7*N7,0))</f>
        <v>0</v>
      </c>
      <c r="P7" s="178">
        <f t="shared" ref="P7:P14" si="4">IF($N$5="成新度","——",M7-O7)</f>
        <v>10445</v>
      </c>
      <c r="Q7" s="3024">
        <v>0.05</v>
      </c>
      <c r="R7" s="179">
        <f>SUMIF('数据-汇总表'!C$19:C$33,A7,'数据-汇总表'!R$19:R$33)</f>
        <v>19526.61</v>
      </c>
      <c r="S7" s="132">
        <f>IF('数据-汇总表'!$I$17="按面积比例",SUMIF('数据-汇总表'!C$19:C$33,A7,'数据-汇总表'!K$19:K$33),SUMIF('数据-汇总表'!C$19:C$33,A7,'数据-汇总表'!N$19:N$33))</f>
        <v>6976.67</v>
      </c>
      <c r="T7" s="2231">
        <f t="shared" ref="T7:T13" si="5">IF($T$4="按面积比例",IF(ISERROR(ROUND($M$14*S7/S$16,0)),"0",ROUND($M$14*S7/S$16,0)),"需自行计算录入")</f>
        <v>1395</v>
      </c>
      <c r="U7" s="180">
        <v>300</v>
      </c>
      <c r="V7" s="181">
        <v>0.01</v>
      </c>
      <c r="W7" s="181">
        <v>0.1</v>
      </c>
      <c r="X7" s="2318"/>
      <c r="Y7" s="182">
        <v>1</v>
      </c>
      <c r="Z7" s="183"/>
      <c r="AA7" s="176"/>
      <c r="AB7" s="176"/>
      <c r="AC7" s="2321"/>
      <c r="AD7" s="184"/>
      <c r="AE7" s="970">
        <f t="shared" ref="AE7:AE13" ca="1" si="6">IF(AN7="",0,SUMIF(INDIRECT("'"&amp;AN7&amp;"'"&amp;"!E:E"),$AE$5,INDIRECT("'"&amp;AN7&amp;"'"&amp;"!F:F")))</f>
        <v>41.28</v>
      </c>
      <c r="AF7" s="141"/>
      <c r="AG7" s="1211">
        <f t="shared" ref="AG7:AG13" si="7">IF(AF7="",0,AE7-AF7)</f>
        <v>0</v>
      </c>
      <c r="AH7" s="141">
        <v>1492</v>
      </c>
      <c r="AI7" s="187">
        <v>12</v>
      </c>
      <c r="AJ7" s="188"/>
      <c r="AK7" s="189">
        <v>1.4999999999999999E-2</v>
      </c>
      <c r="AL7" s="190">
        <v>1.5E-3</v>
      </c>
      <c r="AM7" s="2387">
        <v>0.01</v>
      </c>
      <c r="AN7" s="2389" t="s">
        <v>3327</v>
      </c>
      <c r="AO7" s="1997"/>
      <c r="AP7" s="1202">
        <f t="shared" ref="AP7:AP13" si="8">ROUND(1-1/(1+H7)^F7,3)</f>
        <v>0.85799999999999998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1"/>
      <c r="I8" s="3021"/>
      <c r="J8" s="176"/>
      <c r="K8" s="179">
        <f>SUMIF('数据-汇总表'!C$19:C$33,'数据-取费表'!A8,'数据-汇总表'!E$19:E$33)</f>
        <v>0</v>
      </c>
      <c r="L8" s="3022"/>
      <c r="M8" s="177">
        <f>ROUND(K8*L8/10000,0)</f>
        <v>0</v>
      </c>
      <c r="N8" s="3023"/>
      <c r="O8" s="177">
        <f t="shared" si="3"/>
        <v>0</v>
      </c>
      <c r="P8" s="178">
        <f t="shared" si="4"/>
        <v>0</v>
      </c>
      <c r="Q8" s="3024"/>
      <c r="R8" s="179">
        <f>SUMIF('数据-汇总表'!C$19:C$33,A8,'数据-汇总表'!R$19:R$33)</f>
        <v>0</v>
      </c>
      <c r="S8" s="132">
        <f>IF('数据-汇总表'!$I$17="按面积比例",SUMIF('数据-汇总表'!C$19:C$33,A8,'数据-汇总表'!K$19:K$33),SUMIF('数据-汇总表'!C$19:C$33,A8,'数据-汇总表'!N$19:N$33))</f>
        <v>0</v>
      </c>
      <c r="T8" s="2231">
        <f t="shared" si="5"/>
        <v>0</v>
      </c>
      <c r="U8" s="180"/>
      <c r="V8" s="181"/>
      <c r="W8" s="181"/>
      <c r="X8" s="2318"/>
      <c r="Y8" s="182"/>
      <c r="Z8" s="183"/>
      <c r="AA8" s="176"/>
      <c r="AB8" s="176"/>
      <c r="AC8" s="2321"/>
      <c r="AD8" s="184"/>
      <c r="AE8" s="970">
        <f t="shared" ca="1" si="6"/>
        <v>0</v>
      </c>
      <c r="AF8" s="141"/>
      <c r="AG8" s="1211">
        <f t="shared" si="7"/>
        <v>0</v>
      </c>
      <c r="AH8" s="141"/>
      <c r="AI8" s="187"/>
      <c r="AJ8" s="188"/>
      <c r="AK8" s="189"/>
      <c r="AL8" s="190"/>
      <c r="AM8" s="2387"/>
      <c r="AN8" s="2389"/>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70">
        <f t="shared" ca="1" si="6"/>
        <v>0</v>
      </c>
      <c r="AF9" s="141"/>
      <c r="AG9" s="1211">
        <f t="shared" si="7"/>
        <v>0</v>
      </c>
      <c r="AH9" s="141"/>
      <c r="AI9" s="187"/>
      <c r="AJ9" s="188"/>
      <c r="AK9" s="189"/>
      <c r="AL9" s="190"/>
      <c r="AM9" s="2387"/>
      <c r="AN9" s="2389"/>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387"/>
      <c r="AN10" s="2389"/>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5"/>
      <c r="AN11" s="2389"/>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5"/>
      <c r="AN12" s="2389"/>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2315</v>
      </c>
      <c r="B14" s="2303" t="s">
        <v>1680</v>
      </c>
      <c r="C14" s="2304" t="s">
        <v>2315</v>
      </c>
      <c r="D14" s="2305"/>
      <c r="E14" s="2306"/>
      <c r="F14" s="174"/>
      <c r="G14" s="175"/>
      <c r="H14" s="2307"/>
      <c r="I14" s="2307"/>
      <c r="J14" s="2307"/>
      <c r="K14" s="179">
        <f>SUMIF('数据-汇总表'!C$19:C$33,'数据-取费表'!A14,'数据-汇总表'!E$19:E$33)</f>
        <v>22893.609999999997</v>
      </c>
      <c r="L14" s="193">
        <f>L6</f>
        <v>2000</v>
      </c>
      <c r="M14" s="177">
        <f t="shared" si="0"/>
        <v>4579</v>
      </c>
      <c r="N14" s="194">
        <v>0</v>
      </c>
      <c r="O14" s="177">
        <f t="shared" si="3"/>
        <v>0</v>
      </c>
      <c r="P14" s="178">
        <f t="shared" si="4"/>
        <v>4579</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2317</v>
      </c>
      <c r="B15" s="2303" t="s">
        <v>1680</v>
      </c>
      <c r="C15" s="2304" t="s">
        <v>2316</v>
      </c>
      <c r="D15" s="2305"/>
      <c r="E15" s="2306"/>
      <c r="F15" s="174"/>
      <c r="G15" s="175"/>
      <c r="H15" s="2307"/>
      <c r="I15" s="2307"/>
      <c r="J15" s="2307"/>
      <c r="K15" s="179">
        <f>SUMIF('数据-汇总表'!C$19:C$33,'数据-取费表'!A15,'数据-汇总表'!E$19:E$33)</f>
        <v>1379.2</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0.97699999999999998</v>
      </c>
      <c r="H16" s="203">
        <f>ROUND(SUMPRODUCT(H6:H13,K6:K13)/SUMPRODUCT((H6:H13&gt;0)*(K6:K13)),3)</f>
        <v>4.2000000000000003E-2</v>
      </c>
      <c r="I16" s="204"/>
      <c r="J16" s="204"/>
      <c r="K16" s="205">
        <f>SUM(K6:K15)</f>
        <v>195640.36</v>
      </c>
      <c r="L16" s="206">
        <f>ROUND(M16*10000/SUM(K6:K14),0)</f>
        <v>2000</v>
      </c>
      <c r="M16" s="206">
        <f>SUM(M6:M14)</f>
        <v>38853</v>
      </c>
      <c r="N16" s="207">
        <f>ROUND(SUMPRODUCT(M6:M14,N6:N14)/M16,3)</f>
        <v>0</v>
      </c>
      <c r="O16" s="206">
        <f>SUM(O6:O14)</f>
        <v>0</v>
      </c>
      <c r="P16" s="206">
        <f>SUM(P6:P14)</f>
        <v>38853</v>
      </c>
      <c r="Q16" s="208">
        <f>ROUND(SUMPRODUCT(Q6:Q13,K6:K13)/SUMPRODUCT((Q6:Q13&gt;0)*(K6:K13)),2)</f>
        <v>0.15</v>
      </c>
      <c r="R16" s="2308">
        <f>SUM(R6:R13)</f>
        <v>64530.520000000004</v>
      </c>
      <c r="S16" s="209">
        <f>SUM(S6:S13)</f>
        <v>22893.61</v>
      </c>
      <c r="T16" s="210">
        <f>IF(SUMIF(T6:T13,"&lt;9E307")=M14,SUMIF(T6:T13,"&lt;9E307"),"有误，请检查")</f>
        <v>4579</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0.90100000000000002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2337</v>
      </c>
      <c r="B27" s="3191">
        <v>32.5</v>
      </c>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2338</v>
      </c>
      <c r="B28" s="3192">
        <v>28.6</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2336</v>
      </c>
      <c r="B29" s="231">
        <v>0</v>
      </c>
      <c r="C29" s="1551"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80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6">
        <v>120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2880</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0.05</v>
      </c>
      <c r="C34" s="2362" t="s">
        <v>2881</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2882</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2883</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62" t="s">
        <v>2884</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62" t="s">
        <v>2884</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2455</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2456</v>
      </c>
      <c r="B40" s="2478">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09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39">
        <v>0.05</v>
      </c>
      <c r="C44" s="2362" t="s">
        <v>2885</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2886</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2887</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v>0</v>
      </c>
      <c r="C47" s="3069" t="s">
        <v>2888</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70" t="s">
        <v>2889</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0" t="s">
        <v>2890</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3</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49" t="s">
        <v>1097</v>
      </c>
      <c r="C53" s="3071" t="s">
        <v>2891</v>
      </c>
      <c r="D53" s="3072" t="s">
        <v>2892</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4" t="s">
        <v>2893</v>
      </c>
      <c r="B54" s="3194">
        <v>3</v>
      </c>
      <c r="C54" s="1991">
        <v>30</v>
      </c>
      <c r="D54" s="3073"/>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4" t="s">
        <v>2894</v>
      </c>
      <c r="B55" s="186"/>
      <c r="C55" s="1991">
        <v>24</v>
      </c>
      <c r="D55" s="3073"/>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4" t="s">
        <v>2895</v>
      </c>
      <c r="B56" s="186"/>
      <c r="C56" s="1991">
        <v>18</v>
      </c>
      <c r="D56" s="3073"/>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4" t="s">
        <v>2896</v>
      </c>
      <c r="B57" s="186"/>
      <c r="C57" s="1991">
        <v>12</v>
      </c>
      <c r="D57" s="3073"/>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4" t="s">
        <v>2897</v>
      </c>
      <c r="B58" s="186"/>
      <c r="C58" s="1991">
        <v>3</v>
      </c>
      <c r="D58" s="3073"/>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4" t="s">
        <v>2898</v>
      </c>
      <c r="B59" s="186"/>
      <c r="C59" s="1991">
        <v>1.5</v>
      </c>
      <c r="D59" s="3073"/>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4" t="s">
        <v>2899</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4" t="s">
        <v>2900</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4" t="s">
        <v>2901</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5" t="s">
        <v>2902</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04" t="s">
        <v>1664</v>
      </c>
      <c r="B1" s="3305"/>
      <c r="C1" s="3305"/>
      <c r="D1" s="3305"/>
      <c r="E1" s="3305"/>
      <c r="F1" s="3305"/>
      <c r="G1" s="3305"/>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42.75">
      <c r="A3" s="1225" t="s">
        <v>1667</v>
      </c>
      <c r="B3" s="1226" t="s">
        <v>1654</v>
      </c>
      <c r="C3" s="3173" t="s">
        <v>2993</v>
      </c>
      <c r="D3" s="2006"/>
      <c r="E3" s="1227" t="s">
        <v>1667</v>
      </c>
      <c r="F3" s="1228" t="s">
        <v>1655</v>
      </c>
      <c r="G3" s="3079" t="s">
        <v>2907</v>
      </c>
      <c r="H3" s="2005"/>
      <c r="I3" s="2005"/>
      <c r="J3" s="2005"/>
      <c r="K3" s="2005"/>
      <c r="L3" s="2005"/>
      <c r="M3" s="2005"/>
      <c r="N3" s="2005"/>
      <c r="O3" s="2005"/>
      <c r="P3" s="2005"/>
      <c r="Q3" s="2005"/>
      <c r="R3" s="2005"/>
    </row>
    <row r="4" spans="1:18" ht="40.5">
      <c r="A4" s="1227"/>
      <c r="B4" s="1229" t="s">
        <v>1668</v>
      </c>
      <c r="C4" s="3076"/>
      <c r="D4" s="2006"/>
      <c r="E4" s="1230"/>
      <c r="F4" s="1231" t="s">
        <v>1669</v>
      </c>
      <c r="G4" s="3077" t="s">
        <v>2904</v>
      </c>
      <c r="H4" s="2005"/>
      <c r="I4" s="2005"/>
      <c r="J4" s="2005"/>
      <c r="K4" s="2005"/>
      <c r="L4" s="2005"/>
      <c r="M4" s="2005"/>
      <c r="N4" s="2005"/>
      <c r="O4" s="2005"/>
      <c r="P4" s="2005"/>
      <c r="Q4" s="2005"/>
      <c r="R4" s="2005"/>
    </row>
    <row r="5" spans="1:18" ht="27">
      <c r="A5" s="1227"/>
      <c r="B5" s="1229" t="s">
        <v>1670</v>
      </c>
      <c r="C5" s="3076"/>
      <c r="D5" s="2006"/>
      <c r="E5" s="1230"/>
      <c r="F5" s="1229" t="s">
        <v>2545</v>
      </c>
      <c r="G5" s="3077" t="s">
        <v>2905</v>
      </c>
      <c r="H5" s="2005"/>
      <c r="I5" s="2005"/>
      <c r="J5" s="2005"/>
      <c r="K5" s="2005"/>
      <c r="L5" s="2005"/>
      <c r="M5" s="2005"/>
      <c r="N5" s="2005"/>
      <c r="O5" s="2005"/>
      <c r="P5" s="2005"/>
      <c r="Q5" s="2005"/>
      <c r="R5" s="2005"/>
    </row>
    <row r="6" spans="1:18" ht="27">
      <c r="A6" s="1227"/>
      <c r="B6" s="1229" t="s">
        <v>1656</v>
      </c>
      <c r="C6" s="3174" t="s">
        <v>2994</v>
      </c>
      <c r="D6" s="2006"/>
      <c r="E6" s="1230"/>
      <c r="F6" s="1229" t="s">
        <v>2546</v>
      </c>
      <c r="G6" s="3077" t="s">
        <v>2903</v>
      </c>
      <c r="H6" s="2005"/>
      <c r="I6" s="2005"/>
      <c r="J6" s="2005"/>
      <c r="K6" s="2005"/>
      <c r="L6" s="2005"/>
      <c r="M6" s="2005"/>
      <c r="N6" s="2005"/>
      <c r="O6" s="2005"/>
      <c r="P6" s="2005"/>
      <c r="Q6" s="2005"/>
      <c r="R6" s="2005"/>
    </row>
    <row r="7" spans="1:18" ht="41.25" thickBot="1">
      <c r="A7" s="1227"/>
      <c r="B7" s="1229" t="s">
        <v>2545</v>
      </c>
      <c r="C7" s="3174" t="s">
        <v>2994</v>
      </c>
      <c r="D7" s="2007"/>
      <c r="E7" s="1232"/>
      <c r="F7" s="1233" t="s">
        <v>1671</v>
      </c>
      <c r="G7" s="3080" t="s">
        <v>2906</v>
      </c>
      <c r="H7" s="2005"/>
      <c r="I7" s="2005"/>
      <c r="J7" s="2005"/>
      <c r="K7" s="2005"/>
      <c r="L7" s="2005"/>
      <c r="M7" s="2005"/>
      <c r="N7" s="2005"/>
      <c r="O7" s="2005"/>
      <c r="P7" s="2005"/>
      <c r="Q7" s="2005"/>
      <c r="R7" s="2005"/>
    </row>
    <row r="8" spans="1:18">
      <c r="A8" s="1227"/>
      <c r="B8" s="1229" t="s">
        <v>2546</v>
      </c>
      <c r="C8" s="3174" t="s">
        <v>3264</v>
      </c>
      <c r="D8" s="2007"/>
      <c r="E8" s="2007"/>
      <c r="F8" s="1552"/>
      <c r="G8" s="1552"/>
      <c r="H8" s="2005"/>
      <c r="I8" s="2005"/>
      <c r="J8" s="2005"/>
      <c r="K8" s="2005"/>
      <c r="L8" s="2005"/>
      <c r="M8" s="2005"/>
      <c r="N8" s="2005"/>
      <c r="O8" s="2005"/>
      <c r="P8" s="2005"/>
      <c r="Q8" s="2005"/>
      <c r="R8" s="2005"/>
    </row>
    <row r="9" spans="1:18">
      <c r="A9" s="1227"/>
      <c r="B9" s="1229" t="s">
        <v>1657</v>
      </c>
      <c r="C9" s="3175" t="s">
        <v>2994</v>
      </c>
      <c r="D9" s="2006"/>
      <c r="E9" s="2007"/>
      <c r="F9" s="1552"/>
      <c r="G9" s="1552"/>
      <c r="H9" s="2005"/>
      <c r="I9" s="2005"/>
      <c r="J9" s="2005"/>
      <c r="K9" s="2005"/>
      <c r="L9" s="2005"/>
      <c r="M9" s="2005"/>
      <c r="N9" s="2005"/>
      <c r="O9" s="2005"/>
      <c r="P9" s="2005"/>
      <c r="Q9" s="2005"/>
      <c r="R9" s="2005"/>
    </row>
    <row r="10" spans="1:18" s="2013" customFormat="1" ht="15" thickBot="1">
      <c r="A10" s="1234"/>
      <c r="B10" s="1235" t="s">
        <v>1672</v>
      </c>
      <c r="C10" s="3078"/>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2"/>
      <c r="E13" s="2575"/>
      <c r="F13" s="2575"/>
      <c r="G13" s="2575"/>
    </row>
    <row r="14" spans="1:18" ht="14.25" thickBot="1">
      <c r="A14" s="1236"/>
      <c r="B14" s="1237"/>
      <c r="C14" s="1238" t="s">
        <v>1665</v>
      </c>
      <c r="D14" s="2006"/>
      <c r="E14" s="1239"/>
      <c r="F14" s="1239"/>
      <c r="G14" s="1221" t="s">
        <v>1666</v>
      </c>
    </row>
    <row r="15" spans="1:18" ht="40.5">
      <c r="A15" s="2585" t="s">
        <v>1658</v>
      </c>
      <c r="B15" s="1240" t="s">
        <v>1654</v>
      </c>
      <c r="C15" s="1241" t="str">
        <f>C3</f>
        <v>一般</v>
      </c>
      <c r="D15" s="2006"/>
      <c r="E15" s="2582" t="s">
        <v>1659</v>
      </c>
      <c r="F15" s="1240" t="s">
        <v>1674</v>
      </c>
      <c r="G15" s="1242" t="str">
        <f>G3</f>
        <v>估价对象位于XX开发区，园区建设成熟度XX，产业集聚程度XX</v>
      </c>
    </row>
    <row r="16" spans="1:18" ht="40.5">
      <c r="A16" s="2586"/>
      <c r="B16" s="1243" t="s">
        <v>1668</v>
      </c>
      <c r="C16" s="1244">
        <f>C4</f>
        <v>0</v>
      </c>
      <c r="D16" s="2006"/>
      <c r="E16" s="2583"/>
      <c r="F16" s="1245" t="s">
        <v>1669</v>
      </c>
      <c r="G16" s="1003" t="str">
        <f>G4</f>
        <v>估价对象周边道路状况、公共交通通达情况、停车便捷程度，综合评价交通便捷度较好</v>
      </c>
    </row>
    <row r="17" spans="1:7" ht="14.25">
      <c r="A17" s="2586"/>
      <c r="B17" s="1243" t="s">
        <v>1670</v>
      </c>
      <c r="C17" s="1244">
        <f>C5</f>
        <v>0</v>
      </c>
      <c r="D17" s="2007"/>
      <c r="E17" s="2583"/>
      <c r="F17" s="1245" t="s">
        <v>1675</v>
      </c>
      <c r="G17" s="2791"/>
    </row>
    <row r="18" spans="1:7" ht="40.5">
      <c r="A18" s="2586"/>
      <c r="B18" s="1245" t="s">
        <v>1656</v>
      </c>
      <c r="C18" s="1003" t="str">
        <f>C6</f>
        <v>一般</v>
      </c>
      <c r="D18" s="2007"/>
      <c r="E18" s="2583"/>
      <c r="F18" s="1245" t="s">
        <v>1671</v>
      </c>
      <c r="G18" s="1003" t="str">
        <f>G7</f>
        <v>该园区内是否有污染型企业，绿化情况，卫生条件，整体环境状况判断</v>
      </c>
    </row>
    <row r="19" spans="1:7" ht="27">
      <c r="A19" s="2586"/>
      <c r="B19" s="1245" t="s">
        <v>1660</v>
      </c>
      <c r="C19" s="3176" t="s">
        <v>2995</v>
      </c>
      <c r="D19" s="2006"/>
      <c r="E19" s="2583"/>
      <c r="F19" s="1229" t="s">
        <v>2545</v>
      </c>
      <c r="G19" s="1003" t="str">
        <f>G5</f>
        <v>估价对象所在区域公共配套设施齐备情况</v>
      </c>
    </row>
    <row r="20" spans="1:7" ht="27">
      <c r="A20" s="2586"/>
      <c r="B20" s="1245" t="s">
        <v>1661</v>
      </c>
      <c r="C20" s="1244" t="str">
        <f>C9</f>
        <v>一般</v>
      </c>
      <c r="D20" s="2007"/>
      <c r="E20" s="2583"/>
      <c r="F20" s="1229" t="s">
        <v>2546</v>
      </c>
      <c r="G20" s="1003" t="str">
        <f>G6</f>
        <v>估价对象所在区域基础设施水平</v>
      </c>
    </row>
    <row r="21" spans="1:7" ht="14.25">
      <c r="A21" s="2586"/>
      <c r="B21" s="1229" t="s">
        <v>2545</v>
      </c>
      <c r="C21" s="1003" t="str">
        <f>C7</f>
        <v>一般</v>
      </c>
      <c r="D21" s="2006"/>
      <c r="E21" s="2583"/>
      <c r="F21" s="1245" t="s">
        <v>1662</v>
      </c>
      <c r="G21" s="3081"/>
    </row>
    <row r="22" spans="1:7" ht="14.25">
      <c r="A22" s="2586"/>
      <c r="B22" s="1229" t="s">
        <v>2546</v>
      </c>
      <c r="C22" s="1003" t="str">
        <f>C8</f>
        <v>六通</v>
      </c>
      <c r="D22" s="2006"/>
      <c r="E22" s="2583"/>
      <c r="F22" s="1245" t="s">
        <v>1672</v>
      </c>
      <c r="G22" s="2791"/>
    </row>
    <row r="23" spans="1:7" ht="15" thickBot="1">
      <c r="A23" s="2586"/>
      <c r="B23" s="1245" t="s">
        <v>1662</v>
      </c>
      <c r="C23" s="3081"/>
      <c r="E23" s="2584"/>
      <c r="F23" s="1246" t="s">
        <v>1676</v>
      </c>
      <c r="G23" s="3082"/>
    </row>
    <row r="24" spans="1:7" ht="14.25" thickBot="1">
      <c r="A24" s="2587"/>
      <c r="B24" s="1246" t="s">
        <v>1663</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7" sqref="A17"/>
    </sheetView>
  </sheetViews>
  <sheetFormatPr defaultColWidth="14.625" defaultRowHeight="13.5"/>
  <cols>
    <col min="1" max="1" width="24.375" customWidth="1"/>
  </cols>
  <sheetData>
    <row r="1" spans="1:9" ht="16.5">
      <c r="A1" s="3041" t="s">
        <v>2843</v>
      </c>
      <c r="B1" s="3041">
        <f>SUM(B14:B23)</f>
        <v>411641.78</v>
      </c>
      <c r="C1" s="3042"/>
      <c r="D1" s="3042"/>
      <c r="E1" s="3042"/>
      <c r="F1" s="3042"/>
    </row>
    <row r="2" spans="1:9" ht="16.5">
      <c r="A2" s="3041" t="s">
        <v>2844</v>
      </c>
      <c r="B2" s="3041">
        <f>SUM(C14:C23)</f>
        <v>173477.46</v>
      </c>
      <c r="C2" s="3042"/>
      <c r="D2" s="3042"/>
      <c r="E2" s="3042"/>
      <c r="F2" s="3042"/>
    </row>
    <row r="3" spans="1:9" ht="16.5">
      <c r="A3" s="3041" t="s">
        <v>2845</v>
      </c>
      <c r="B3" s="3043">
        <f>项目基本情况!D3</f>
        <v>43361</v>
      </c>
      <c r="C3" s="3042"/>
      <c r="D3" s="3042"/>
      <c r="E3" s="3042"/>
      <c r="F3" s="3042"/>
    </row>
    <row r="4" spans="1:9" ht="33">
      <c r="A4" s="3041" t="s">
        <v>2846</v>
      </c>
      <c r="B4" s="3041" t="s">
        <v>2847</v>
      </c>
      <c r="C4" s="3041" t="s">
        <v>2848</v>
      </c>
      <c r="D4" s="3041" t="s">
        <v>2849</v>
      </c>
      <c r="E4" s="3042"/>
      <c r="F4" s="3042"/>
    </row>
    <row r="5" spans="1:9" ht="16.5">
      <c r="A5" s="3041" t="s">
        <v>2850</v>
      </c>
      <c r="B5" s="3041">
        <f ca="1">SUM(D14:D23)</f>
        <v>89029</v>
      </c>
      <c r="C5" s="3041">
        <f ca="1">ROUND(B5*10000/$B$1,0)</f>
        <v>2163</v>
      </c>
      <c r="D5" s="3041">
        <f ca="1">ROUND(B5*10000/$B$2,0)</f>
        <v>5132</v>
      </c>
      <c r="E5" s="3042"/>
      <c r="F5" s="3042"/>
    </row>
    <row r="6" spans="1:9" ht="16.5">
      <c r="A6" s="3041" t="s">
        <v>2851</v>
      </c>
      <c r="B6" s="3041">
        <f ca="1">SUM(G14:G23)</f>
        <v>89029</v>
      </c>
      <c r="C6" s="3041">
        <f t="shared" ref="C6:C8" ca="1" si="0">ROUND(B6*10000/$B$1,0)</f>
        <v>2163</v>
      </c>
      <c r="D6" s="3041">
        <f t="shared" ref="D6:D8" ca="1" si="1">ROUND(B6*10000/$B$2,0)</f>
        <v>5132</v>
      </c>
      <c r="E6" s="3042"/>
      <c r="F6" s="3042"/>
    </row>
    <row r="7" spans="1:9" ht="16.5">
      <c r="A7" s="3041" t="s">
        <v>2852</v>
      </c>
      <c r="B7" s="3041">
        <f>SUM(H14:H23)</f>
        <v>0</v>
      </c>
      <c r="C7" s="3041">
        <f t="shared" si="0"/>
        <v>0</v>
      </c>
      <c r="D7" s="3041">
        <f t="shared" si="1"/>
        <v>0</v>
      </c>
      <c r="E7" s="3042"/>
      <c r="F7" s="3042"/>
    </row>
    <row r="8" spans="1:9" ht="16.5">
      <c r="A8" s="3041" t="s">
        <v>2853</v>
      </c>
      <c r="B8" s="3041">
        <f>SUM(I14:I23)</f>
        <v>0</v>
      </c>
      <c r="C8" s="3041">
        <f t="shared" si="0"/>
        <v>0</v>
      </c>
      <c r="D8" s="3041">
        <f t="shared" si="1"/>
        <v>0</v>
      </c>
      <c r="E8" s="3042"/>
      <c r="F8" s="3042"/>
    </row>
    <row r="9" spans="1:9" ht="16.5">
      <c r="A9" s="3041" t="s">
        <v>2854</v>
      </c>
      <c r="B9" s="3044"/>
      <c r="C9" s="3042"/>
      <c r="D9" s="3042"/>
      <c r="E9" s="3042"/>
      <c r="F9" s="3042"/>
    </row>
    <row r="10" spans="1:9" ht="16.5">
      <c r="A10" s="3041" t="s">
        <v>2855</v>
      </c>
      <c r="B10" s="3044"/>
      <c r="C10" s="3042"/>
      <c r="D10" s="3042"/>
      <c r="E10" s="3042"/>
      <c r="F10" s="3042"/>
    </row>
    <row r="11" spans="1:9" ht="16.5">
      <c r="A11" s="3041" t="s">
        <v>2863</v>
      </c>
      <c r="B11" s="3044"/>
      <c r="C11" s="3042"/>
      <c r="D11" s="3042"/>
      <c r="E11" s="3042"/>
      <c r="F11" s="3042"/>
    </row>
    <row r="12" spans="1:9" ht="16.5">
      <c r="A12" s="3042"/>
      <c r="B12" s="3042"/>
      <c r="C12" s="3042"/>
      <c r="D12" s="3042"/>
      <c r="E12" s="3042"/>
      <c r="F12" s="3042"/>
    </row>
    <row r="13" spans="1:9" ht="33">
      <c r="A13" s="3046" t="s">
        <v>2862</v>
      </c>
      <c r="B13" s="3045" t="s">
        <v>2843</v>
      </c>
      <c r="C13" s="3045" t="s">
        <v>2844</v>
      </c>
      <c r="D13" s="3045" t="s">
        <v>2856</v>
      </c>
      <c r="E13" s="3041" t="s">
        <v>2861</v>
      </c>
      <c r="F13" s="3041" t="s">
        <v>2849</v>
      </c>
      <c r="G13" s="3045" t="s">
        <v>2857</v>
      </c>
      <c r="H13" s="3045" t="s">
        <v>2858</v>
      </c>
      <c r="I13" s="3045" t="s">
        <v>2859</v>
      </c>
    </row>
    <row r="14" spans="1:9" ht="16.5">
      <c r="A14" s="3047" t="s">
        <v>3316</v>
      </c>
      <c r="B14" s="3045">
        <f>结果表!L38</f>
        <v>195640.36</v>
      </c>
      <c r="C14" s="3045">
        <f>结果表!K38</f>
        <v>64530.53</v>
      </c>
      <c r="D14" s="3045">
        <f ca="1">结果表!C42</f>
        <v>32309</v>
      </c>
      <c r="E14" s="3045">
        <f ca="1">ROUND(D14*10000/B14,0)</f>
        <v>1651</v>
      </c>
      <c r="F14" s="3045">
        <f ca="1">ROUND(D14*10000/C14,0)</f>
        <v>5007</v>
      </c>
      <c r="G14" s="3045">
        <f ca="1">结果表!C44</f>
        <v>32309</v>
      </c>
      <c r="H14" s="3045" t="str">
        <f>结果表!C45</f>
        <v>——</v>
      </c>
      <c r="I14" s="3045" t="str">
        <f>结果表!C46</f>
        <v>——</v>
      </c>
    </row>
    <row r="15" spans="1:9" ht="16.5">
      <c r="A15" s="3047" t="s">
        <v>3317</v>
      </c>
      <c r="B15" s="3214">
        <v>81727.78</v>
      </c>
      <c r="C15" s="3214">
        <v>32979.83</v>
      </c>
      <c r="D15" s="3214">
        <v>19584</v>
      </c>
      <c r="E15" s="3045">
        <f t="shared" ref="E15:E23" si="2">ROUND(D15*10000/B15,0)</f>
        <v>2396</v>
      </c>
      <c r="F15" s="3045">
        <f t="shared" ref="F15:F23" si="3">ROUND(D15*10000/C15,0)</f>
        <v>5938</v>
      </c>
      <c r="G15" s="3214">
        <f>D15</f>
        <v>19584</v>
      </c>
      <c r="H15" s="3214" t="str">
        <f>[1]系统读取表!H14</f>
        <v>——</v>
      </c>
      <c r="I15" s="3214" t="str">
        <f>[1]系统读取表!I14</f>
        <v>——</v>
      </c>
    </row>
    <row r="16" spans="1:9" ht="16.5">
      <c r="A16" s="3047" t="s">
        <v>3318</v>
      </c>
      <c r="B16" s="3214">
        <v>7807.1900000000005</v>
      </c>
      <c r="C16" s="3214">
        <v>2278.2199999999998</v>
      </c>
      <c r="D16" s="3214">
        <v>1998</v>
      </c>
      <c r="E16" s="3045">
        <f t="shared" si="2"/>
        <v>2559</v>
      </c>
      <c r="F16" s="3045">
        <f t="shared" si="3"/>
        <v>8770</v>
      </c>
      <c r="G16" s="3214">
        <f t="shared" ref="G16:G22" si="4">D16</f>
        <v>1998</v>
      </c>
      <c r="H16" s="3214" t="str">
        <f>[2]系统读取表!H14</f>
        <v>——</v>
      </c>
      <c r="I16" s="3214" t="str">
        <f>[2]系统读取表!I14</f>
        <v>——</v>
      </c>
    </row>
    <row r="17" spans="1:9" ht="16.5">
      <c r="A17" s="3047" t="s">
        <v>3322</v>
      </c>
      <c r="B17" s="3214">
        <v>44176.45</v>
      </c>
      <c r="C17" s="3214">
        <v>18792.48</v>
      </c>
      <c r="D17" s="3214">
        <v>12145</v>
      </c>
      <c r="E17" s="3045">
        <f t="shared" si="2"/>
        <v>2749</v>
      </c>
      <c r="F17" s="3045">
        <f t="shared" si="3"/>
        <v>6463</v>
      </c>
      <c r="G17" s="3214">
        <f t="shared" si="4"/>
        <v>12145</v>
      </c>
      <c r="H17" s="3214" t="str">
        <f>[3]系统读取表!H14</f>
        <v>——</v>
      </c>
      <c r="I17" s="3214" t="str">
        <f>[3]系统读取表!I14</f>
        <v>——</v>
      </c>
    </row>
    <row r="18" spans="1:9" ht="16.5">
      <c r="A18" s="3047" t="s">
        <v>3319</v>
      </c>
      <c r="B18" s="3214">
        <v>0</v>
      </c>
      <c r="C18" s="3214">
        <v>0</v>
      </c>
      <c r="D18" s="3214">
        <v>0</v>
      </c>
      <c r="E18" s="3045" t="e">
        <f t="shared" si="2"/>
        <v>#DIV/0!</v>
      </c>
      <c r="F18" s="3045" t="e">
        <f t="shared" si="3"/>
        <v>#DIV/0!</v>
      </c>
      <c r="G18" s="3214">
        <f t="shared" si="4"/>
        <v>0</v>
      </c>
      <c r="H18" s="3214" t="str">
        <f>[4]系统读取表!H14</f>
        <v>——</v>
      </c>
      <c r="I18" s="3214" t="str">
        <f>[4]系统读取表!I14</f>
        <v>——</v>
      </c>
    </row>
    <row r="19" spans="1:9" ht="16.5">
      <c r="A19" s="3047" t="s">
        <v>3321</v>
      </c>
      <c r="B19" s="3214">
        <v>0</v>
      </c>
      <c r="C19" s="3214">
        <v>0</v>
      </c>
      <c r="D19" s="3214">
        <v>0</v>
      </c>
      <c r="E19" s="3045" t="e">
        <f t="shared" si="2"/>
        <v>#DIV/0!</v>
      </c>
      <c r="F19" s="3045" t="e">
        <f t="shared" si="3"/>
        <v>#DIV/0!</v>
      </c>
      <c r="G19" s="3214">
        <f t="shared" si="4"/>
        <v>0</v>
      </c>
      <c r="H19" s="3214" t="str">
        <f>[5]系统读取表!H14</f>
        <v>——</v>
      </c>
      <c r="I19" s="3214" t="str">
        <f>[5]系统读取表!I14</f>
        <v>——</v>
      </c>
    </row>
    <row r="20" spans="1:9" ht="16.5">
      <c r="A20" s="3047" t="s">
        <v>3320</v>
      </c>
      <c r="B20" s="3214">
        <v>0</v>
      </c>
      <c r="C20" s="3214">
        <v>0</v>
      </c>
      <c r="D20" s="3214">
        <v>0</v>
      </c>
      <c r="E20" s="3045" t="e">
        <f t="shared" si="2"/>
        <v>#DIV/0!</v>
      </c>
      <c r="F20" s="3045" t="e">
        <f t="shared" si="3"/>
        <v>#DIV/0!</v>
      </c>
      <c r="G20" s="3214">
        <f t="shared" si="4"/>
        <v>0</v>
      </c>
      <c r="H20" s="3214" t="str">
        <f>[6]系统读取表!H14</f>
        <v>——</v>
      </c>
      <c r="I20" s="3214" t="str">
        <f>[6]系统读取表!I14</f>
        <v>——</v>
      </c>
    </row>
    <row r="21" spans="1:9" ht="16.5">
      <c r="A21" s="3047" t="s">
        <v>3332</v>
      </c>
      <c r="B21" s="3214">
        <v>20090</v>
      </c>
      <c r="C21" s="3214">
        <v>13394</v>
      </c>
      <c r="D21" s="3214">
        <v>5614</v>
      </c>
      <c r="E21" s="3045">
        <f t="shared" si="2"/>
        <v>2794</v>
      </c>
      <c r="F21" s="3045">
        <f t="shared" si="3"/>
        <v>4191</v>
      </c>
      <c r="G21" s="3214">
        <f t="shared" si="4"/>
        <v>5614</v>
      </c>
      <c r="H21" s="3214" t="str">
        <f>[7]系统读取表!H14</f>
        <v>——</v>
      </c>
      <c r="I21" s="3214" t="str">
        <f>[7]系统读取表!I14</f>
        <v>——</v>
      </c>
    </row>
    <row r="22" spans="1:9" ht="16.5">
      <c r="A22" s="3047" t="s">
        <v>3331</v>
      </c>
      <c r="B22" s="3214">
        <v>62200</v>
      </c>
      <c r="C22" s="3214">
        <v>41502.400000000001</v>
      </c>
      <c r="D22" s="3214">
        <v>17379</v>
      </c>
      <c r="E22" s="3045">
        <f t="shared" si="2"/>
        <v>2794</v>
      </c>
      <c r="F22" s="3045">
        <f t="shared" si="3"/>
        <v>4187</v>
      </c>
      <c r="G22" s="3214">
        <f t="shared" si="4"/>
        <v>17379</v>
      </c>
      <c r="H22" s="3214" t="str">
        <f>[8]系统读取表!H14</f>
        <v>——</v>
      </c>
      <c r="I22" s="3214" t="str">
        <f>[8]系统读取表!I14</f>
        <v>——</v>
      </c>
    </row>
    <row r="23" spans="1:9" ht="16.5">
      <c r="A23" s="3047" t="s">
        <v>2860</v>
      </c>
      <c r="B23" s="3048"/>
      <c r="C23" s="3048"/>
      <c r="D23" s="3048"/>
      <c r="E23" s="3041" t="e">
        <f t="shared" si="2"/>
        <v>#DIV/0!</v>
      </c>
      <c r="F23" s="3041" t="e">
        <f t="shared" si="3"/>
        <v>#DIV/0!</v>
      </c>
      <c r="G23" s="3048"/>
      <c r="H23" s="3048"/>
      <c r="I23" s="304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48" sqref="H4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2056</v>
      </c>
      <c r="B1" s="1775"/>
      <c r="C1" s="1803" t="s">
        <v>2057</v>
      </c>
      <c r="D1" s="1804"/>
      <c r="E1" s="1803" t="s">
        <v>2058</v>
      </c>
      <c r="F1" s="1805" t="s">
        <v>3267</v>
      </c>
      <c r="G1" s="309"/>
      <c r="H1" s="309"/>
      <c r="I1" s="309"/>
      <c r="J1" s="2026"/>
      <c r="K1" s="2026"/>
      <c r="L1" s="2026"/>
      <c r="M1" s="2026"/>
      <c r="N1" s="2026"/>
      <c r="O1" s="2026"/>
      <c r="P1" s="2026"/>
      <c r="Q1" s="2026"/>
      <c r="R1" s="2026"/>
      <c r="S1" s="2026"/>
      <c r="T1" s="2026"/>
      <c r="U1" s="2026"/>
      <c r="V1" s="2026"/>
    </row>
    <row r="2" spans="1:22" ht="21.75" customHeight="1" thickBot="1">
      <c r="A2" s="3342" t="str">
        <f>项目基本情况!K2</f>
        <v>河北省怀来县东花园镇董庄子村、杨庄子村英国宫5期住宅地块出让国有建设用地使用权</v>
      </c>
      <c r="B2" s="3343"/>
      <c r="C2" s="3344"/>
      <c r="D2" s="3344"/>
      <c r="E2" s="3344"/>
      <c r="F2" s="3344"/>
      <c r="G2" s="3343"/>
      <c r="H2" s="3343"/>
      <c r="I2" s="3345"/>
      <c r="J2" s="2027"/>
      <c r="K2" s="2026"/>
      <c r="L2" s="2026"/>
      <c r="M2" s="2026"/>
      <c r="N2" s="2026"/>
      <c r="O2" s="2026"/>
      <c r="P2" s="2026"/>
      <c r="Q2" s="2026"/>
      <c r="R2" s="2026"/>
      <c r="S2" s="2026"/>
      <c r="T2" s="2026"/>
      <c r="U2" s="2026"/>
      <c r="V2" s="2026"/>
    </row>
    <row r="3" spans="1:22" ht="14.25">
      <c r="A3" s="3335" t="s">
        <v>298</v>
      </c>
      <c r="B3" s="3336"/>
      <c r="C3" s="3336"/>
      <c r="D3" s="3336"/>
      <c r="E3" s="3336"/>
      <c r="F3" s="3336"/>
      <c r="G3" s="3336"/>
      <c r="H3" s="3336"/>
      <c r="I3" s="3336"/>
      <c r="J3" s="2027"/>
      <c r="K3" s="2026"/>
      <c r="L3" s="2026"/>
      <c r="M3" s="2026"/>
      <c r="N3" s="2026"/>
      <c r="O3" s="2026"/>
      <c r="P3" s="2026"/>
      <c r="Q3" s="2026"/>
      <c r="R3" s="2026"/>
      <c r="S3" s="2026"/>
      <c r="T3" s="2026"/>
      <c r="U3" s="2026"/>
      <c r="V3" s="2026"/>
    </row>
    <row r="4" spans="1:22" ht="14.25">
      <c r="A4" s="256" t="s">
        <v>299</v>
      </c>
      <c r="B4" s="257" t="s">
        <v>300</v>
      </c>
      <c r="C4" s="258" t="s">
        <v>3260</v>
      </c>
      <c r="D4" s="258" t="s">
        <v>3261</v>
      </c>
      <c r="E4" s="3307" t="s">
        <v>301</v>
      </c>
      <c r="F4" s="3308"/>
      <c r="G4" s="3308"/>
      <c r="H4" s="3308"/>
      <c r="I4" s="3337"/>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6" t="s">
        <v>302</v>
      </c>
      <c r="B5" s="3332">
        <v>25</v>
      </c>
      <c r="C5" s="3330"/>
      <c r="D5" s="3334"/>
      <c r="E5" s="259" t="s">
        <v>303</v>
      </c>
      <c r="F5" s="260"/>
      <c r="G5" s="260"/>
      <c r="H5" s="260"/>
      <c r="I5" s="261"/>
      <c r="J5" s="2027"/>
      <c r="K5" s="2026"/>
      <c r="L5" s="2026"/>
      <c r="M5" s="2026"/>
      <c r="N5" s="2026"/>
      <c r="O5" s="2026"/>
      <c r="P5" s="2026"/>
      <c r="Q5" s="2026"/>
      <c r="R5" s="2026"/>
      <c r="S5" s="2026"/>
      <c r="T5" s="2026"/>
      <c r="U5" s="2026"/>
      <c r="V5" s="2026"/>
    </row>
    <row r="6" spans="1:22" ht="14.25">
      <c r="A6" s="3306"/>
      <c r="B6" s="3332"/>
      <c r="C6" s="3333"/>
      <c r="D6" s="3334"/>
      <c r="E6" s="259" t="s">
        <v>304</v>
      </c>
      <c r="F6" s="260"/>
      <c r="G6" s="260"/>
      <c r="H6" s="260"/>
      <c r="I6" s="261"/>
      <c r="J6" s="2027"/>
      <c r="K6" s="2026"/>
      <c r="L6" s="2026"/>
      <c r="M6" s="2026"/>
      <c r="N6" s="2026"/>
      <c r="O6" s="2026"/>
      <c r="P6" s="2026"/>
      <c r="Q6" s="2026"/>
      <c r="R6" s="2026"/>
      <c r="S6" s="2026"/>
      <c r="T6" s="2026"/>
      <c r="U6" s="2026"/>
      <c r="V6" s="2026"/>
    </row>
    <row r="7" spans="1:22" ht="14.25">
      <c r="A7" s="3306"/>
      <c r="B7" s="3332"/>
      <c r="C7" s="3331"/>
      <c r="D7" s="3334"/>
      <c r="E7" s="259" t="s">
        <v>305</v>
      </c>
      <c r="F7" s="260"/>
      <c r="G7" s="260"/>
      <c r="H7" s="260"/>
      <c r="I7" s="261"/>
      <c r="J7" s="2027"/>
      <c r="K7" s="2026"/>
      <c r="L7" s="2026"/>
      <c r="M7" s="2026"/>
      <c r="N7" s="2026"/>
      <c r="O7" s="2026"/>
      <c r="P7" s="2026"/>
      <c r="Q7" s="2026"/>
      <c r="R7" s="2026"/>
      <c r="S7" s="2026"/>
      <c r="T7" s="2026"/>
      <c r="U7" s="2026"/>
      <c r="V7" s="2026"/>
    </row>
    <row r="8" spans="1:22" ht="14.25">
      <c r="A8" s="3306" t="s">
        <v>306</v>
      </c>
      <c r="B8" s="3332">
        <v>15</v>
      </c>
      <c r="C8" s="3330"/>
      <c r="D8" s="3334"/>
      <c r="E8" s="259" t="s">
        <v>307</v>
      </c>
      <c r="F8" s="260"/>
      <c r="G8" s="260"/>
      <c r="H8" s="260"/>
      <c r="I8" s="261"/>
      <c r="J8" s="2027"/>
      <c r="K8" s="2026"/>
      <c r="L8" s="2026"/>
      <c r="M8" s="2026"/>
      <c r="N8" s="2026"/>
      <c r="O8" s="2026"/>
      <c r="P8" s="2026"/>
      <c r="Q8" s="2026"/>
      <c r="R8" s="2026"/>
      <c r="S8" s="2026"/>
      <c r="T8" s="2026"/>
      <c r="U8" s="2026"/>
      <c r="V8" s="2026"/>
    </row>
    <row r="9" spans="1:22" ht="14.25">
      <c r="A9" s="3306"/>
      <c r="B9" s="3332"/>
      <c r="C9" s="3331"/>
      <c r="D9" s="3334"/>
      <c r="E9" s="259" t="s">
        <v>308</v>
      </c>
      <c r="F9" s="260"/>
      <c r="G9" s="260"/>
      <c r="H9" s="260"/>
      <c r="I9" s="261"/>
      <c r="J9" s="2027"/>
      <c r="K9" s="2026"/>
      <c r="L9" s="2026"/>
      <c r="M9" s="2026"/>
      <c r="N9" s="2026"/>
      <c r="O9" s="2026"/>
      <c r="P9" s="2026"/>
      <c r="Q9" s="2026"/>
      <c r="R9" s="2026"/>
      <c r="S9" s="2026"/>
      <c r="T9" s="2026"/>
      <c r="U9" s="2026"/>
      <c r="V9" s="2026"/>
    </row>
    <row r="10" spans="1:22" ht="14.25">
      <c r="A10" s="3306" t="s">
        <v>309</v>
      </c>
      <c r="B10" s="3332">
        <v>15</v>
      </c>
      <c r="C10" s="3330"/>
      <c r="D10" s="3334"/>
      <c r="E10" s="259" t="s">
        <v>310</v>
      </c>
      <c r="F10" s="260"/>
      <c r="G10" s="260"/>
      <c r="H10" s="260"/>
      <c r="I10" s="261"/>
      <c r="J10" s="2027"/>
      <c r="K10" s="2026"/>
      <c r="L10" s="2026"/>
      <c r="M10" s="2026"/>
      <c r="N10" s="2026"/>
      <c r="O10" s="2026"/>
      <c r="P10" s="2026"/>
      <c r="Q10" s="2026"/>
      <c r="R10" s="2026"/>
      <c r="S10" s="2026"/>
      <c r="T10" s="2026"/>
      <c r="U10" s="2026"/>
      <c r="V10" s="2026"/>
    </row>
    <row r="11" spans="1:22" ht="14.25">
      <c r="A11" s="3306"/>
      <c r="B11" s="3332"/>
      <c r="C11" s="3331"/>
      <c r="D11" s="3334"/>
      <c r="E11" s="259" t="s">
        <v>311</v>
      </c>
      <c r="F11" s="260"/>
      <c r="G11" s="260"/>
      <c r="H11" s="260"/>
      <c r="I11" s="261"/>
      <c r="J11" s="2027"/>
      <c r="K11" s="2026"/>
      <c r="L11" s="2026"/>
      <c r="M11" s="2026"/>
      <c r="N11" s="2026"/>
      <c r="O11" s="2026"/>
      <c r="P11" s="2026"/>
      <c r="Q11" s="2026"/>
      <c r="R11" s="2026"/>
      <c r="S11" s="2026"/>
      <c r="T11" s="2026"/>
      <c r="U11" s="2026"/>
      <c r="V11" s="2026"/>
    </row>
    <row r="12" spans="1:22" ht="14.25">
      <c r="A12" s="3306" t="s">
        <v>312</v>
      </c>
      <c r="B12" s="3332">
        <v>15</v>
      </c>
      <c r="C12" s="3330"/>
      <c r="D12" s="3334"/>
      <c r="E12" s="259" t="s">
        <v>313</v>
      </c>
      <c r="F12" s="260"/>
      <c r="G12" s="260"/>
      <c r="H12" s="260"/>
      <c r="I12" s="261"/>
      <c r="J12" s="2027"/>
      <c r="K12" s="2026"/>
      <c r="L12" s="2026"/>
      <c r="M12" s="2026"/>
      <c r="N12" s="2026"/>
      <c r="O12" s="2026"/>
      <c r="P12" s="2026"/>
      <c r="Q12" s="2026"/>
      <c r="R12" s="2026"/>
      <c r="S12" s="2026"/>
      <c r="T12" s="2026"/>
      <c r="U12" s="2026"/>
      <c r="V12" s="2026"/>
    </row>
    <row r="13" spans="1:22" ht="14.25">
      <c r="A13" s="3306"/>
      <c r="B13" s="3332"/>
      <c r="C13" s="3331"/>
      <c r="D13" s="3334"/>
      <c r="E13" s="259" t="s">
        <v>314</v>
      </c>
      <c r="F13" s="260"/>
      <c r="G13" s="260"/>
      <c r="H13" s="260"/>
      <c r="I13" s="261"/>
      <c r="J13" s="2027"/>
      <c r="K13" s="2026"/>
      <c r="L13" s="2026"/>
      <c r="M13" s="2026"/>
      <c r="N13" s="2026"/>
      <c r="O13" s="2026"/>
      <c r="P13" s="2026"/>
      <c r="Q13" s="2026"/>
      <c r="R13" s="2026"/>
      <c r="S13" s="2026"/>
      <c r="T13" s="2026"/>
      <c r="U13" s="2026"/>
      <c r="V13" s="2026"/>
    </row>
    <row r="14" spans="1:22" ht="14.25">
      <c r="A14" s="3306" t="s">
        <v>315</v>
      </c>
      <c r="B14" s="3332">
        <v>30</v>
      </c>
      <c r="C14" s="3330">
        <v>6</v>
      </c>
      <c r="D14" s="3334">
        <f>10-C14</f>
        <v>4</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06"/>
      <c r="B15" s="3332"/>
      <c r="C15" s="3333"/>
      <c r="D15" s="3334"/>
      <c r="E15" s="259" t="s">
        <v>317</v>
      </c>
      <c r="F15" s="260"/>
      <c r="G15" s="260"/>
      <c r="H15" s="260"/>
      <c r="I15" s="261"/>
      <c r="J15" s="2027"/>
      <c r="K15" s="2026"/>
      <c r="L15" s="2026"/>
      <c r="M15" s="2026"/>
      <c r="N15" s="2026"/>
      <c r="O15" s="2026"/>
      <c r="P15" s="2026"/>
      <c r="Q15" s="2026"/>
      <c r="R15" s="2026"/>
      <c r="S15" s="2026"/>
      <c r="T15" s="2026"/>
      <c r="U15" s="2026"/>
      <c r="V15" s="2026"/>
    </row>
    <row r="16" spans="1:22" ht="14.25">
      <c r="A16" s="3306"/>
      <c r="B16" s="3332"/>
      <c r="C16" s="3331"/>
      <c r="D16" s="3334"/>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6</v>
      </c>
      <c r="D17" s="263">
        <f>SUM(D5:D16)</f>
        <v>4</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0.6</v>
      </c>
      <c r="D18" s="265">
        <f>1-C18</f>
        <v>0.4</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16978</v>
      </c>
      <c r="D19" s="269">
        <f ca="1">SUMIF(INDIRECT("'"&amp;D4&amp;"'"&amp;"!A:A"),结果表!B19,INDIRECT("'"&amp;D4&amp;"'"&amp;"!B:B"))</f>
        <v>55306</v>
      </c>
      <c r="E19" s="266" t="s">
        <v>323</v>
      </c>
      <c r="F19" s="267" t="s">
        <v>322</v>
      </c>
      <c r="G19" s="270">
        <f ca="1">ROUND(C19*$C$18+D19*$D$18,0)</f>
        <v>32309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868</v>
      </c>
      <c r="D20" s="275">
        <f ca="1">SUMIF(INDIRECT("'"&amp;D4&amp;"'"&amp;"!A:A"),结果表!B20,INDIRECT("'"&amp;D4&amp;"'"&amp;"!B:B"))</f>
        <v>2827</v>
      </c>
      <c r="E20" s="272"/>
      <c r="F20" s="273" t="s">
        <v>325</v>
      </c>
      <c r="G20" s="276">
        <f ca="1">ROUND(C20*$C$18+D20*$D$18,0)</f>
        <v>1652</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2631</v>
      </c>
      <c r="D21" s="151">
        <f ca="1">SUMIF(INDIRECT("'"&amp;D4&amp;"'"&amp;"!A:A"),结果表!B21,INDIRECT("'"&amp;D4&amp;"'"&amp;"!B:B"))</f>
        <v>8571</v>
      </c>
      <c r="E21" s="272"/>
      <c r="F21" s="278" t="s">
        <v>327</v>
      </c>
      <c r="G21" s="280">
        <f ca="1">ROUND(C21*$C$18+D21*$D$18,0)</f>
        <v>5007</v>
      </c>
      <c r="H21" s="1249" t="s">
        <v>326</v>
      </c>
      <c r="I21" s="309"/>
      <c r="J21" s="2026"/>
      <c r="K21" s="2026"/>
      <c r="L21" s="2026"/>
      <c r="M21" s="2026"/>
      <c r="N21" s="2026"/>
      <c r="O21" s="2026"/>
      <c r="P21" s="2026"/>
      <c r="Q21" s="2026"/>
      <c r="R21" s="2026"/>
      <c r="S21" s="2026"/>
      <c r="T21" s="2026"/>
      <c r="U21" s="2026"/>
      <c r="V21" s="2026"/>
    </row>
    <row r="22" spans="1:26" ht="15.75" thickBot="1">
      <c r="A22" s="126" t="s">
        <v>328</v>
      </c>
      <c r="B22" s="1250"/>
      <c r="C22" s="1251"/>
      <c r="D22" s="281">
        <f ca="1">IF(C19&lt;D19,D19/C19-1,C19/D19-1)</f>
        <v>2.2575097184591826</v>
      </c>
      <c r="E22" s="282"/>
      <c r="F22" s="283"/>
      <c r="G22" s="284">
        <f ca="1">ROUND(G19/('数据-汇总表'!D3/666.67),0)</f>
        <v>334</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hidden="1" thickBot="1">
      <c r="A24" s="3312"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hidden="1">
      <c r="A25" s="3313"/>
      <c r="B25" s="1319" t="s">
        <v>331</v>
      </c>
      <c r="C25" s="288">
        <f>IF(B30=0,0,C30)</f>
        <v>0</v>
      </c>
      <c r="D25" s="289"/>
      <c r="E25" s="309"/>
      <c r="F25" s="309"/>
      <c r="G25" s="309"/>
      <c r="H25" s="309"/>
      <c r="I25" s="309"/>
      <c r="J25" s="2026"/>
      <c r="K25" s="1253" t="str">
        <f ca="1">项目基本情况!B16&amp;"国有建设用地使用权价格："&amp;O38&amp;"万元"</f>
        <v>出让国有建设用地使用权价格：32309万元</v>
      </c>
      <c r="L25" s="1254"/>
      <c r="M25" s="1254"/>
      <c r="N25" s="1254"/>
      <c r="O25" s="1255"/>
      <c r="P25" s="2026"/>
      <c r="Q25" s="2026"/>
      <c r="R25" s="2026"/>
      <c r="S25" s="2026"/>
      <c r="T25" s="2026"/>
      <c r="U25" s="2026"/>
      <c r="V25" s="2026"/>
    </row>
    <row r="26" spans="1:26" s="1252" customFormat="1" ht="18" hidden="1">
      <c r="A26" s="291" t="s">
        <v>332</v>
      </c>
      <c r="B26" s="292" t="s">
        <v>333</v>
      </c>
      <c r="C26" s="292" t="s">
        <v>334</v>
      </c>
      <c r="D26" s="293" t="s">
        <v>335</v>
      </c>
      <c r="E26" s="309"/>
      <c r="F26" s="309"/>
      <c r="G26" s="309"/>
      <c r="H26" s="309"/>
      <c r="I26" s="309"/>
      <c r="J26" s="2026"/>
      <c r="K26" s="1256" t="str">
        <f ca="1">"大写金额：人民币"&amp;NUMBERSTRING(INT(O38*10000),2)&amp;"元整"</f>
        <v>大写金额：人民币叁亿贰仟叁佰零玖万元整</v>
      </c>
      <c r="L26" s="1250"/>
      <c r="M26" s="1250"/>
      <c r="N26" s="1250"/>
      <c r="O26" s="1249"/>
      <c r="P26" s="2026"/>
      <c r="Q26" s="2026"/>
      <c r="R26" s="2026"/>
      <c r="S26" s="2026"/>
      <c r="T26" s="2026"/>
      <c r="U26" s="2026"/>
      <c r="V26" s="2026"/>
      <c r="W26" s="290"/>
      <c r="X26" s="290"/>
      <c r="Y26" s="290"/>
      <c r="Z26" s="290"/>
    </row>
    <row r="27" spans="1:26" ht="18" hidden="1">
      <c r="A27" s="291"/>
      <c r="B27" s="292"/>
      <c r="C27" s="292"/>
      <c r="D27" s="293"/>
      <c r="E27" s="309"/>
      <c r="F27" s="309"/>
      <c r="G27" s="309"/>
      <c r="H27" s="309"/>
      <c r="I27" s="309"/>
      <c r="J27" s="2026"/>
      <c r="K27" s="1256" t="str">
        <f ca="1">"单位面积地价："&amp;M38&amp;"元/平方米"</f>
        <v>单位面积地价：5007元/平方米</v>
      </c>
      <c r="L27" s="1250"/>
      <c r="M27" s="1250"/>
      <c r="N27" s="1250"/>
      <c r="O27" s="1249"/>
      <c r="P27" s="2026"/>
      <c r="Q27" s="2026"/>
      <c r="R27" s="2026"/>
      <c r="S27" s="2026"/>
      <c r="T27" s="2026"/>
      <c r="U27" s="2026"/>
      <c r="V27" s="2026"/>
    </row>
    <row r="28" spans="1:26" ht="18.75" hidden="1" customHeight="1">
      <c r="A28" s="291"/>
      <c r="B28" s="292"/>
      <c r="C28" s="292"/>
      <c r="D28" s="293"/>
      <c r="E28" s="309"/>
      <c r="F28" s="309"/>
      <c r="G28" s="309"/>
      <c r="H28" s="309"/>
      <c r="I28" s="309"/>
      <c r="J28" s="2026"/>
      <c r="K28" s="1256" t="str">
        <f ca="1">"楼面地价："&amp;N38&amp;"元/平方米"</f>
        <v>楼面地价：1651元/平方米</v>
      </c>
      <c r="L28" s="1250"/>
      <c r="M28" s="1250"/>
      <c r="N28" s="1250"/>
      <c r="O28" s="1249"/>
      <c r="P28" s="2026"/>
      <c r="V28" s="2026"/>
    </row>
    <row r="29" spans="1:26" ht="18" hidden="1">
      <c r="A29" s="291"/>
      <c r="B29" s="292"/>
      <c r="C29" s="292"/>
      <c r="D29" s="293"/>
      <c r="E29" s="309"/>
      <c r="F29" s="309"/>
      <c r="G29" s="309"/>
      <c r="H29" s="309"/>
      <c r="I29" s="309"/>
      <c r="J29" s="2026"/>
      <c r="K29" s="1256" t="str">
        <f ca="1">IF(OR(项目基本情况!E8="抵押价格",项目基本情况!E8="已注销及未注销"),"抵押价格："&amp;O39&amp;"万元","——")</f>
        <v>抵押价格：32309万元</v>
      </c>
      <c r="L29" s="1250"/>
      <c r="M29" s="1250"/>
      <c r="N29" s="1250"/>
      <c r="O29" s="1249"/>
      <c r="P29" s="2026"/>
      <c r="V29" s="2026"/>
    </row>
    <row r="30" spans="1:26" ht="18.75" hidden="1" thickBot="1">
      <c r="A30" s="3124" t="s">
        <v>336</v>
      </c>
      <c r="B30" s="307"/>
      <c r="C30" s="307"/>
      <c r="D30" s="308"/>
      <c r="E30" s="3125" t="s">
        <v>2954</v>
      </c>
      <c r="F30" s="309"/>
      <c r="G30" s="309"/>
      <c r="H30" s="309"/>
      <c r="I30" s="309"/>
      <c r="J30" s="2026"/>
      <c r="K30" s="1256" t="str">
        <f ca="1">IF(K29="——","——","大写金额：人民币"&amp;NUMBERSTRING(INT(O39*10000),2)&amp;"元整")</f>
        <v>大写金额：人民币叁亿贰仟叁佰零玖万元整</v>
      </c>
      <c r="L30" s="1250"/>
      <c r="M30" s="1250"/>
      <c r="N30" s="1250"/>
      <c r="O30" s="1249"/>
      <c r="P30" s="2026"/>
      <c r="V30" s="2026"/>
    </row>
    <row r="31" spans="1:26" ht="24" hidden="1"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75" thickBot="1">
      <c r="A32" s="266" t="s">
        <v>337</v>
      </c>
      <c r="B32" s="1380" t="s">
        <v>1689</v>
      </c>
      <c r="C32" s="1381">
        <f ca="1">G19-C24</f>
        <v>32309</v>
      </c>
      <c r="D32" s="1382" t="s">
        <v>1690</v>
      </c>
      <c r="E32" s="309"/>
      <c r="F32" s="309"/>
      <c r="G32" s="309"/>
      <c r="H32" s="309"/>
      <c r="I32" s="309"/>
      <c r="J32" s="2026"/>
      <c r="K32" s="2461" t="str">
        <f>IF(K31="——","——","大写金额：人民币"&amp;NUMBERSTRING(INT(O40*10000),2)&amp;"元整")</f>
        <v>——</v>
      </c>
      <c r="L32" s="2464"/>
      <c r="M32" s="2464"/>
      <c r="N32" s="2464"/>
      <c r="O32" s="2465"/>
      <c r="P32" s="2026"/>
      <c r="V32" s="2026"/>
    </row>
    <row r="33" spans="1:26" ht="18.75" thickBot="1">
      <c r="A33" s="296" t="s">
        <v>340</v>
      </c>
      <c r="B33" s="1383" t="s">
        <v>1691</v>
      </c>
      <c r="C33" s="262">
        <f ca="1">ROUND(C32*10000/'数据-汇总表'!E3,0)</f>
        <v>1651</v>
      </c>
      <c r="D33" s="1384" t="s">
        <v>1692</v>
      </c>
      <c r="E33" s="3312" t="s">
        <v>338</v>
      </c>
      <c r="F33" s="294" t="s">
        <v>339</v>
      </c>
      <c r="G33" s="295"/>
      <c r="H33" s="978"/>
      <c r="I33" s="1257"/>
      <c r="J33" s="2026"/>
      <c r="K33" s="1256" t="str">
        <f>IF(项目基本情况!E9="——","——","抵押净值："&amp;C46&amp;"万元")</f>
        <v>抵押净值：——万元</v>
      </c>
      <c r="L33" s="1250"/>
      <c r="M33" s="1250"/>
      <c r="N33" s="1250"/>
      <c r="O33" s="1249"/>
      <c r="P33" s="2026"/>
      <c r="V33" s="2026"/>
    </row>
    <row r="34" spans="1:26" s="1252" customFormat="1" ht="18.75" thickBot="1">
      <c r="A34" s="298"/>
      <c r="B34" s="1385" t="s">
        <v>1693</v>
      </c>
      <c r="C34" s="262">
        <f ca="1">ROUND(C32*10000/'数据-汇总表'!D3,0)</f>
        <v>5007</v>
      </c>
      <c r="D34" s="1386" t="s">
        <v>1692</v>
      </c>
      <c r="E34" s="3353"/>
      <c r="F34" s="127" t="s">
        <v>341</v>
      </c>
      <c r="G34" s="297"/>
      <c r="H34" s="105"/>
      <c r="I34" s="309"/>
      <c r="J34" s="2026"/>
      <c r="K34" s="1259" t="e">
        <f>IF(K33="——","——","大写金额：人民币"&amp;NUMBERSTRING(INT(O41*10000),2)&amp;"元整")</f>
        <v>#VALUE!</v>
      </c>
      <c r="L34" s="1260"/>
      <c r="M34" s="1260"/>
      <c r="N34" s="1260"/>
      <c r="O34" s="1261"/>
      <c r="P34" s="2026"/>
      <c r="Q34" s="290"/>
      <c r="R34" s="290"/>
      <c r="S34" s="290"/>
      <c r="T34" s="290"/>
      <c r="U34" s="290"/>
      <c r="V34" s="2026"/>
      <c r="W34" s="290"/>
      <c r="X34" s="290"/>
      <c r="Y34" s="290"/>
      <c r="Z34" s="290"/>
    </row>
    <row r="35" spans="1:26" ht="15.75" thickBot="1">
      <c r="A35" s="282"/>
      <c r="B35" s="1387"/>
      <c r="C35" s="1388">
        <f ca="1">ROUND(C32/('数据-汇总表'!D3/666.67),0)</f>
        <v>334</v>
      </c>
      <c r="D35" s="1389" t="s">
        <v>1694</v>
      </c>
      <c r="E35" s="3354"/>
      <c r="F35" s="299" t="s">
        <v>342</v>
      </c>
      <c r="G35" s="980"/>
      <c r="H35" s="979" t="s">
        <v>343</v>
      </c>
      <c r="I35" s="309"/>
      <c r="J35" s="2026"/>
      <c r="K35" s="3327" t="s">
        <v>350</v>
      </c>
      <c r="L35" s="3327" t="s">
        <v>351</v>
      </c>
      <c r="M35" s="1262" t="s">
        <v>352</v>
      </c>
      <c r="N35" s="3327" t="s">
        <v>353</v>
      </c>
      <c r="O35" s="3327" t="s">
        <v>354</v>
      </c>
      <c r="P35" s="2026"/>
      <c r="V35" s="2026"/>
    </row>
    <row r="36" spans="1:26" ht="16.5" customHeight="1">
      <c r="A36" s="301" t="s">
        <v>344</v>
      </c>
      <c r="B36" s="302" t="s">
        <v>333</v>
      </c>
      <c r="C36" s="303" t="s">
        <v>345</v>
      </c>
      <c r="D36" s="303" t="s">
        <v>346</v>
      </c>
      <c r="E36" s="304" t="s">
        <v>347</v>
      </c>
      <c r="F36" s="309"/>
      <c r="G36" s="309"/>
      <c r="H36" s="309"/>
      <c r="I36" s="309"/>
      <c r="J36" s="2028"/>
      <c r="K36" s="3328"/>
      <c r="L36" s="3328"/>
      <c r="M36" s="1264" t="s">
        <v>355</v>
      </c>
      <c r="N36" s="3328"/>
      <c r="O36" s="3328"/>
      <c r="P36" s="2026"/>
      <c r="V36" s="2026"/>
    </row>
    <row r="37" spans="1:26" ht="16.5" customHeight="1" thickBot="1">
      <c r="A37" s="1258" t="s">
        <v>348</v>
      </c>
      <c r="B37" s="305"/>
      <c r="C37" s="292"/>
      <c r="D37" s="292"/>
      <c r="E37" s="293"/>
      <c r="F37" s="309"/>
      <c r="G37" s="309"/>
      <c r="H37" s="309"/>
      <c r="I37" s="309"/>
      <c r="J37" s="2028"/>
      <c r="K37" s="3329"/>
      <c r="L37" s="3329"/>
      <c r="M37" s="1265"/>
      <c r="N37" s="3329"/>
      <c r="O37" s="3329"/>
      <c r="P37" s="2026"/>
      <c r="V37" s="2026"/>
    </row>
    <row r="38" spans="1:26" ht="16.5" customHeight="1" thickBot="1">
      <c r="A38" s="1258" t="s">
        <v>349</v>
      </c>
      <c r="B38" s="305"/>
      <c r="C38" s="292"/>
      <c r="D38" s="292"/>
      <c r="E38" s="293"/>
      <c r="F38" s="309"/>
      <c r="G38" s="309"/>
      <c r="H38" s="309"/>
      <c r="I38" s="309"/>
      <c r="J38" s="2028"/>
      <c r="K38" s="1266">
        <f>'数据-汇总表'!D3</f>
        <v>64530.53</v>
      </c>
      <c r="L38" s="1267">
        <f>'数据-汇总表'!E3</f>
        <v>195640.36</v>
      </c>
      <c r="M38" s="1267">
        <f ca="1">C34</f>
        <v>5007</v>
      </c>
      <c r="N38" s="1267">
        <f ca="1">C33</f>
        <v>1651</v>
      </c>
      <c r="O38" s="1268">
        <f ca="1">C32</f>
        <v>32309</v>
      </c>
      <c r="P38" s="2026"/>
      <c r="V38" s="2026"/>
    </row>
    <row r="39" spans="1:26" ht="16.5" customHeight="1" thickBot="1">
      <c r="A39" s="1263"/>
      <c r="B39" s="306"/>
      <c r="C39" s="307"/>
      <c r="D39" s="307"/>
      <c r="E39" s="308"/>
      <c r="F39" s="309"/>
      <c r="G39" s="309"/>
      <c r="H39" s="309"/>
      <c r="I39" s="309"/>
      <c r="J39" s="2028"/>
      <c r="K39" s="3372" t="str">
        <f>MID(A44,3,LEN(A44)-2)</f>
        <v>抵押价格</v>
      </c>
      <c r="L39" s="3373"/>
      <c r="M39" s="3373"/>
      <c r="N39" s="3374"/>
      <c r="O39" s="1391">
        <f ca="1">C44</f>
        <v>32309</v>
      </c>
      <c r="P39" s="2026"/>
      <c r="V39" s="2026"/>
    </row>
    <row r="40" spans="1:26" ht="19.5" thickBot="1">
      <c r="A40" s="104" t="s">
        <v>873</v>
      </c>
      <c r="B40" s="309"/>
      <c r="C40" s="309"/>
      <c r="D40" s="309"/>
      <c r="E40" s="309"/>
      <c r="F40" s="309"/>
      <c r="G40" s="309"/>
      <c r="H40" s="309"/>
      <c r="I40" s="309"/>
      <c r="J40" s="2028"/>
      <c r="K40" s="3372" t="str">
        <f t="shared" ref="K40:K41" si="0">MID(A45,3,LEN(A45)-2)</f>
        <v/>
      </c>
      <c r="L40" s="3373"/>
      <c r="M40" s="3373"/>
      <c r="N40" s="3374"/>
      <c r="O40" s="1391" t="str">
        <f>C45</f>
        <v>——</v>
      </c>
      <c r="P40" s="2026"/>
      <c r="V40" s="2026"/>
    </row>
    <row r="41" spans="1:26" ht="16.5" thickBot="1">
      <c r="A41" s="310" t="s">
        <v>356</v>
      </c>
      <c r="B41" s="311"/>
      <c r="C41" s="312" t="s">
        <v>357</v>
      </c>
      <c r="D41" s="313" t="s">
        <v>358</v>
      </c>
      <c r="E41" s="313" t="s">
        <v>359</v>
      </c>
      <c r="F41" s="314" t="s">
        <v>360</v>
      </c>
      <c r="G41" s="309"/>
      <c r="H41" s="309"/>
      <c r="I41" s="309"/>
      <c r="J41" s="2028"/>
      <c r="K41" s="3372" t="str">
        <f t="shared" si="0"/>
        <v/>
      </c>
      <c r="L41" s="3373"/>
      <c r="M41" s="3373"/>
      <c r="N41" s="3374"/>
      <c r="O41" s="1391" t="str">
        <f>C46</f>
        <v>——</v>
      </c>
      <c r="P41" s="2026"/>
      <c r="V41" s="2026"/>
    </row>
    <row r="42" spans="1:26" ht="29.25">
      <c r="A42" s="3314" t="s">
        <v>2068</v>
      </c>
      <c r="B42" s="3315"/>
      <c r="C42" s="262">
        <f ca="1">C32</f>
        <v>32309</v>
      </c>
      <c r="D42" s="315">
        <f ca="1">C33</f>
        <v>1651</v>
      </c>
      <c r="E42" s="315">
        <f ca="1">C34</f>
        <v>5007</v>
      </c>
      <c r="F42" s="316">
        <f ca="1">C35</f>
        <v>334</v>
      </c>
      <c r="G42" s="309"/>
      <c r="H42" s="309"/>
      <c r="I42" s="317"/>
      <c r="J42" s="2028"/>
      <c r="K42" s="1269" t="s">
        <v>361</v>
      </c>
      <c r="L42" s="2045" t="s">
        <v>362</v>
      </c>
      <c r="M42" s="1270" t="s">
        <v>363</v>
      </c>
      <c r="N42" s="2046" t="s">
        <v>364</v>
      </c>
      <c r="O42" s="2047" t="s">
        <v>365</v>
      </c>
      <c r="P42" s="2026"/>
      <c r="V42" s="2026"/>
    </row>
    <row r="43" spans="1:26" ht="30">
      <c r="A43" s="3325" t="s">
        <v>2729</v>
      </c>
      <c r="B43" s="3326"/>
      <c r="C43" s="262">
        <f>IF(H33="正常操作",G33+G34+G35,G34+G35)</f>
        <v>0</v>
      </c>
      <c r="D43" s="315" t="s">
        <v>43</v>
      </c>
      <c r="E43" s="315" t="s">
        <v>44</v>
      </c>
      <c r="F43" s="316" t="s">
        <v>44</v>
      </c>
      <c r="G43" s="2864" t="s">
        <v>952</v>
      </c>
      <c r="H43" s="309"/>
      <c r="I43" s="317"/>
      <c r="J43" s="2028"/>
      <c r="K43" s="1271" t="str">
        <f>C4</f>
        <v>比较法-住宅、综合</v>
      </c>
      <c r="L43" s="1272">
        <f ca="1">IF(L42="估价结果/万元",C19,C20)</f>
        <v>16978</v>
      </c>
      <c r="M43" s="1273">
        <f>C18</f>
        <v>0.6</v>
      </c>
      <c r="N43" s="1274">
        <f ca="1">IF(N42="测算结果/万元",G19,G20)</f>
        <v>32309</v>
      </c>
      <c r="O43" s="1275">
        <f ca="1">IF(O42="最终结果/万元",C32,C33)</f>
        <v>32309</v>
      </c>
      <c r="P43" s="2026"/>
      <c r="V43" s="2026"/>
    </row>
    <row r="44" spans="1:26" ht="30.75" thickBot="1">
      <c r="A44" s="3314" t="str">
        <f>IF(OR(项目基本情况!E8="抵押价格",项目基本情况!E8="已注销及未注销"),"3.抵押价格","——")</f>
        <v>3.抵押价格</v>
      </c>
      <c r="B44" s="3315"/>
      <c r="C44" s="262">
        <f ca="1">IF(A44="——","——",C42-C43)</f>
        <v>32309</v>
      </c>
      <c r="D44" s="315">
        <f ca="1">ROUND(C44*10000/'数据-汇总表'!E3,0)</f>
        <v>1651</v>
      </c>
      <c r="E44" s="315">
        <f ca="1">ROUND(C44*10000/'数据-汇总表'!D3,0)</f>
        <v>5007</v>
      </c>
      <c r="F44" s="316">
        <f ca="1">ROUND(C44/('数据-汇总表'!D3/666.67),0)</f>
        <v>334</v>
      </c>
      <c r="G44" s="309"/>
      <c r="H44" s="309"/>
      <c r="I44" s="317"/>
      <c r="J44" s="2028"/>
      <c r="K44" s="1276" t="str">
        <f>D4</f>
        <v>剩余法-待开发</v>
      </c>
      <c r="L44" s="1277">
        <f ca="1">IF(L42="估价结果/万元",D19,D20)</f>
        <v>55306</v>
      </c>
      <c r="M44" s="1278">
        <f>D18</f>
        <v>0.4</v>
      </c>
      <c r="N44" s="1279"/>
      <c r="O44" s="1280"/>
      <c r="P44" s="2026"/>
      <c r="V44" s="2026"/>
    </row>
    <row r="45" spans="1:26" ht="15">
      <c r="A45" s="3320" t="str">
        <f>IF(项目基本情况!E8="已注销及未注销","4.抵押担保权已注销时的抵押价格",IF(项目基本情况!E8="已注销","3.抵押担保权已注销时的抵押价格","——"))</f>
        <v>——</v>
      </c>
      <c r="B45" s="3321"/>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16" t="str">
        <f>IF(项目基本情况!E9="抵押净值",IF(A45="——","4.抵押净值","5.抵押净值"),"——")</f>
        <v>——</v>
      </c>
      <c r="B46" s="3317"/>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61" t="s">
        <v>374</v>
      </c>
      <c r="B63" s="3362"/>
      <c r="C63" s="3363"/>
      <c r="D63" s="339">
        <f ca="1">ROUND(C42*F63,0)</f>
        <v>19385</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22" t="s">
        <v>378</v>
      </c>
      <c r="B64" s="3323"/>
      <c r="C64" s="3323"/>
      <c r="D64" s="3323"/>
      <c r="E64" s="3323"/>
      <c r="F64" s="3323"/>
      <c r="G64" s="3324"/>
      <c r="H64" s="1286"/>
      <c r="I64" s="946"/>
      <c r="J64" s="1988"/>
      <c r="K64" s="1560"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318" t="s">
        <v>386</v>
      </c>
      <c r="B66" s="3319"/>
      <c r="C66" s="3319"/>
      <c r="D66" s="259">
        <f ca="1">IF(H66="情况1",0,IF(H66="情况2",D70,IF(H66="情况3",D71,IF(H66="情况4",D72))))</f>
        <v>1015</v>
      </c>
      <c r="E66" s="991" t="str">
        <f>IF(H66="情况4","(销售额-原购置价)×税（费）率","销售额×税（费）率")</f>
        <v>销售额×税（费）率</v>
      </c>
      <c r="F66" s="348">
        <f>IF(H66="情况1","免征",'数据-取费表'!B41)</f>
        <v>5.5000000000000007E-2</v>
      </c>
      <c r="G66" s="349" t="s">
        <v>387</v>
      </c>
      <c r="H66" s="191" t="s">
        <v>388</v>
      </c>
      <c r="I66" s="1286"/>
      <c r="J66" s="2032"/>
      <c r="K66" s="1289">
        <v>1</v>
      </c>
      <c r="L66" s="3376" t="s">
        <v>385</v>
      </c>
      <c r="M66" s="3377"/>
      <c r="N66" s="2456"/>
      <c r="O66" s="2457"/>
      <c r="P66" s="2458"/>
      <c r="Q66" s="2026"/>
      <c r="R66" s="2026"/>
      <c r="S66" s="2026"/>
      <c r="T66" s="2026"/>
      <c r="U66" s="2026"/>
      <c r="V66" s="2026"/>
    </row>
    <row r="67" spans="1:22" ht="25.5" customHeight="1">
      <c r="A67" s="350" t="s">
        <v>390</v>
      </c>
      <c r="B67" s="3309" t="s">
        <v>391</v>
      </c>
      <c r="C67" s="3309"/>
      <c r="D67" s="351">
        <v>0</v>
      </c>
      <c r="E67" s="41" t="s">
        <v>392</v>
      </c>
      <c r="F67" s="62" t="s">
        <v>21</v>
      </c>
      <c r="G67" s="3364"/>
      <c r="H67" s="309"/>
      <c r="I67" s="1290"/>
      <c r="J67" s="2033"/>
      <c r="K67" s="1974">
        <v>2</v>
      </c>
      <c r="L67" s="3375" t="s">
        <v>389</v>
      </c>
      <c r="M67" s="3375"/>
      <c r="N67" s="1323">
        <f>'数据-取费表'!B2</f>
        <v>43361</v>
      </c>
      <c r="O67" s="1323"/>
      <c r="P67" s="1323"/>
      <c r="Q67" s="2026"/>
      <c r="R67" s="2026"/>
      <c r="S67" s="2026"/>
      <c r="T67" s="2026"/>
      <c r="U67" s="2026"/>
      <c r="V67" s="2026"/>
    </row>
    <row r="68" spans="1:22" ht="25.5" customHeight="1">
      <c r="A68" s="352"/>
      <c r="B68" s="3309" t="s">
        <v>394</v>
      </c>
      <c r="C68" s="3309"/>
      <c r="D68" s="353"/>
      <c r="E68" s="77"/>
      <c r="F68" s="354"/>
      <c r="G68" s="3365"/>
      <c r="H68" s="309"/>
      <c r="I68" s="1290"/>
      <c r="J68" s="2033"/>
      <c r="K68" s="1974">
        <v>3</v>
      </c>
      <c r="L68" s="3375" t="s">
        <v>393</v>
      </c>
      <c r="M68" s="3375"/>
      <c r="N68" s="1291">
        <f ca="1">C42</f>
        <v>32309</v>
      </c>
      <c r="O68" s="1291"/>
      <c r="P68" s="1291"/>
      <c r="Q68" s="2026"/>
      <c r="R68" s="2026"/>
      <c r="S68" s="2026"/>
      <c r="T68" s="2026"/>
      <c r="U68" s="2026"/>
      <c r="V68" s="2026"/>
    </row>
    <row r="69" spans="1:22" ht="12" customHeight="1">
      <c r="A69" s="355"/>
      <c r="B69" s="3309" t="s">
        <v>395</v>
      </c>
      <c r="C69" s="3309"/>
      <c r="D69" s="356"/>
      <c r="E69" s="73"/>
      <c r="F69" s="354"/>
      <c r="G69" s="3366"/>
      <c r="H69" s="309"/>
      <c r="I69" s="1290"/>
      <c r="J69" s="2033"/>
      <c r="K69" s="1292">
        <v>4</v>
      </c>
      <c r="L69" s="3380" t="s">
        <v>2873</v>
      </c>
      <c r="M69" s="3381"/>
      <c r="N69" s="1293">
        <f ca="1">C44</f>
        <v>32309</v>
      </c>
      <c r="O69" s="1293"/>
      <c r="P69" s="1293"/>
      <c r="Q69" s="2026"/>
      <c r="R69" s="2026"/>
      <c r="S69" s="2026"/>
      <c r="T69" s="2026"/>
      <c r="U69" s="2026"/>
      <c r="V69" s="2026"/>
    </row>
    <row r="70" spans="1:22" ht="24" customHeight="1">
      <c r="A70" s="357" t="s">
        <v>396</v>
      </c>
      <c r="B70" s="3309" t="s">
        <v>397</v>
      </c>
      <c r="C70" s="3309"/>
      <c r="D70" s="356">
        <f ca="1">ROUND(D63*'数据-取费表'!B41/(1+'数据-取费表'!C42),0)</f>
        <v>1015</v>
      </c>
      <c r="E70" s="17" t="s">
        <v>398</v>
      </c>
      <c r="F70" s="358">
        <f>'数据-取费表'!B41</f>
        <v>5.5000000000000007E-2</v>
      </c>
      <c r="G70" s="359"/>
      <c r="H70" s="309"/>
      <c r="I70" s="1290"/>
      <c r="J70" s="2033"/>
      <c r="K70" s="3057"/>
      <c r="L70" s="3058"/>
      <c r="M70" s="3058"/>
      <c r="N70" s="3059" t="s">
        <v>2878</v>
      </c>
      <c r="O70" s="3058"/>
      <c r="P70" s="3060"/>
      <c r="Q70" s="2026"/>
      <c r="R70" s="2026"/>
      <c r="S70" s="2026"/>
      <c r="T70" s="2026"/>
      <c r="U70" s="2026"/>
      <c r="V70" s="2026"/>
    </row>
    <row r="71" spans="1:22" ht="12" customHeight="1">
      <c r="A71" s="357" t="s">
        <v>404</v>
      </c>
      <c r="B71" s="3310" t="s">
        <v>405</v>
      </c>
      <c r="C71" s="3311"/>
      <c r="D71" s="356">
        <f ca="1">ROUND(D63*'数据-取费表'!B41/(1+'数据-取费表'!C42),0)</f>
        <v>1015</v>
      </c>
      <c r="E71" s="17" t="s">
        <v>398</v>
      </c>
      <c r="F71" s="358">
        <f>'数据-取费表'!B41</f>
        <v>5.5000000000000007E-2</v>
      </c>
      <c r="G71" s="359"/>
      <c r="H71" s="309"/>
      <c r="I71" s="1290"/>
      <c r="J71" s="2033"/>
      <c r="K71" s="3056" t="s">
        <v>399</v>
      </c>
      <c r="L71" s="3382" t="s">
        <v>400</v>
      </c>
      <c r="M71" s="3382"/>
      <c r="N71" s="3056" t="s">
        <v>401</v>
      </c>
      <c r="O71" s="3056" t="s">
        <v>402</v>
      </c>
      <c r="P71" s="3056" t="s">
        <v>403</v>
      </c>
      <c r="Q71" s="2026"/>
      <c r="R71" s="2026"/>
      <c r="S71" s="2026"/>
      <c r="T71" s="2026"/>
      <c r="U71" s="2026"/>
      <c r="V71" s="2026"/>
    </row>
    <row r="72" spans="1:22" ht="12" customHeight="1">
      <c r="A72" s="357" t="s">
        <v>407</v>
      </c>
      <c r="B72" s="3310" t="s">
        <v>408</v>
      </c>
      <c r="C72" s="3311"/>
      <c r="D72" s="356">
        <f ca="1">C86</f>
        <v>905</v>
      </c>
      <c r="E72" s="73" t="s">
        <v>409</v>
      </c>
      <c r="F72" s="358">
        <f>'数据-取费表'!B41</f>
        <v>5.5000000000000007E-2</v>
      </c>
      <c r="G72" s="359"/>
      <c r="H72" s="1296"/>
      <c r="I72" s="1290"/>
      <c r="J72" s="2033"/>
      <c r="K72" s="1974">
        <v>1</v>
      </c>
      <c r="L72" s="3357" t="s">
        <v>406</v>
      </c>
      <c r="M72" s="3357"/>
      <c r="N72" s="1294">
        <f ca="1">D66</f>
        <v>1015</v>
      </c>
      <c r="O72" s="1857" t="str">
        <f>E66</f>
        <v>销售额×税（费）率</v>
      </c>
      <c r="P72" s="1295">
        <f>F66</f>
        <v>5.5000000000000007E-2</v>
      </c>
      <c r="Q72" s="2026"/>
      <c r="R72" s="2026"/>
      <c r="S72" s="2026"/>
      <c r="T72" s="2026"/>
      <c r="U72" s="2026"/>
      <c r="V72" s="2026"/>
    </row>
    <row r="73" spans="1:22" ht="24" customHeight="1">
      <c r="A73" s="3351" t="s">
        <v>411</v>
      </c>
      <c r="B73" s="3319"/>
      <c r="C73" s="3319"/>
      <c r="D73" s="360">
        <f>IF(H73="个人住宅",0,ROUND(D63*I73,0))</f>
        <v>0</v>
      </c>
      <c r="E73" s="17" t="s">
        <v>412</v>
      </c>
      <c r="F73" s="358" t="str">
        <f>IF(H73="正常",I73,"免征")</f>
        <v>免征</v>
      </c>
      <c r="G73" s="359"/>
      <c r="H73" s="191" t="s">
        <v>2454</v>
      </c>
      <c r="I73" s="358">
        <f>'数据-取费表'!B49</f>
        <v>5.0000000000000001E-4</v>
      </c>
      <c r="J73" s="2033"/>
      <c r="K73" s="1974">
        <v>2</v>
      </c>
      <c r="L73" s="3357" t="s">
        <v>410</v>
      </c>
      <c r="M73" s="3357"/>
      <c r="N73" s="1294">
        <f t="shared" ref="N73:P74" si="1">D73</f>
        <v>0</v>
      </c>
      <c r="O73" s="1857" t="str">
        <f t="shared" si="1"/>
        <v>销售额×税（费）率</v>
      </c>
      <c r="P73" s="1295" t="str">
        <f t="shared" si="1"/>
        <v>免征</v>
      </c>
      <c r="Q73" s="2026"/>
      <c r="R73" s="2026"/>
      <c r="S73" s="2026"/>
      <c r="T73" s="2026"/>
      <c r="U73" s="2026"/>
      <c r="V73" s="2026"/>
    </row>
    <row r="74" spans="1:22" ht="24.75">
      <c r="A74" s="3351" t="s">
        <v>415</v>
      </c>
      <c r="B74" s="3319"/>
      <c r="C74" s="3319"/>
      <c r="D74" s="360">
        <f ca="1">IF(H74="个人住宅",D75,D76)</f>
        <v>10334</v>
      </c>
      <c r="E74" s="17" t="s">
        <v>416</v>
      </c>
      <c r="F74" s="358" t="str">
        <f>IF(H74="正常",F76,"免征")</f>
        <v>——</v>
      </c>
      <c r="G74" s="981" t="s">
        <v>417</v>
      </c>
      <c r="H74" s="361" t="s">
        <v>413</v>
      </c>
      <c r="I74" s="42"/>
      <c r="J74" s="2033"/>
      <c r="K74" s="1974">
        <v>3</v>
      </c>
      <c r="L74" s="3357" t="s">
        <v>414</v>
      </c>
      <c r="M74" s="3357"/>
      <c r="N74" s="1294">
        <f t="shared" ca="1" si="1"/>
        <v>10334</v>
      </c>
      <c r="O74" s="1857" t="str">
        <f t="shared" si="1"/>
        <v>增值额×税（费）率</v>
      </c>
      <c r="P74" s="1297" t="str">
        <f t="shared" si="1"/>
        <v>——</v>
      </c>
      <c r="Q74" s="2026"/>
      <c r="R74" s="2026"/>
      <c r="S74" s="2026"/>
      <c r="T74" s="2026"/>
      <c r="U74" s="2026"/>
      <c r="V74" s="2026"/>
    </row>
    <row r="75" spans="1:22" ht="24">
      <c r="A75" s="357" t="s">
        <v>418</v>
      </c>
      <c r="B75" s="3307" t="s">
        <v>419</v>
      </c>
      <c r="C75" s="3337"/>
      <c r="D75" s="362">
        <v>0</v>
      </c>
      <c r="E75" s="41" t="s">
        <v>420</v>
      </c>
      <c r="F75" s="363"/>
      <c r="G75" s="359"/>
      <c r="H75" s="42"/>
      <c r="I75" s="42"/>
      <c r="J75" s="2033"/>
      <c r="K75" s="3049">
        <f>IF(H77="非个人房产","",4)</f>
        <v>4</v>
      </c>
      <c r="L75" s="3357" t="str">
        <f>IF(H77="非个人房产","——","个人所得税")</f>
        <v>个人所得税</v>
      </c>
      <c r="M75" s="3357"/>
      <c r="N75" s="1298">
        <f ca="1">D77</f>
        <v>194</v>
      </c>
      <c r="O75" s="1870" t="str">
        <f>E77</f>
        <v>销售额×税（费）率</v>
      </c>
      <c r="P75" s="1299">
        <f>F77</f>
        <v>0.01</v>
      </c>
      <c r="Q75" s="2026"/>
      <c r="R75" s="2026"/>
      <c r="S75" s="2026"/>
      <c r="T75" s="2026"/>
      <c r="U75" s="2026"/>
      <c r="V75" s="2026"/>
    </row>
    <row r="76" spans="1:22" ht="24.75">
      <c r="A76" s="357" t="s">
        <v>396</v>
      </c>
      <c r="B76" s="3307" t="s">
        <v>422</v>
      </c>
      <c r="C76" s="3308"/>
      <c r="D76" s="360">
        <f ca="1">IF(H76="转让取得",C99,C115)</f>
        <v>10334</v>
      </c>
      <c r="E76" s="17" t="s">
        <v>423</v>
      </c>
      <c r="F76" s="53" t="s">
        <v>21</v>
      </c>
      <c r="G76" s="359"/>
      <c r="H76" s="361" t="s">
        <v>424</v>
      </c>
      <c r="I76" s="42"/>
      <c r="J76" s="2033"/>
      <c r="K76" s="3049" t="str">
        <f>IF(项目基本情况!K6="上海银行",IF(K75="",4,K75+1),"")</f>
        <v/>
      </c>
      <c r="L76" s="3368" t="str">
        <f>IF(项目基本情况!K6="上海银行","其他处置费用","")</f>
        <v/>
      </c>
      <c r="M76" s="3369"/>
      <c r="N76" s="1294" t="str">
        <f>IF(项目基本情况!K6="上海银行",N89,"")</f>
        <v/>
      </c>
      <c r="O76" s="3370" t="str">
        <f>IF(项目基本情况!K6="上海银行","包含处置中涉及的律师、诉讼、拍卖、评估等费用","")</f>
        <v/>
      </c>
      <c r="P76" s="3371"/>
      <c r="Q76" s="2026"/>
      <c r="R76" s="2026"/>
      <c r="S76" s="2026"/>
      <c r="T76" s="2026"/>
      <c r="U76" s="2026"/>
      <c r="V76" s="2026"/>
    </row>
    <row r="77" spans="1:22" ht="26.25" thickBot="1">
      <c r="A77" s="3359" t="s">
        <v>426</v>
      </c>
      <c r="B77" s="3360"/>
      <c r="C77" s="3360"/>
      <c r="D77" s="364">
        <f ca="1">IF(H77="非个人房产","——",IF(H77="个人住宅",0,ROUND(D63*I77,0)))</f>
        <v>194</v>
      </c>
      <c r="E77" s="365" t="str">
        <f>IF(H77="非个人房产","——","销售额×税（费）率")</f>
        <v>销售额×税（费）率</v>
      </c>
      <c r="F77" s="366">
        <f>IF(H77="非个人房产","——",IF(H77="个人住宅","免征",I77))</f>
        <v>0.01</v>
      </c>
      <c r="G77" s="982" t="s">
        <v>417</v>
      </c>
      <c r="H77" s="361" t="s">
        <v>2874</v>
      </c>
      <c r="I77" s="367">
        <v>0.01</v>
      </c>
      <c r="J77" s="2033"/>
      <c r="K77" s="3358">
        <f>IF(AND(K75="",K76=""),4,IF(项目基本情况!K6="上海银行",K76+1,K75+1))</f>
        <v>5</v>
      </c>
      <c r="L77" s="3357" t="s">
        <v>2875</v>
      </c>
      <c r="M77" s="3055" t="s">
        <v>421</v>
      </c>
      <c r="N77" s="1300"/>
      <c r="O77" s="1301">
        <f ca="1">SUMIF(N72:N76,"&lt;9e307")</f>
        <v>11543</v>
      </c>
      <c r="P77" s="1302"/>
      <c r="Q77" s="3053">
        <f ca="1">O77/N69</f>
        <v>0.35726887245040084</v>
      </c>
      <c r="R77" s="2026"/>
      <c r="S77" s="2026"/>
      <c r="T77" s="2026"/>
      <c r="U77" s="2026"/>
      <c r="V77" s="2026"/>
    </row>
    <row r="78" spans="1:22" ht="12" customHeight="1">
      <c r="A78" s="1303"/>
      <c r="B78" s="309"/>
      <c r="C78" s="309"/>
      <c r="D78" s="309"/>
      <c r="E78" s="42"/>
      <c r="F78" s="42"/>
      <c r="G78" s="42"/>
      <c r="H78" s="1001"/>
      <c r="I78" s="309"/>
      <c r="J78" s="2033"/>
      <c r="K78" s="3358"/>
      <c r="L78" s="3357"/>
      <c r="M78" s="3055" t="s">
        <v>425</v>
      </c>
      <c r="N78" s="1300"/>
      <c r="O78" s="1301" t="str">
        <f ca="1">NUMBERSTRING(INT(O77*10000),2)&amp;"元整"</f>
        <v>壹亿壹仟伍佰肆拾叁万元整</v>
      </c>
      <c r="P78" s="1302"/>
      <c r="Q78" s="2026"/>
      <c r="R78" s="2026"/>
      <c r="S78" s="2026"/>
      <c r="T78" s="2026"/>
      <c r="U78" s="2026"/>
      <c r="V78" s="2026"/>
    </row>
    <row r="79" spans="1:22" ht="13.5" thickBot="1">
      <c r="A79" s="3352" t="s">
        <v>427</v>
      </c>
      <c r="B79" s="3352"/>
      <c r="C79" s="3352"/>
      <c r="D79" s="3352"/>
      <c r="E79" s="3352"/>
      <c r="F79" s="42"/>
      <c r="G79" s="42"/>
      <c r="H79" s="1001"/>
      <c r="I79" s="309"/>
      <c r="J79" s="2033"/>
      <c r="K79" s="3378">
        <f>K77+1</f>
        <v>6</v>
      </c>
      <c r="L79" s="3357" t="s">
        <v>2876</v>
      </c>
      <c r="M79" s="3055" t="s">
        <v>421</v>
      </c>
      <c r="N79" s="1300"/>
      <c r="O79" s="1301">
        <f ca="1">N69-O77</f>
        <v>20766</v>
      </c>
      <c r="P79" s="1302"/>
      <c r="Q79" s="2026"/>
      <c r="R79" s="2026"/>
      <c r="S79" s="2026"/>
      <c r="T79" s="2026"/>
      <c r="U79" s="2026"/>
      <c r="V79" s="2026"/>
    </row>
    <row r="80" spans="1:22" ht="25.5">
      <c r="A80" s="3347" t="s">
        <v>428</v>
      </c>
      <c r="B80" s="3348"/>
      <c r="C80" s="992"/>
      <c r="D80" s="992" t="s">
        <v>429</v>
      </c>
      <c r="E80" s="368" t="s">
        <v>430</v>
      </c>
      <c r="F80" s="42"/>
      <c r="G80" s="42"/>
      <c r="H80" s="1001"/>
      <c r="I80" s="309"/>
      <c r="J80" s="2026"/>
      <c r="K80" s="3379"/>
      <c r="L80" s="3357"/>
      <c r="M80" s="3055" t="s">
        <v>425</v>
      </c>
      <c r="N80" s="1300"/>
      <c r="O80" s="1301" t="str">
        <f ca="1">NUMBERSTRING(INT(O79*10000),2)&amp;"元整"</f>
        <v>贰亿零柒佰陆拾陆万元整</v>
      </c>
      <c r="P80" s="1302"/>
      <c r="Q80" s="2026"/>
      <c r="R80" s="2026"/>
      <c r="S80" s="2026"/>
      <c r="T80" s="2026"/>
      <c r="U80" s="2026"/>
      <c r="V80" s="2026"/>
    </row>
    <row r="81" spans="1:26" ht="13.5" thickBot="1">
      <c r="A81" s="379" t="s">
        <v>1824</v>
      </c>
      <c r="B81" s="369" t="s">
        <v>431</v>
      </c>
      <c r="C81" s="370">
        <f ca="1">ROUND((C82+C83)/(1+'数据-取费表'!C42),0)</f>
        <v>18462</v>
      </c>
      <c r="D81" s="371"/>
      <c r="E81" s="372"/>
      <c r="F81" s="42"/>
      <c r="G81" s="42"/>
      <c r="H81" s="1001"/>
      <c r="I81" s="309"/>
      <c r="J81" s="2026"/>
      <c r="K81" s="3049">
        <f>K79+1</f>
        <v>7</v>
      </c>
      <c r="L81" s="3355" t="s">
        <v>2877</v>
      </c>
      <c r="M81" s="3356"/>
      <c r="N81" s="1304"/>
      <c r="O81" s="1305">
        <f ca="1">ROUND(O79*10000/'数据-汇总表'!E3,0)</f>
        <v>1061</v>
      </c>
      <c r="P81" s="1306"/>
      <c r="Q81" s="2026"/>
      <c r="R81" s="2026"/>
      <c r="S81" s="2026"/>
      <c r="T81" s="2026"/>
      <c r="U81" s="2026"/>
      <c r="V81" s="2026"/>
    </row>
    <row r="82" spans="1:26" ht="13.5" thickTop="1">
      <c r="A82" s="373" t="s">
        <v>1825</v>
      </c>
      <c r="B82" s="374" t="s">
        <v>432</v>
      </c>
      <c r="C82" s="375">
        <f ca="1">D63</f>
        <v>19385</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2"/>
      <c r="G83" s="42"/>
      <c r="H83" s="1001"/>
      <c r="I83" s="309"/>
      <c r="J83" s="2026"/>
      <c r="K83" s="3367" t="s">
        <v>2864</v>
      </c>
      <c r="L83" s="3061" t="s">
        <v>2865</v>
      </c>
      <c r="M83" s="3051">
        <f ca="1">IF(N69&gt;10000,N69*0.5%,IF(AND(N69&gt;1000,N69&lt;=10000),N69*1%,IF(AND(N69&gt;100,N69&lt;=1000),N69*3%,IF(AND(N69&gt;10,N69&lt;=100),N69*5%,N69*8%))))</f>
        <v>161.54500000000002</v>
      </c>
      <c r="N83" s="53">
        <f ca="1">ROUND(M83,1)</f>
        <v>161.5</v>
      </c>
      <c r="O83" s="3054"/>
      <c r="P83" s="2026"/>
      <c r="Q83" s="2026"/>
      <c r="R83" s="2026"/>
      <c r="S83" s="2026"/>
      <c r="T83" s="2026"/>
      <c r="U83" s="2026"/>
      <c r="V83" s="2026"/>
    </row>
    <row r="84" spans="1:26" ht="12.75">
      <c r="A84" s="379" t="s">
        <v>1827</v>
      </c>
      <c r="B84" s="380" t="s">
        <v>434</v>
      </c>
      <c r="C84" s="381">
        <v>2000</v>
      </c>
      <c r="D84" s="382" t="s">
        <v>19</v>
      </c>
      <c r="E84" s="3095" t="s">
        <v>2926</v>
      </c>
      <c r="F84" s="42"/>
      <c r="G84" s="42"/>
      <c r="H84" s="1001"/>
      <c r="I84" s="309"/>
      <c r="J84" s="2026"/>
      <c r="K84" s="3367"/>
      <c r="L84" s="3061" t="s">
        <v>2866</v>
      </c>
      <c r="M84" s="3051">
        <f ca="1">IF(N69&gt;2000,N69*0.5%,IF(AND(N69&gt;1000,N69&lt;=2000),N69*0.6%,IF(AND(N69&gt;500,N69&lt;=1000),N69*0.7%,IF(AND(N69&gt;200,N69&lt;=500),N69*0.8%,IF(AND(N69&gt;100,N69&lt;=200),N69*0.9%,IF(AND(N69&gt;50,N69&lt;=100),N69*1%,IF(AND(N69&gt;20,N69&lt;=50),N69*1.5%,IF(AND(N69&gt;10,N69&lt;=20),N69*2%,IF(AND(N69&gt;1,N69&lt;=10),N69*2.5%)))))))))</f>
        <v>161.54500000000002</v>
      </c>
      <c r="N84" s="53">
        <f t="shared" ref="N84:N85" ca="1" si="2">ROUND(M84,1)</f>
        <v>161.5</v>
      </c>
      <c r="O84" s="2026" t="s">
        <v>2867</v>
      </c>
      <c r="P84" s="2026"/>
      <c r="Q84" s="2026"/>
      <c r="R84" s="2026"/>
      <c r="S84" s="2026"/>
      <c r="T84" s="2026"/>
      <c r="U84" s="2026"/>
      <c r="V84" s="2026"/>
    </row>
    <row r="85" spans="1:26" ht="12.75">
      <c r="A85" s="379" t="s">
        <v>1828</v>
      </c>
      <c r="B85" s="380" t="s">
        <v>435</v>
      </c>
      <c r="C85" s="383">
        <f ca="1">C81-C84</f>
        <v>16462</v>
      </c>
      <c r="D85" s="376" t="s">
        <v>19</v>
      </c>
      <c r="E85" s="377"/>
      <c r="F85" s="42"/>
      <c r="G85" s="42"/>
      <c r="H85" s="1001"/>
      <c r="I85" s="309"/>
      <c r="J85" s="2026"/>
      <c r="K85" s="3367"/>
      <c r="L85" s="3061" t="s">
        <v>2868</v>
      </c>
      <c r="M85" s="3051">
        <f ca="1">IF(N69&gt;1000,N69*0.1%,IF(AND(N69&gt;500,N69&lt;=1000),N69*0.5%,IF(AND(N69&gt;50,N69&lt;=500),N69*1%,IF(AND(N69&gt;1,N69&lt;=50),N69*1.5%))))</f>
        <v>32.308999999999997</v>
      </c>
      <c r="N85" s="53">
        <f t="shared" ca="1" si="2"/>
        <v>32.299999999999997</v>
      </c>
      <c r="O85" s="2026" t="s">
        <v>2867</v>
      </c>
      <c r="P85" s="2026"/>
      <c r="Q85" s="2026"/>
      <c r="R85" s="2026"/>
      <c r="S85" s="2026"/>
      <c r="T85" s="2026"/>
      <c r="U85" s="2026"/>
      <c r="V85" s="2026"/>
    </row>
    <row r="86" spans="1:26" ht="13.5" thickBot="1">
      <c r="A86" s="384" t="s">
        <v>1829</v>
      </c>
      <c r="B86" s="385" t="s">
        <v>436</v>
      </c>
      <c r="C86" s="386">
        <f ca="1">IF(C85&lt;=0,0,ROUND(C85*D86,0))</f>
        <v>905</v>
      </c>
      <c r="D86" s="387">
        <f>'数据-取费表'!B41</f>
        <v>5.5000000000000007E-2</v>
      </c>
      <c r="E86" s="388"/>
      <c r="F86" s="42"/>
      <c r="G86" s="42"/>
      <c r="H86" s="1001"/>
      <c r="I86" s="309"/>
      <c r="J86" s="2026"/>
      <c r="K86" s="3367"/>
      <c r="L86" s="3061" t="s">
        <v>2869</v>
      </c>
      <c r="M86" s="3051">
        <f ca="1">N69*0.5%</f>
        <v>161.54500000000002</v>
      </c>
      <c r="N86" s="53">
        <f ca="1">IF(M86&gt;0.5,0.5,ROUND(M86,0))</f>
        <v>0.5</v>
      </c>
      <c r="O86" s="2026" t="s">
        <v>2870</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3367"/>
      <c r="L87" s="3061" t="s">
        <v>2871</v>
      </c>
      <c r="M87" s="3051">
        <f ca="1">IF(N69&gt;=10000,(8.25+(N69-10000)*0.01%),IF(AND(N69&gt;=8000,N69&lt;10000),(7.85+(N69-8000)*0.02%),IF(AND(N69&gt;=5000,N69&lt;8000),(6.65+(N69-5000)*0.04%),IF(AND(N69&gt;=2000,N69&lt;5000),(4.25+(PN69-2000)*0.08%),IF(AND(N69&gt;=1000,N69&lt;2000),(2.75+(N69-1000)*0.15%),IF(AND(N69&gt;=100,N69&lt;1000),(0.5+(N69-100)*0.25%),IF(AND(N69&gt;0,N69&lt;100),N69*0.5%)))))))</f>
        <v>10.4809</v>
      </c>
      <c r="N87" s="53">
        <f ca="1">ROUND(M87*0.9,1)</f>
        <v>9.4</v>
      </c>
      <c r="O87" s="3054"/>
      <c r="P87" s="309"/>
      <c r="Q87" s="2026"/>
      <c r="R87" s="2026"/>
      <c r="S87" s="2026"/>
      <c r="T87" s="2026"/>
      <c r="U87" s="2026"/>
      <c r="V87" s="2026"/>
      <c r="W87" s="290"/>
      <c r="X87" s="290"/>
      <c r="Y87" s="290"/>
      <c r="Z87" s="290"/>
    </row>
    <row r="88" spans="1:26" s="1312" customFormat="1" ht="15" thickBot="1">
      <c r="A88" s="3349" t="s">
        <v>437</v>
      </c>
      <c r="B88" s="3350"/>
      <c r="C88" s="3350"/>
      <c r="D88" s="3350"/>
      <c r="E88" s="3350"/>
      <c r="F88" s="3350"/>
      <c r="G88" s="3350"/>
      <c r="H88" s="3350"/>
      <c r="I88" s="1313"/>
      <c r="J88" s="2034"/>
      <c r="K88" s="3367"/>
      <c r="L88" s="3061" t="s">
        <v>2872</v>
      </c>
      <c r="M88" s="3051">
        <f ca="1">IF(N69&gt;10000,N69*0.5%,IF(AND(N69&gt;5000,N69&lt;=10000),N69*1%,IF(AND(N69&gt;1000,N69&lt;=5000),N69*2%,IF(AND(N69&gt;200,N69&lt;=1000),N69*3%,N69*5%))))</f>
        <v>161.54500000000002</v>
      </c>
      <c r="N88" s="53">
        <f ca="1">ROUND(M88,1)</f>
        <v>161.5</v>
      </c>
      <c r="O88" s="3054"/>
      <c r="P88" s="11"/>
      <c r="Q88" s="2031"/>
      <c r="R88" s="2031"/>
      <c r="S88" s="2031"/>
      <c r="T88" s="2031"/>
      <c r="U88" s="2031"/>
      <c r="V88" s="2031"/>
      <c r="W88" s="2035"/>
      <c r="X88" s="2035"/>
      <c r="Y88" s="2035"/>
      <c r="Z88" s="2035"/>
    </row>
    <row r="89" spans="1:26" s="1312" customFormat="1" ht="14.25">
      <c r="A89" s="3347" t="s">
        <v>428</v>
      </c>
      <c r="B89" s="3348"/>
      <c r="C89" s="992"/>
      <c r="D89" s="992" t="s">
        <v>429</v>
      </c>
      <c r="E89" s="389" t="s">
        <v>438</v>
      </c>
      <c r="F89" s="390"/>
      <c r="G89" s="390"/>
      <c r="H89" s="391"/>
      <c r="I89" s="1314"/>
      <c r="J89" s="2036"/>
      <c r="K89" s="3367"/>
      <c r="L89" s="3061" t="s">
        <v>27</v>
      </c>
      <c r="M89" s="3052"/>
      <c r="N89" s="53">
        <f ca="1">ROUND(SUM(N83:N88),0)</f>
        <v>527</v>
      </c>
      <c r="O89" s="3062">
        <f ca="1">N89/N69</f>
        <v>1.631124454486366E-2</v>
      </c>
      <c r="P89" s="2031"/>
      <c r="Q89" s="2031"/>
      <c r="R89" s="2031"/>
      <c r="S89" s="2031"/>
      <c r="T89" s="2031"/>
      <c r="U89" s="2031"/>
      <c r="V89" s="2031"/>
      <c r="W89" s="2035"/>
      <c r="X89" s="2035"/>
      <c r="Y89" s="2035"/>
      <c r="Z89" s="2035"/>
    </row>
    <row r="90" spans="1:26" s="1312" customFormat="1" ht="14.25">
      <c r="A90" s="379" t="s">
        <v>1824</v>
      </c>
      <c r="B90" s="380" t="s">
        <v>439</v>
      </c>
      <c r="C90" s="383">
        <f ca="1">ROUND(D63/(1+'数据-取费表'!C42),0)</f>
        <v>18462</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1830</v>
      </c>
      <c r="B91" s="346" t="s">
        <v>440</v>
      </c>
      <c r="C91" s="383">
        <f ca="1">C92+C96</f>
        <v>2653</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1833</v>
      </c>
      <c r="B94" s="398" t="s">
        <v>446</v>
      </c>
      <c r="C94" s="376">
        <f>IF(F93="购房发票",ROUND(C93*H93*5%,0),0)</f>
        <v>500</v>
      </c>
      <c r="D94" s="399">
        <v>0.05</v>
      </c>
      <c r="E94" s="3310" t="s">
        <v>447</v>
      </c>
      <c r="F94" s="3309"/>
      <c r="G94" s="3309"/>
      <c r="H94" s="3346"/>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2428</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1835</v>
      </c>
      <c r="B96" s="374" t="s">
        <v>450</v>
      </c>
      <c r="C96" s="403">
        <f ca="1">ROUND(D63*D96/(1+'数据-取费表'!C42),0)</f>
        <v>92</v>
      </c>
      <c r="D96" s="404">
        <f>'数据-取费表'!B43</f>
        <v>5.000000000000001E-3</v>
      </c>
      <c r="E96" s="3338" t="s">
        <v>2427</v>
      </c>
      <c r="F96" s="3339"/>
      <c r="G96" s="3339"/>
      <c r="H96" s="3340"/>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1836</v>
      </c>
      <c r="B97" s="380" t="s">
        <v>451</v>
      </c>
      <c r="C97" s="383">
        <f ca="1">C90-C91</f>
        <v>15809</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1837</v>
      </c>
      <c r="B98" s="380" t="s">
        <v>452</v>
      </c>
      <c r="C98" s="405">
        <f ca="1">IF(C97&lt;=0,0,C97/C91)</f>
        <v>5.9589144364869959</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1838</v>
      </c>
      <c r="B99" s="385" t="s">
        <v>453</v>
      </c>
      <c r="C99" s="406">
        <f ca="1">ROUND(IF(C97&lt;=0,0,IF(C98&gt;=200%,C97*60%-C91*35%,IF(C98&gt;=100%,C97*50%-C91*15%,IF(C98&gt;=50%,C97*40%-C91*5%,IF(C98&lt;50%,C97*30%,0))))),0)</f>
        <v>8557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49" t="s">
        <v>454</v>
      </c>
      <c r="B101" s="3350"/>
      <c r="C101" s="3350"/>
      <c r="D101" s="3350"/>
      <c r="E101" s="3350"/>
      <c r="F101" s="3350"/>
      <c r="G101" s="3350"/>
      <c r="H101" s="3350"/>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47" t="s">
        <v>428</v>
      </c>
      <c r="B102" s="3348"/>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1824</v>
      </c>
      <c r="B103" s="380" t="s">
        <v>439</v>
      </c>
      <c r="C103" s="383">
        <f ca="1">ROUND(D63/(1+'数据-取费表'!C42),0)</f>
        <v>18462</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1830</v>
      </c>
      <c r="B104" s="346" t="s">
        <v>440</v>
      </c>
      <c r="C104" s="383">
        <f ca="1">IF(H106="仅含出让金",C105+C108+C109+C110+C111+C112,C105+C109+C110+C111+C112)</f>
        <v>782</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1831</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1832</v>
      </c>
      <c r="B106" s="374" t="s">
        <v>456</v>
      </c>
      <c r="C106" s="414">
        <v>555</v>
      </c>
      <c r="D106" s="404"/>
      <c r="E106" s="415" t="s">
        <v>457</v>
      </c>
      <c r="F106" s="984"/>
      <c r="G106" s="416" t="s">
        <v>458</v>
      </c>
      <c r="H106" s="417"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1839</v>
      </c>
      <c r="B109" s="374" t="s">
        <v>461</v>
      </c>
      <c r="C109" s="403">
        <f>IF(H109="——",IF(F1="现房",'剩余法-现房'!C18,'剩余法-待开发'!C18),I109)</f>
        <v>55</v>
      </c>
      <c r="D109" s="404"/>
      <c r="E109" s="3341" t="s">
        <v>462</v>
      </c>
      <c r="F109" s="3339"/>
      <c r="G109" s="3339"/>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1840</v>
      </c>
      <c r="B110" s="374" t="s">
        <v>463</v>
      </c>
      <c r="C110" s="403">
        <f>ROUND((C105+C108+C109)*D110,0)</f>
        <v>63</v>
      </c>
      <c r="D110" s="404">
        <v>0.1</v>
      </c>
      <c r="E110" s="3341" t="s">
        <v>464</v>
      </c>
      <c r="F110" s="3339"/>
      <c r="G110" s="3339"/>
      <c r="H110" s="3340"/>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1841</v>
      </c>
      <c r="B111" s="374" t="s">
        <v>450</v>
      </c>
      <c r="C111" s="403">
        <f ca="1">ROUND(D63*D111/(1+'数据-取费表'!C42),0)</f>
        <v>92</v>
      </c>
      <c r="D111" s="404">
        <f>'数据-取费表'!B43</f>
        <v>5.000000000000001E-3</v>
      </c>
      <c r="E111" s="3338" t="s">
        <v>2427</v>
      </c>
      <c r="F111" s="3339"/>
      <c r="G111" s="3339"/>
      <c r="H111" s="3340"/>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1842</v>
      </c>
      <c r="B112" s="374" t="s">
        <v>465</v>
      </c>
      <c r="C112" s="403">
        <f>ROUND(C108*D112,0)</f>
        <v>0</v>
      </c>
      <c r="D112" s="404">
        <v>0.2</v>
      </c>
      <c r="E112" s="3341" t="s">
        <v>2452</v>
      </c>
      <c r="F112" s="3339"/>
      <c r="G112" s="3339"/>
      <c r="H112" s="3340"/>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1836</v>
      </c>
      <c r="B113" s="380" t="s">
        <v>451</v>
      </c>
      <c r="C113" s="383">
        <f ca="1">ROUND(C103-C104,0)</f>
        <v>17680</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1837</v>
      </c>
      <c r="B114" s="380" t="s">
        <v>452</v>
      </c>
      <c r="C114" s="405">
        <f ca="1">IF(C113&lt;=0,0,C113/C104)</f>
        <v>22.608695652173914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1838</v>
      </c>
      <c r="B115" s="385" t="s">
        <v>453</v>
      </c>
      <c r="C115" s="406">
        <f ca="1">ROUND(IF(C113&lt;=0,0,IF(C114&gt;=200%,C113*60%-C104*35%,IF(C114&gt;=100%,C113*50%-C104*15%,IF(C114&gt;=50%,C113*40%-C104*5%,IF(C114&lt;50%,C113*30%,0))))),0)</f>
        <v>10334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H29" sqref="H2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f>F68</f>
        <v>16978</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f>ROUND(B2*10000/'数据-汇总表'!E3,0)</f>
        <v>868</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30" s="1334" customFormat="1" ht="28.5" customHeight="1">
      <c r="A4" s="509" t="s">
        <v>520</v>
      </c>
      <c r="B4" s="425">
        <f>IF(B48="单位面积地价",C50,ROUND(B2*10000/'数据-汇总表'!D3,0))</f>
        <v>2631</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175</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6"/>
    </row>
    <row r="6" spans="1:30" ht="20.25">
      <c r="A6" s="510" t="s">
        <v>521</v>
      </c>
      <c r="B6" s="511"/>
      <c r="C6" s="3392" t="s">
        <v>522</v>
      </c>
      <c r="D6" s="3393"/>
      <c r="E6" s="3392" t="s">
        <v>523</v>
      </c>
      <c r="F6" s="3393"/>
      <c r="G6" s="3392" t="s">
        <v>524</v>
      </c>
      <c r="H6" s="3393"/>
      <c r="I6" s="3392" t="s">
        <v>525</v>
      </c>
      <c r="J6" s="3393"/>
      <c r="K6" s="512" t="s">
        <v>526</v>
      </c>
      <c r="L6" s="2131"/>
      <c r="M6" s="2130"/>
      <c r="N6" s="2130"/>
      <c r="O6" s="2132"/>
      <c r="P6" s="3394" t="s">
        <v>527</v>
      </c>
      <c r="Q6" s="3395"/>
      <c r="R6" s="3400" t="s">
        <v>523</v>
      </c>
      <c r="S6" s="3401"/>
      <c r="T6" s="3400" t="s">
        <v>524</v>
      </c>
      <c r="U6" s="3401"/>
      <c r="V6" s="3387" t="s">
        <v>525</v>
      </c>
      <c r="W6" s="3387"/>
      <c r="X6" s="1566"/>
      <c r="Y6" s="3400" t="s">
        <v>527</v>
      </c>
      <c r="Z6" s="3401"/>
      <c r="AA6" s="3389" t="s">
        <v>523</v>
      </c>
      <c r="AB6" s="3390" t="s">
        <v>524</v>
      </c>
      <c r="AC6" s="3389" t="s">
        <v>525</v>
      </c>
    </row>
    <row r="7" spans="1:30" ht="20.25">
      <c r="A7" s="513"/>
      <c r="B7" s="514"/>
      <c r="C7" s="3410" t="s">
        <v>3265</v>
      </c>
      <c r="D7" s="3409"/>
      <c r="E7" s="3408" t="str">
        <f>土地案例!A1</f>
        <v>土木镇土木村</v>
      </c>
      <c r="F7" s="3409"/>
      <c r="G7" s="3408" t="str">
        <f>土地案例!A2</f>
        <v>沙城镇七街村</v>
      </c>
      <c r="H7" s="3409"/>
      <c r="I7" s="3408" t="str">
        <f>土地案例!A3</f>
        <v>沙城镇九街村</v>
      </c>
      <c r="J7" s="3409"/>
      <c r="K7" s="512"/>
      <c r="L7" s="2131"/>
      <c r="M7" s="2130"/>
      <c r="N7" s="2130"/>
      <c r="O7" s="2132"/>
      <c r="P7" s="3396"/>
      <c r="Q7" s="3397"/>
      <c r="R7" s="3402"/>
      <c r="S7" s="3403"/>
      <c r="T7" s="3402"/>
      <c r="U7" s="3403"/>
      <c r="V7" s="3387"/>
      <c r="W7" s="3387"/>
      <c r="X7" s="1566"/>
      <c r="Y7" s="3402"/>
      <c r="Z7" s="3403"/>
      <c r="AA7" s="3390"/>
      <c r="AB7" s="3390"/>
      <c r="AC7" s="3390"/>
    </row>
    <row r="8" spans="1:30" ht="21" thickBot="1">
      <c r="A8" s="513"/>
      <c r="B8" s="514"/>
      <c r="C8" s="3406" t="s">
        <v>3266</v>
      </c>
      <c r="D8" s="3407"/>
      <c r="E8" s="3406" t="s">
        <v>3266</v>
      </c>
      <c r="F8" s="3407"/>
      <c r="G8" s="3406" t="s">
        <v>3266</v>
      </c>
      <c r="H8" s="3407"/>
      <c r="I8" s="3406" t="s">
        <v>3266</v>
      </c>
      <c r="J8" s="3407"/>
      <c r="K8" s="512" t="s">
        <v>528</v>
      </c>
      <c r="L8" s="2131"/>
      <c r="M8" s="2130"/>
      <c r="N8" s="2130"/>
      <c r="O8" s="2132"/>
      <c r="P8" s="3398"/>
      <c r="Q8" s="3399"/>
      <c r="R8" s="3402"/>
      <c r="S8" s="3403"/>
      <c r="T8" s="3404"/>
      <c r="U8" s="3405"/>
      <c r="V8" s="3387"/>
      <c r="W8" s="3387"/>
      <c r="X8" s="1566"/>
      <c r="Y8" s="3404"/>
      <c r="Z8" s="3405"/>
      <c r="AA8" s="3391"/>
      <c r="AB8" s="3391"/>
      <c r="AC8" s="3391"/>
    </row>
    <row r="9" spans="1:30" s="1218" customFormat="1" ht="21" thickBot="1">
      <c r="A9" s="2910"/>
      <c r="B9" s="2917" t="s">
        <v>529</v>
      </c>
      <c r="C9" s="2909">
        <f>'数据-取费表'!B2</f>
        <v>43361</v>
      </c>
      <c r="D9" s="518">
        <v>100</v>
      </c>
      <c r="E9" s="519" t="str">
        <f>土地案例!AA1</f>
        <v>2018-07-20</v>
      </c>
      <c r="F9" s="520">
        <f>SUMIF(72:72,YEAR(E9)&amp;"-"&amp;INT((MONTH(E9)+2)/3),73:73)</f>
        <v>100</v>
      </c>
      <c r="G9" s="521" t="str">
        <f>土地案例!AA2</f>
        <v>2018-07-16</v>
      </c>
      <c r="H9" s="518">
        <f>SUMIF(72:72,YEAR(G9)&amp;"-"&amp;INT((MONTH(G9)+2)/3),73:73)</f>
        <v>100</v>
      </c>
      <c r="I9" s="521" t="str">
        <f>土地案例!AA3</f>
        <v>2018-03-15</v>
      </c>
      <c r="J9" s="518">
        <f>SUMIF(72:72,YEAR(I9)&amp;"-"&amp;INT((MONTH(I9)+2)/3),73:73)</f>
        <v>99</v>
      </c>
      <c r="K9" s="522"/>
      <c r="L9" s="2133"/>
      <c r="M9" s="2130"/>
      <c r="N9" s="2130"/>
      <c r="O9" s="2134"/>
      <c r="P9" s="3416" t="s">
        <v>530</v>
      </c>
      <c r="Q9" s="3418"/>
      <c r="R9" s="1567" t="s">
        <v>8</v>
      </c>
      <c r="S9" s="1568">
        <f t="shared" ref="S9:S17" si="0">F9</f>
        <v>100</v>
      </c>
      <c r="T9" s="1567" t="s">
        <v>8</v>
      </c>
      <c r="U9" s="1568">
        <f t="shared" ref="U9:U17" si="1">H9</f>
        <v>100</v>
      </c>
      <c r="V9" s="1567" t="s">
        <v>8</v>
      </c>
      <c r="W9" s="1568">
        <f t="shared" ref="W9:W17" si="2">J9</f>
        <v>99</v>
      </c>
      <c r="X9" s="1569"/>
      <c r="Y9" s="3416" t="s">
        <v>530</v>
      </c>
      <c r="Z9" s="3417"/>
      <c r="AA9" s="1570">
        <f>D9/F9</f>
        <v>1</v>
      </c>
      <c r="AB9" s="1570">
        <f>D9/H9</f>
        <v>1</v>
      </c>
      <c r="AC9" s="1570">
        <f>D9/J9</f>
        <v>1.0101010101010102</v>
      </c>
    </row>
    <row r="10" spans="1:30" s="1218" customFormat="1" ht="21" thickBot="1">
      <c r="A10" s="2911"/>
      <c r="B10" s="2918"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3"/>
      <c r="M10" s="2130"/>
      <c r="N10" s="2130"/>
      <c r="O10" s="2134"/>
      <c r="P10" s="3416" t="s">
        <v>533</v>
      </c>
      <c r="Q10" s="3417"/>
      <c r="R10" s="1567" t="s">
        <v>8</v>
      </c>
      <c r="S10" s="1568">
        <f t="shared" si="0"/>
        <v>100</v>
      </c>
      <c r="T10" s="1567" t="s">
        <v>8</v>
      </c>
      <c r="U10" s="1568">
        <f t="shared" si="1"/>
        <v>100</v>
      </c>
      <c r="V10" s="1567" t="s">
        <v>8</v>
      </c>
      <c r="W10" s="1568">
        <f t="shared" si="2"/>
        <v>100</v>
      </c>
      <c r="X10" s="1569"/>
      <c r="Y10" s="3416" t="s">
        <v>533</v>
      </c>
      <c r="Z10" s="3417"/>
      <c r="AA10" s="1570">
        <f t="shared" ref="AA10:AA47" si="3">D10/F10</f>
        <v>1</v>
      </c>
      <c r="AB10" s="1570">
        <f t="shared" ref="AB10:AB47" si="4">D10/H10</f>
        <v>1</v>
      </c>
      <c r="AC10" s="1570">
        <f t="shared" ref="AC10:AC47" si="5">D10/J10</f>
        <v>1</v>
      </c>
    </row>
    <row r="11" spans="1:30" s="1218" customFormat="1" ht="20.25">
      <c r="A11" s="2912"/>
      <c r="B11" s="2919" t="s">
        <v>2755</v>
      </c>
      <c r="C11" s="2906" t="s">
        <v>923</v>
      </c>
      <c r="D11" s="252">
        <v>100</v>
      </c>
      <c r="E11" s="2906" t="s">
        <v>923</v>
      </c>
      <c r="F11" s="252">
        <f>SUMIF(77:77,E11,78:78)-SUMIF(77:77,C11,78:78)+100</f>
        <v>100</v>
      </c>
      <c r="G11" s="2906" t="s">
        <v>923</v>
      </c>
      <c r="H11" s="252">
        <f>SUMIF(77:77,G11,78:78)-SUMIF(77:77,C11,78:78)+100</f>
        <v>100</v>
      </c>
      <c r="I11" s="2906" t="s">
        <v>923</v>
      </c>
      <c r="J11" s="252">
        <f>SUMIF(77:77,I11,78:78)-SUMIF(77:77,C11,78:78)+100</f>
        <v>100</v>
      </c>
      <c r="K11" s="522"/>
      <c r="L11" s="2133"/>
      <c r="M11" s="2130"/>
      <c r="N11" s="2130"/>
      <c r="O11" s="2135"/>
      <c r="P11" s="3386" t="s">
        <v>535</v>
      </c>
      <c r="Q11" s="1149" t="str">
        <f t="shared" ref="Q11:Q17" si="6">B11</f>
        <v>用途</v>
      </c>
      <c r="R11" s="1567" t="s">
        <v>8</v>
      </c>
      <c r="S11" s="1568">
        <f t="shared" si="0"/>
        <v>100</v>
      </c>
      <c r="T11" s="1567" t="s">
        <v>8</v>
      </c>
      <c r="U11" s="1568">
        <f t="shared" si="1"/>
        <v>100</v>
      </c>
      <c r="V11" s="1567" t="s">
        <v>8</v>
      </c>
      <c r="W11" s="1568">
        <f t="shared" si="2"/>
        <v>100</v>
      </c>
      <c r="X11" s="1569"/>
      <c r="Y11" s="3332" t="s">
        <v>536</v>
      </c>
      <c r="Z11" s="1148" t="str">
        <f t="shared" ref="Z11:Z17" si="7">Q11</f>
        <v>用途</v>
      </c>
      <c r="AA11" s="1570">
        <f t="shared" si="3"/>
        <v>1</v>
      </c>
      <c r="AB11" s="1570">
        <f t="shared" si="4"/>
        <v>1</v>
      </c>
      <c r="AC11" s="1570">
        <f t="shared" si="5"/>
        <v>1</v>
      </c>
    </row>
    <row r="12" spans="1:30" s="1336" customFormat="1" ht="27">
      <c r="A12" s="2913"/>
      <c r="B12" s="2918" t="s">
        <v>2756</v>
      </c>
      <c r="C12" s="908">
        <f>'数据-取费表'!F6</f>
        <v>64.290000000000006</v>
      </c>
      <c r="D12" s="253">
        <v>100</v>
      </c>
      <c r="E12" s="527" t="s">
        <v>3237</v>
      </c>
      <c r="F12" s="253">
        <f>ROUND(100/'数据-取费表'!G16,0)</f>
        <v>102</v>
      </c>
      <c r="G12" s="527" t="s">
        <v>3237</v>
      </c>
      <c r="H12" s="253">
        <f>ROUND(100/'数据-取费表'!G16,0)</f>
        <v>102</v>
      </c>
      <c r="I12" s="527" t="s">
        <v>3237</v>
      </c>
      <c r="J12" s="253">
        <f>ROUND(100/'数据-取费表'!G16,0)</f>
        <v>102</v>
      </c>
      <c r="K12" s="529"/>
      <c r="L12" s="2136"/>
      <c r="M12" s="2130"/>
      <c r="N12" s="2130"/>
      <c r="O12" s="2137"/>
      <c r="P12" s="3386"/>
      <c r="Q12" s="1149" t="str">
        <f t="shared" si="6"/>
        <v>土地使用年限（年）</v>
      </c>
      <c r="R12" s="1567" t="s">
        <v>8</v>
      </c>
      <c r="S12" s="1568">
        <f t="shared" si="0"/>
        <v>102</v>
      </c>
      <c r="T12" s="1567" t="s">
        <v>8</v>
      </c>
      <c r="U12" s="1568">
        <f t="shared" si="1"/>
        <v>102</v>
      </c>
      <c r="V12" s="1567" t="s">
        <v>8</v>
      </c>
      <c r="W12" s="1568">
        <f t="shared" si="2"/>
        <v>102</v>
      </c>
      <c r="X12" s="1569"/>
      <c r="Y12" s="3332"/>
      <c r="Z12" s="1148" t="str">
        <f t="shared" si="7"/>
        <v>土地使用年限（年）</v>
      </c>
      <c r="AA12" s="1570">
        <f t="shared" si="3"/>
        <v>0.98039215686274506</v>
      </c>
      <c r="AB12" s="1570">
        <f t="shared" si="4"/>
        <v>0.98039215686274506</v>
      </c>
      <c r="AC12" s="1570">
        <f t="shared" si="5"/>
        <v>0.98039215686274506</v>
      </c>
    </row>
    <row r="13" spans="1:30" ht="20.25">
      <c r="A13" s="2914"/>
      <c r="B13" s="2918" t="s">
        <v>2757</v>
      </c>
      <c r="C13" s="532">
        <f>'数据-汇总表'!I6</f>
        <v>1.88</v>
      </c>
      <c r="D13" s="253">
        <v>100</v>
      </c>
      <c r="E13" s="531">
        <f>土地案例!L1</f>
        <v>2</v>
      </c>
      <c r="F13" s="253">
        <f>LOOKUP(E13,82:82,83:83)-LOOKUP(C13,82:82,83:83)+100</f>
        <v>98</v>
      </c>
      <c r="G13" s="532">
        <f>土地案例!L2</f>
        <v>2.4</v>
      </c>
      <c r="H13" s="253">
        <f>LOOKUP(G13,82:82,83:83)-LOOKUP(C13,82:82,83:83)+100</f>
        <v>98</v>
      </c>
      <c r="I13" s="531">
        <f>土地案例!L3</f>
        <v>2.85</v>
      </c>
      <c r="J13" s="253">
        <f>LOOKUP(I13,82:82,83:83)-LOOKUP(C13,82:82,83:83)+100</f>
        <v>98</v>
      </c>
      <c r="K13" s="533">
        <v>2</v>
      </c>
      <c r="L13" s="2138"/>
      <c r="M13" s="2130"/>
      <c r="N13" s="2130"/>
      <c r="O13" s="2139"/>
      <c r="P13" s="3386"/>
      <c r="Q13" s="1149" t="str">
        <f t="shared" si="6"/>
        <v>容积率</v>
      </c>
      <c r="R13" s="1567" t="s">
        <v>8</v>
      </c>
      <c r="S13" s="1568">
        <f t="shared" si="0"/>
        <v>98</v>
      </c>
      <c r="T13" s="1567" t="s">
        <v>8</v>
      </c>
      <c r="U13" s="1568">
        <f t="shared" si="1"/>
        <v>98</v>
      </c>
      <c r="V13" s="1567" t="s">
        <v>8</v>
      </c>
      <c r="W13" s="1568">
        <f t="shared" si="2"/>
        <v>98</v>
      </c>
      <c r="X13" s="1569"/>
      <c r="Y13" s="3332"/>
      <c r="Z13" s="1148" t="str">
        <f t="shared" si="7"/>
        <v>容积率</v>
      </c>
      <c r="AA13" s="1570">
        <f t="shared" si="3"/>
        <v>1.0204081632653061</v>
      </c>
      <c r="AB13" s="1570">
        <f t="shared" si="4"/>
        <v>1.0204081632653061</v>
      </c>
      <c r="AC13" s="1570">
        <f t="shared" si="5"/>
        <v>1.0204081632653061</v>
      </c>
    </row>
    <row r="14" spans="1:30" s="1218" customFormat="1" ht="21" thickBot="1">
      <c r="A14" s="2911"/>
      <c r="B14" s="2920" t="s">
        <v>2758</v>
      </c>
      <c r="C14" s="2907"/>
      <c r="D14" s="536">
        <v>100</v>
      </c>
      <c r="E14" s="1373"/>
      <c r="F14" s="253">
        <f>SUMIF(84:84,E14,85:85)-SUMIF(84:84,C14,85:85)+100</f>
        <v>100</v>
      </c>
      <c r="G14" s="528"/>
      <c r="H14" s="253">
        <f>SUMIF(84:84,G14,85:85)-SUMIF(84:84,C14,85:85)+100</f>
        <v>100</v>
      </c>
      <c r="I14" s="527"/>
      <c r="J14" s="253">
        <f>SUMIF(84:84,I14,85:85)-SUMIF(84:84,C14,85:85)+100</f>
        <v>100</v>
      </c>
      <c r="K14" s="529"/>
      <c r="L14" s="2133"/>
      <c r="M14" s="2130"/>
      <c r="N14" s="2130"/>
      <c r="O14" s="2135"/>
      <c r="P14" s="3386"/>
      <c r="Q14" s="1149" t="str">
        <f t="shared" si="6"/>
        <v>配建</v>
      </c>
      <c r="R14" s="1567" t="s">
        <v>8</v>
      </c>
      <c r="S14" s="1568">
        <f t="shared" si="0"/>
        <v>100</v>
      </c>
      <c r="T14" s="1567" t="s">
        <v>8</v>
      </c>
      <c r="U14" s="1568">
        <f t="shared" si="1"/>
        <v>100</v>
      </c>
      <c r="V14" s="1567" t="s">
        <v>8</v>
      </c>
      <c r="W14" s="1568">
        <f t="shared" si="2"/>
        <v>100</v>
      </c>
      <c r="X14" s="1569"/>
      <c r="Y14" s="3332"/>
      <c r="Z14" s="1148" t="str">
        <f t="shared" si="7"/>
        <v>配建</v>
      </c>
      <c r="AA14" s="1570">
        <f>D14/F14</f>
        <v>1</v>
      </c>
      <c r="AB14" s="1570">
        <f>D14/H14</f>
        <v>1</v>
      </c>
      <c r="AC14" s="1570">
        <f>D14/J14</f>
        <v>1</v>
      </c>
    </row>
    <row r="15" spans="1:30" ht="20.25" hidden="1">
      <c r="A15" s="2915"/>
      <c r="B15" s="2921">
        <v>111</v>
      </c>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86"/>
      <c r="Q15" s="1149">
        <f t="shared" si="6"/>
        <v>111</v>
      </c>
      <c r="R15" s="1567" t="s">
        <v>8</v>
      </c>
      <c r="S15" s="1568">
        <f t="shared" si="0"/>
        <v>100</v>
      </c>
      <c r="T15" s="1567" t="s">
        <v>8</v>
      </c>
      <c r="U15" s="1568">
        <f t="shared" si="1"/>
        <v>100</v>
      </c>
      <c r="V15" s="1567" t="s">
        <v>8</v>
      </c>
      <c r="W15" s="1568">
        <f t="shared" si="2"/>
        <v>100</v>
      </c>
      <c r="X15" s="1569"/>
      <c r="Y15" s="3332"/>
      <c r="Z15" s="1148">
        <f t="shared" si="7"/>
        <v>111</v>
      </c>
      <c r="AA15" s="1570">
        <f>D15/F15</f>
        <v>1</v>
      </c>
      <c r="AB15" s="1570">
        <f>D15/H15</f>
        <v>1</v>
      </c>
      <c r="AC15" s="1570">
        <f>D15/J15</f>
        <v>1</v>
      </c>
    </row>
    <row r="16" spans="1:30" ht="21" hidden="1" thickBot="1">
      <c r="A16" s="2916"/>
      <c r="B16" s="2922">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86"/>
      <c r="Q16" s="1149">
        <f t="shared" si="6"/>
        <v>111</v>
      </c>
      <c r="R16" s="1567" t="s">
        <v>8</v>
      </c>
      <c r="S16" s="1568">
        <f t="shared" si="0"/>
        <v>100</v>
      </c>
      <c r="T16" s="1567" t="s">
        <v>8</v>
      </c>
      <c r="U16" s="1568">
        <f t="shared" si="1"/>
        <v>100</v>
      </c>
      <c r="V16" s="1567" t="s">
        <v>8</v>
      </c>
      <c r="W16" s="1568">
        <f t="shared" si="2"/>
        <v>100</v>
      </c>
      <c r="X16" s="1569"/>
      <c r="Y16" s="3332"/>
      <c r="Z16" s="1148">
        <f t="shared" si="7"/>
        <v>111</v>
      </c>
      <c r="AA16" s="1570">
        <f>D16/F16</f>
        <v>1</v>
      </c>
      <c r="AB16" s="1570">
        <f>D16/H16</f>
        <v>1</v>
      </c>
      <c r="AC16" s="1570">
        <f>D16/J16</f>
        <v>1</v>
      </c>
    </row>
    <row r="17" spans="1:29" ht="20.25">
      <c r="A17" s="2908" t="s">
        <v>2753</v>
      </c>
      <c r="B17" s="576" t="s">
        <v>295</v>
      </c>
      <c r="C17" s="546" t="str">
        <f>估价对象房地状况!C15</f>
        <v>一般</v>
      </c>
      <c r="D17" s="549">
        <v>100</v>
      </c>
      <c r="E17" s="3517" t="s">
        <v>3353</v>
      </c>
      <c r="F17" s="547">
        <f>SUMIF(90:90,E18,91:91)-SUMIF(90:90,C18,91:91)+100</f>
        <v>100</v>
      </c>
      <c r="G17" s="3517" t="s">
        <v>3353</v>
      </c>
      <c r="H17" s="547">
        <f>SUMIF(90:90,G18,91:91)-SUMIF(90:90,C18,91:91)+100</f>
        <v>100</v>
      </c>
      <c r="I17" s="3517" t="s">
        <v>3354</v>
      </c>
      <c r="J17" s="547">
        <f>SUMIF(90:90,I18,91:91)-SUMIF(90:90,C18,91:91)+100</f>
        <v>96</v>
      </c>
      <c r="K17" s="533">
        <v>2</v>
      </c>
      <c r="L17" s="2140"/>
      <c r="M17" s="2130"/>
      <c r="N17" s="2130"/>
      <c r="O17" s="2139"/>
      <c r="P17" s="3419" t="s">
        <v>540</v>
      </c>
      <c r="Q17" s="1571" t="str">
        <f t="shared" si="6"/>
        <v>居住社区成熟度</v>
      </c>
      <c r="R17" s="1572" t="s">
        <v>8</v>
      </c>
      <c r="S17" s="1573">
        <f t="shared" si="0"/>
        <v>100</v>
      </c>
      <c r="T17" s="1572" t="s">
        <v>8</v>
      </c>
      <c r="U17" s="1573">
        <f t="shared" si="1"/>
        <v>100</v>
      </c>
      <c r="V17" s="1572" t="s">
        <v>8</v>
      </c>
      <c r="W17" s="1573">
        <f t="shared" si="2"/>
        <v>96</v>
      </c>
      <c r="X17" s="1566"/>
      <c r="Y17" s="3419" t="s">
        <v>540</v>
      </c>
      <c r="Z17" s="1574" t="str">
        <f t="shared" si="7"/>
        <v>居住社区成熟度</v>
      </c>
      <c r="AA17" s="1575">
        <f t="shared" si="3"/>
        <v>1</v>
      </c>
      <c r="AB17" s="1575">
        <f t="shared" si="4"/>
        <v>1</v>
      </c>
      <c r="AC17" s="1575">
        <f t="shared" si="5"/>
        <v>1.0416666666666667</v>
      </c>
    </row>
    <row r="18" spans="1:29" ht="20.25">
      <c r="A18" s="530"/>
      <c r="B18" s="551"/>
      <c r="C18" s="552" t="s">
        <v>3238</v>
      </c>
      <c r="D18" s="555"/>
      <c r="E18" s="556" t="s">
        <v>3238</v>
      </c>
      <c r="F18" s="553"/>
      <c r="G18" s="554" t="s">
        <v>3238</v>
      </c>
      <c r="H18" s="557"/>
      <c r="I18" s="556" t="s">
        <v>3257</v>
      </c>
      <c r="J18" s="553"/>
      <c r="K18" s="529"/>
      <c r="L18" s="2140"/>
      <c r="M18" s="2130"/>
      <c r="N18" s="2130"/>
      <c r="O18" s="2139"/>
      <c r="P18" s="3420"/>
      <c r="Q18" s="1571"/>
      <c r="R18" s="1572"/>
      <c r="S18" s="1573"/>
      <c r="T18" s="1572"/>
      <c r="U18" s="1573"/>
      <c r="V18" s="1572"/>
      <c r="W18" s="1573"/>
      <c r="X18" s="1566"/>
      <c r="Y18" s="3420"/>
      <c r="Z18" s="1574"/>
      <c r="AA18" s="1575">
        <v>1</v>
      </c>
      <c r="AB18" s="1575">
        <v>1</v>
      </c>
      <c r="AC18" s="1575">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3420"/>
      <c r="Q19" s="1571" t="str">
        <f>B19</f>
        <v>商业繁华度</v>
      </c>
      <c r="R19" s="1572" t="s">
        <v>8</v>
      </c>
      <c r="S19" s="1573">
        <f>F19</f>
        <v>100</v>
      </c>
      <c r="T19" s="1572" t="s">
        <v>8</v>
      </c>
      <c r="U19" s="1573">
        <f>H19</f>
        <v>100</v>
      </c>
      <c r="V19" s="1572" t="s">
        <v>8</v>
      </c>
      <c r="W19" s="1573">
        <f>J19</f>
        <v>100</v>
      </c>
      <c r="X19" s="1566"/>
      <c r="Y19" s="3420"/>
      <c r="Z19" s="1574" t="str">
        <f>Q19</f>
        <v>商业繁华度</v>
      </c>
      <c r="AA19" s="1575">
        <f t="shared" si="3"/>
        <v>1</v>
      </c>
      <c r="AB19" s="1575">
        <f t="shared" si="4"/>
        <v>1</v>
      </c>
      <c r="AC19" s="1575">
        <f t="shared" si="5"/>
        <v>1</v>
      </c>
    </row>
    <row r="20" spans="1:29" ht="20.25" hidden="1">
      <c r="A20" s="530"/>
      <c r="B20" s="564"/>
      <c r="C20" s="565"/>
      <c r="D20" s="561"/>
      <c r="E20" s="567"/>
      <c r="F20" s="557"/>
      <c r="G20" s="566"/>
      <c r="H20" s="553"/>
      <c r="I20" s="567"/>
      <c r="J20" s="553"/>
      <c r="K20" s="529"/>
      <c r="L20" s="2140"/>
      <c r="M20" s="2130"/>
      <c r="N20" s="2130"/>
      <c r="O20" s="2139"/>
      <c r="P20" s="3420"/>
      <c r="Q20" s="1571"/>
      <c r="R20" s="1572"/>
      <c r="S20" s="1573"/>
      <c r="T20" s="1572"/>
      <c r="U20" s="1573"/>
      <c r="V20" s="1572"/>
      <c r="W20" s="1573"/>
      <c r="X20" s="1566"/>
      <c r="Y20" s="3420"/>
      <c r="Z20" s="1574"/>
      <c r="AA20" s="1575">
        <v>1</v>
      </c>
      <c r="AB20" s="1575">
        <v>1</v>
      </c>
      <c r="AC20" s="1575">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20"/>
      <c r="Q21" s="1571" t="str">
        <f>B21</f>
        <v>办公集聚程度</v>
      </c>
      <c r="R21" s="1572" t="s">
        <v>8</v>
      </c>
      <c r="S21" s="1573">
        <f>F21</f>
        <v>100</v>
      </c>
      <c r="T21" s="1572" t="s">
        <v>8</v>
      </c>
      <c r="U21" s="1573">
        <f>H21</f>
        <v>100</v>
      </c>
      <c r="V21" s="1572" t="s">
        <v>8</v>
      </c>
      <c r="W21" s="1573">
        <f>J21</f>
        <v>100</v>
      </c>
      <c r="X21" s="1566"/>
      <c r="Y21" s="3420"/>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420"/>
      <c r="Q22" s="1571"/>
      <c r="R22" s="1572"/>
      <c r="S22" s="1573"/>
      <c r="T22" s="1572"/>
      <c r="U22" s="1573"/>
      <c r="V22" s="1572"/>
      <c r="W22" s="1573"/>
      <c r="X22" s="1566"/>
      <c r="Y22" s="3420"/>
      <c r="Z22" s="1574"/>
      <c r="AA22" s="1575">
        <v>1</v>
      </c>
      <c r="AB22" s="1575">
        <v>1</v>
      </c>
      <c r="AC22" s="1575">
        <v>1</v>
      </c>
    </row>
    <row r="23" spans="1:29" ht="20.25">
      <c r="A23" s="530"/>
      <c r="B23" s="558" t="s">
        <v>543</v>
      </c>
      <c r="C23" s="571" t="str">
        <f>估价对象房地状况!C18</f>
        <v>一般</v>
      </c>
      <c r="D23" s="561">
        <v>100</v>
      </c>
      <c r="E23" s="3518" t="s">
        <v>3353</v>
      </c>
      <c r="F23" s="563">
        <f>SUMIF(96:96,E24,97:97)-SUMIF(96:96,C24,97:97)+100</f>
        <v>100</v>
      </c>
      <c r="G23" s="3519" t="s">
        <v>3353</v>
      </c>
      <c r="H23" s="557">
        <f>SUMIF(96:96,G24,97:97)-SUMIF(96:96,C24,97:97)+100</f>
        <v>100</v>
      </c>
      <c r="I23" s="3518" t="s">
        <v>3355</v>
      </c>
      <c r="J23" s="557">
        <f>SUMIF(96:96,I24,97:97)-SUMIF(96:96,C24,97:97)+100</f>
        <v>98</v>
      </c>
      <c r="K23" s="533">
        <v>2</v>
      </c>
      <c r="L23" s="2140"/>
      <c r="M23" s="2130"/>
      <c r="N23" s="2130"/>
      <c r="O23" s="2139"/>
      <c r="P23" s="3420"/>
      <c r="Q23" s="1571" t="str">
        <f>B23</f>
        <v>交通便捷度</v>
      </c>
      <c r="R23" s="1572" t="s">
        <v>8</v>
      </c>
      <c r="S23" s="1573">
        <f>F23</f>
        <v>100</v>
      </c>
      <c r="T23" s="1572" t="s">
        <v>8</v>
      </c>
      <c r="U23" s="1573">
        <f>H23</f>
        <v>100</v>
      </c>
      <c r="V23" s="1572" t="s">
        <v>8</v>
      </c>
      <c r="W23" s="1573">
        <f>J23</f>
        <v>98</v>
      </c>
      <c r="X23" s="1566"/>
      <c r="Y23" s="3420"/>
      <c r="Z23" s="1574" t="str">
        <f>Q23</f>
        <v>交通便捷度</v>
      </c>
      <c r="AA23" s="1575">
        <f t="shared" si="3"/>
        <v>1</v>
      </c>
      <c r="AB23" s="1575">
        <f t="shared" si="4"/>
        <v>1</v>
      </c>
      <c r="AC23" s="1575">
        <f t="shared" si="5"/>
        <v>1.0204081632653061</v>
      </c>
    </row>
    <row r="24" spans="1:29" ht="20.25">
      <c r="A24" s="530"/>
      <c r="B24" s="576"/>
      <c r="C24" s="552" t="s">
        <v>3238</v>
      </c>
      <c r="D24" s="555"/>
      <c r="E24" s="552" t="s">
        <v>3238</v>
      </c>
      <c r="F24" s="553"/>
      <c r="G24" s="554" t="s">
        <v>3238</v>
      </c>
      <c r="H24" s="553"/>
      <c r="I24" s="556" t="s">
        <v>3239</v>
      </c>
      <c r="J24" s="553"/>
      <c r="K24" s="529"/>
      <c r="L24" s="2140"/>
      <c r="M24" s="2130"/>
      <c r="N24" s="2130"/>
      <c r="O24" s="2139"/>
      <c r="P24" s="3420"/>
      <c r="Q24" s="1571"/>
      <c r="R24" s="1572"/>
      <c r="S24" s="1573"/>
      <c r="T24" s="1572"/>
      <c r="U24" s="1573"/>
      <c r="V24" s="1572"/>
      <c r="W24" s="1573"/>
      <c r="X24" s="1566"/>
      <c r="Y24" s="3420"/>
      <c r="Z24" s="1574"/>
      <c r="AA24" s="1575">
        <v>1</v>
      </c>
      <c r="AB24" s="1575">
        <v>1</v>
      </c>
      <c r="AC24" s="1575">
        <v>1</v>
      </c>
    </row>
    <row r="25" spans="1:29" ht="27">
      <c r="A25" s="513"/>
      <c r="B25" s="257" t="s">
        <v>544</v>
      </c>
      <c r="C25" s="571" t="str">
        <f>估价对象房地状况!C19</f>
        <v>较好</v>
      </c>
      <c r="D25" s="561">
        <v>100</v>
      </c>
      <c r="E25" s="3518" t="s">
        <v>3356</v>
      </c>
      <c r="F25" s="563">
        <f>SUMIF(98:98,E26,99:99)-SUMIF(98:98,C26,99:99)+100</f>
        <v>100</v>
      </c>
      <c r="G25" s="3519" t="s">
        <v>3356</v>
      </c>
      <c r="H25" s="557">
        <f>SUMIF(98:98,G26,99:99)-SUMIF(98:98,C26,99:99)+100</f>
        <v>100</v>
      </c>
      <c r="I25" s="3518" t="s">
        <v>3353</v>
      </c>
      <c r="J25" s="557">
        <f>SUMIF(98:98,I26,99:99)-SUMIF(98:98,C26,99:99)+100</f>
        <v>98</v>
      </c>
      <c r="K25" s="533">
        <v>2</v>
      </c>
      <c r="L25" s="2140"/>
      <c r="M25" s="2130"/>
      <c r="N25" s="2130"/>
      <c r="O25" s="2139"/>
      <c r="P25" s="3420"/>
      <c r="Q25" s="1571" t="str">
        <f t="shared" ref="Q25:Q39" si="8">B25</f>
        <v>区域土地利用方向</v>
      </c>
      <c r="R25" s="1572" t="s">
        <v>8</v>
      </c>
      <c r="S25" s="1573">
        <f>F25</f>
        <v>100</v>
      </c>
      <c r="T25" s="1572" t="s">
        <v>8</v>
      </c>
      <c r="U25" s="1573">
        <f>H25</f>
        <v>100</v>
      </c>
      <c r="V25" s="1572" t="s">
        <v>8</v>
      </c>
      <c r="W25" s="1573">
        <f>J25</f>
        <v>98</v>
      </c>
      <c r="X25" s="1566"/>
      <c r="Y25" s="3420"/>
      <c r="Z25" s="1574" t="str">
        <f>Q25</f>
        <v>区域土地利用方向</v>
      </c>
      <c r="AA25" s="1575">
        <f t="shared" si="3"/>
        <v>1</v>
      </c>
      <c r="AB25" s="1575">
        <f t="shared" si="4"/>
        <v>1</v>
      </c>
      <c r="AC25" s="1575">
        <f t="shared" si="5"/>
        <v>1.0204081632653061</v>
      </c>
    </row>
    <row r="26" spans="1:29" ht="20.25">
      <c r="A26" s="513"/>
      <c r="B26" s="1005"/>
      <c r="C26" s="552" t="s">
        <v>3240</v>
      </c>
      <c r="D26" s="555"/>
      <c r="E26" s="552" t="s">
        <v>3240</v>
      </c>
      <c r="F26" s="553"/>
      <c r="G26" s="552" t="s">
        <v>3240</v>
      </c>
      <c r="H26" s="553"/>
      <c r="I26" s="556" t="s">
        <v>3238</v>
      </c>
      <c r="J26" s="553"/>
      <c r="K26" s="529"/>
      <c r="L26" s="2140"/>
      <c r="M26" s="2130"/>
      <c r="N26" s="2130"/>
      <c r="O26" s="2139"/>
      <c r="P26" s="3420"/>
      <c r="Q26" s="1571"/>
      <c r="R26" s="1572"/>
      <c r="S26" s="1573"/>
      <c r="T26" s="1572"/>
      <c r="U26" s="1573"/>
      <c r="V26" s="1572"/>
      <c r="W26" s="1573"/>
      <c r="X26" s="1566"/>
      <c r="Y26" s="3420"/>
      <c r="Z26" s="1574"/>
      <c r="AA26" s="1575"/>
      <c r="AB26" s="1575"/>
      <c r="AC26" s="1575"/>
    </row>
    <row r="27" spans="1:29" ht="27">
      <c r="A27" s="513"/>
      <c r="B27" s="576" t="s">
        <v>545</v>
      </c>
      <c r="C27" s="559" t="str">
        <f>估价对象房地状况!C20</f>
        <v>一般</v>
      </c>
      <c r="D27" s="561">
        <v>100</v>
      </c>
      <c r="E27" s="3518" t="s">
        <v>3353</v>
      </c>
      <c r="F27" s="557">
        <f>SUMIF(100:100,E28,101:101)-SUMIF(100:100,C28,101:101)+100</f>
        <v>100</v>
      </c>
      <c r="G27" s="3519" t="s">
        <v>3353</v>
      </c>
      <c r="H27" s="557">
        <f>SUMIF(100:100,G28,101:101)-SUMIF(100:100,C28,101:101)+100</f>
        <v>100</v>
      </c>
      <c r="I27" s="3518" t="s">
        <v>3353</v>
      </c>
      <c r="J27" s="557">
        <f>SUMIF(100:100,I28,101:101)-SUMIF(100:100,C28,101:101)+100</f>
        <v>100</v>
      </c>
      <c r="K27" s="533">
        <v>2</v>
      </c>
      <c r="L27" s="2140"/>
      <c r="M27" s="2130"/>
      <c r="N27" s="2130"/>
      <c r="O27" s="2139"/>
      <c r="P27" s="3420"/>
      <c r="Q27" s="1571" t="str">
        <f t="shared" si="8"/>
        <v>自然及人文环境状况</v>
      </c>
      <c r="R27" s="1572" t="s">
        <v>8</v>
      </c>
      <c r="S27" s="1573">
        <f>F27</f>
        <v>100</v>
      </c>
      <c r="T27" s="1572" t="s">
        <v>8</v>
      </c>
      <c r="U27" s="1573">
        <f>H27</f>
        <v>100</v>
      </c>
      <c r="V27" s="1572" t="s">
        <v>8</v>
      </c>
      <c r="W27" s="1573">
        <f>J27</f>
        <v>100</v>
      </c>
      <c r="X27" s="1566"/>
      <c r="Y27" s="3420"/>
      <c r="Z27" s="1574" t="str">
        <f>Q27</f>
        <v>自然及人文环境状况</v>
      </c>
      <c r="AA27" s="1575">
        <f t="shared" si="3"/>
        <v>1</v>
      </c>
      <c r="AB27" s="1575">
        <f t="shared" si="4"/>
        <v>1</v>
      </c>
      <c r="AC27" s="1575">
        <f t="shared" si="5"/>
        <v>1</v>
      </c>
    </row>
    <row r="28" spans="1:29" ht="20.25">
      <c r="A28" s="513"/>
      <c r="B28" s="564"/>
      <c r="C28" s="552" t="s">
        <v>3238</v>
      </c>
      <c r="D28" s="555"/>
      <c r="E28" s="552" t="s">
        <v>3238</v>
      </c>
      <c r="F28" s="553"/>
      <c r="G28" s="552" t="s">
        <v>3238</v>
      </c>
      <c r="H28" s="553"/>
      <c r="I28" s="574" t="s">
        <v>3238</v>
      </c>
      <c r="J28" s="553"/>
      <c r="K28" s="529"/>
      <c r="L28" s="2140"/>
      <c r="M28" s="2130"/>
      <c r="N28" s="2130"/>
      <c r="O28" s="2139"/>
      <c r="P28" s="3420"/>
      <c r="Q28" s="1571"/>
      <c r="R28" s="1572"/>
      <c r="S28" s="1573"/>
      <c r="T28" s="1572"/>
      <c r="U28" s="1573"/>
      <c r="V28" s="1572"/>
      <c r="W28" s="1573"/>
      <c r="X28" s="1566"/>
      <c r="Y28" s="3420"/>
      <c r="Z28" s="1574"/>
      <c r="AA28" s="1575">
        <v>1</v>
      </c>
      <c r="AB28" s="1575">
        <v>1</v>
      </c>
      <c r="AC28" s="1575">
        <v>1</v>
      </c>
    </row>
    <row r="29" spans="1:29" s="1218" customFormat="1" ht="20.25">
      <c r="A29" s="575"/>
      <c r="B29" s="2589" t="s">
        <v>2547</v>
      </c>
      <c r="C29" s="571" t="str">
        <f>估价对象房地状况!C21</f>
        <v>一般</v>
      </c>
      <c r="D29" s="561">
        <v>100</v>
      </c>
      <c r="E29" s="3518" t="s">
        <v>3353</v>
      </c>
      <c r="F29" s="557">
        <f>SUMIF(102:102,E30,103:103)-SUMIF(102:102,C30,103:103)+100</f>
        <v>100</v>
      </c>
      <c r="G29" s="3519" t="s">
        <v>3356</v>
      </c>
      <c r="H29" s="557">
        <f>SUMIF(102:102,G30,103:103)-SUMIF(102:102,C30,103:103)+100</f>
        <v>102</v>
      </c>
      <c r="I29" s="3518" t="s">
        <v>3354</v>
      </c>
      <c r="J29" s="557">
        <f>SUMIF(102:102,I30,103:103)-SUMIF(102:102,C30,103:103)+100</f>
        <v>96</v>
      </c>
      <c r="K29" s="533">
        <v>2</v>
      </c>
      <c r="L29" s="2133"/>
      <c r="M29" s="2130"/>
      <c r="N29" s="2130"/>
      <c r="O29" s="2135"/>
      <c r="P29" s="3420"/>
      <c r="Q29" s="1149" t="str">
        <f t="shared" si="8"/>
        <v>公共配套设施</v>
      </c>
      <c r="R29" s="1567" t="s">
        <v>8</v>
      </c>
      <c r="S29" s="1568">
        <f>F29</f>
        <v>100</v>
      </c>
      <c r="T29" s="1567" t="s">
        <v>8</v>
      </c>
      <c r="U29" s="1568">
        <f>H29</f>
        <v>102</v>
      </c>
      <c r="V29" s="1567" t="s">
        <v>8</v>
      </c>
      <c r="W29" s="1568">
        <f>J29</f>
        <v>96</v>
      </c>
      <c r="X29" s="1569"/>
      <c r="Y29" s="3420"/>
      <c r="Z29" s="1148" t="str">
        <f>Q29</f>
        <v>公共配套设施</v>
      </c>
      <c r="AA29" s="1575">
        <f>D29/F29</f>
        <v>1</v>
      </c>
      <c r="AB29" s="1575">
        <f>D29/H29</f>
        <v>0.98039215686274506</v>
      </c>
      <c r="AC29" s="1575">
        <f>D29/J29</f>
        <v>1.0416666666666667</v>
      </c>
    </row>
    <row r="30" spans="1:29" s="1218" customFormat="1" ht="20.25">
      <c r="A30" s="575"/>
      <c r="B30" s="564"/>
      <c r="C30" s="577" t="s">
        <v>3238</v>
      </c>
      <c r="D30" s="555"/>
      <c r="E30" s="577" t="s">
        <v>3238</v>
      </c>
      <c r="F30" s="553"/>
      <c r="G30" s="552" t="s">
        <v>3240</v>
      </c>
      <c r="H30" s="553"/>
      <c r="I30" s="574" t="s">
        <v>3257</v>
      </c>
      <c r="J30" s="553"/>
      <c r="K30" s="529"/>
      <c r="L30" s="2133"/>
      <c r="M30" s="2130"/>
      <c r="N30" s="2130"/>
      <c r="O30" s="2135"/>
      <c r="P30" s="3420"/>
      <c r="Q30" s="1149"/>
      <c r="R30" s="1567"/>
      <c r="S30" s="1568"/>
      <c r="T30" s="1567"/>
      <c r="U30" s="1568"/>
      <c r="V30" s="1567"/>
      <c r="W30" s="1568"/>
      <c r="X30" s="1569"/>
      <c r="Y30" s="3420"/>
      <c r="Z30" s="1148"/>
      <c r="AA30" s="1575">
        <v>1</v>
      </c>
      <c r="AB30" s="1575">
        <v>1</v>
      </c>
      <c r="AC30" s="1575">
        <v>1</v>
      </c>
    </row>
    <row r="31" spans="1:29" s="1218" customFormat="1" ht="20.25">
      <c r="A31" s="575"/>
      <c r="B31" s="2589" t="s">
        <v>2548</v>
      </c>
      <c r="C31" s="571" t="str">
        <f>估价对象房地状况!C22</f>
        <v>六通</v>
      </c>
      <c r="D31" s="561">
        <v>100</v>
      </c>
      <c r="E31" s="3518" t="s">
        <v>3357</v>
      </c>
      <c r="F31" s="557">
        <f>SUMIF(104:104,E32,105:105)-SUMIF(104:104,C32,105:105)+100</f>
        <v>100</v>
      </c>
      <c r="G31" s="3518" t="s">
        <v>3357</v>
      </c>
      <c r="H31" s="557">
        <f>SUMIF(104:104,G32,105:105)-SUMIF(104:104,C32,105:105)+100</f>
        <v>100</v>
      </c>
      <c r="I31" s="3518" t="s">
        <v>3357</v>
      </c>
      <c r="J31" s="557">
        <f>SUMIF(104:104,I32,105:105)-SUMIF(104:104,C32,105:105)+100</f>
        <v>100</v>
      </c>
      <c r="K31" s="533">
        <v>1</v>
      </c>
      <c r="L31" s="2133"/>
      <c r="M31" s="2130"/>
      <c r="N31" s="2130"/>
      <c r="O31" s="2135"/>
      <c r="P31" s="3420"/>
      <c r="Q31" s="2576" t="str">
        <f t="shared" ref="Q31" si="9">B31</f>
        <v>基础设施水平</v>
      </c>
      <c r="R31" s="1567" t="s">
        <v>8</v>
      </c>
      <c r="S31" s="1568">
        <f>F31</f>
        <v>100</v>
      </c>
      <c r="T31" s="1567" t="s">
        <v>8</v>
      </c>
      <c r="U31" s="1568">
        <f>H31</f>
        <v>100</v>
      </c>
      <c r="V31" s="1567" t="s">
        <v>8</v>
      </c>
      <c r="W31" s="1568">
        <f>J31</f>
        <v>100</v>
      </c>
      <c r="X31" s="1569"/>
      <c r="Y31" s="3420"/>
      <c r="Z31" s="2573" t="str">
        <f>Q31</f>
        <v>基础设施水平</v>
      </c>
      <c r="AA31" s="1575">
        <f>D31/F31</f>
        <v>1</v>
      </c>
      <c r="AB31" s="1575">
        <f>D31/H31</f>
        <v>1</v>
      </c>
      <c r="AC31" s="1575">
        <f>D31/J31</f>
        <v>1</v>
      </c>
    </row>
    <row r="32" spans="1:29" s="1218" customFormat="1" ht="21" thickBot="1">
      <c r="A32" s="575"/>
      <c r="B32" s="564"/>
      <c r="C32" s="577" t="s">
        <v>3252</v>
      </c>
      <c r="D32" s="555"/>
      <c r="E32" s="577" t="s">
        <v>3252</v>
      </c>
      <c r="F32" s="553"/>
      <c r="G32" s="577" t="s">
        <v>3252</v>
      </c>
      <c r="H32" s="553"/>
      <c r="I32" s="577" t="s">
        <v>3252</v>
      </c>
      <c r="J32" s="553"/>
      <c r="K32" s="529"/>
      <c r="L32" s="2133"/>
      <c r="M32" s="2130"/>
      <c r="N32" s="2130"/>
      <c r="O32" s="2135"/>
      <c r="P32" s="3420"/>
      <c r="Q32" s="2576"/>
      <c r="R32" s="1567"/>
      <c r="S32" s="1568"/>
      <c r="T32" s="1567"/>
      <c r="U32" s="1568"/>
      <c r="V32" s="1567"/>
      <c r="W32" s="1568"/>
      <c r="X32" s="1569"/>
      <c r="Y32" s="3420"/>
      <c r="Z32" s="2573"/>
      <c r="AA32" s="1575">
        <v>1</v>
      </c>
      <c r="AB32" s="1575">
        <v>1</v>
      </c>
      <c r="AC32" s="1575">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342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0"/>
      <c r="Z33" s="1574" t="str">
        <f t="shared" ref="Z33:Z47" si="13">Q33</f>
        <v>临街状况</v>
      </c>
      <c r="AA33" s="1575">
        <f t="shared" si="3"/>
        <v>1</v>
      </c>
      <c r="AB33" s="1575">
        <f t="shared" si="4"/>
        <v>1</v>
      </c>
      <c r="AC33" s="1575">
        <f t="shared" si="5"/>
        <v>1</v>
      </c>
    </row>
    <row r="34" spans="1:29" ht="27"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0"/>
      <c r="M34" s="2130"/>
      <c r="N34" s="2130"/>
      <c r="O34" s="2139"/>
      <c r="P34" s="3420"/>
      <c r="Q34" s="1571" t="str">
        <f t="shared" si="8"/>
        <v>毗邻道路的类型与等级</v>
      </c>
      <c r="R34" s="1572" t="s">
        <v>8</v>
      </c>
      <c r="S34" s="1573">
        <f t="shared" si="10"/>
        <v>100</v>
      </c>
      <c r="T34" s="1572" t="s">
        <v>8</v>
      </c>
      <c r="U34" s="1573">
        <f t="shared" si="11"/>
        <v>100</v>
      </c>
      <c r="V34" s="1572" t="s">
        <v>8</v>
      </c>
      <c r="W34" s="1573">
        <f t="shared" si="12"/>
        <v>100</v>
      </c>
      <c r="X34" s="1566"/>
      <c r="Y34" s="3420"/>
      <c r="Z34" s="1574" t="str">
        <f t="shared" si="13"/>
        <v>毗邻道路的类型与等级</v>
      </c>
      <c r="AA34" s="1575">
        <f t="shared" si="3"/>
        <v>1</v>
      </c>
      <c r="AB34" s="1575">
        <f t="shared" si="4"/>
        <v>1</v>
      </c>
      <c r="AC34" s="1575">
        <f t="shared" si="5"/>
        <v>1</v>
      </c>
    </row>
    <row r="35" spans="1:29" ht="20.25" hidden="1">
      <c r="A35" s="530"/>
      <c r="B35" s="564"/>
      <c r="C35" s="552"/>
      <c r="D35" s="555"/>
      <c r="E35" s="574"/>
      <c r="F35" s="553"/>
      <c r="G35" s="552"/>
      <c r="H35" s="553"/>
      <c r="I35" s="574"/>
      <c r="J35" s="553"/>
      <c r="K35" s="579"/>
      <c r="L35" s="2140"/>
      <c r="M35" s="2130"/>
      <c r="N35" s="2130"/>
      <c r="O35" s="2139"/>
      <c r="P35" s="3420"/>
      <c r="Q35" s="1571"/>
      <c r="R35" s="1572"/>
      <c r="S35" s="1573"/>
      <c r="T35" s="1572"/>
      <c r="U35" s="1573"/>
      <c r="V35" s="1572"/>
      <c r="W35" s="1573"/>
      <c r="X35" s="1566"/>
      <c r="Y35" s="3420"/>
      <c r="Z35" s="1574"/>
      <c r="AA35" s="1575">
        <v>1</v>
      </c>
      <c r="AB35" s="1575">
        <v>1</v>
      </c>
      <c r="AC35" s="1575">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20"/>
      <c r="Q36" s="1571" t="str">
        <f t="shared" si="8"/>
        <v>土地级别</v>
      </c>
      <c r="R36" s="1572" t="s">
        <v>8</v>
      </c>
      <c r="S36" s="1573">
        <f t="shared" si="10"/>
        <v>100</v>
      </c>
      <c r="T36" s="1572" t="s">
        <v>8</v>
      </c>
      <c r="U36" s="1573">
        <f t="shared" si="11"/>
        <v>100</v>
      </c>
      <c r="V36" s="1572" t="s">
        <v>8</v>
      </c>
      <c r="W36" s="1573">
        <f t="shared" si="12"/>
        <v>100</v>
      </c>
      <c r="X36" s="1566"/>
      <c r="Y36" s="3420"/>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20"/>
      <c r="Q37" s="1571">
        <f t="shared" si="8"/>
        <v>111</v>
      </c>
      <c r="R37" s="1572" t="s">
        <v>8</v>
      </c>
      <c r="S37" s="1573">
        <f t="shared" si="10"/>
        <v>100</v>
      </c>
      <c r="T37" s="1572" t="s">
        <v>8</v>
      </c>
      <c r="U37" s="1573">
        <f t="shared" si="11"/>
        <v>100</v>
      </c>
      <c r="V37" s="1572" t="s">
        <v>8</v>
      </c>
      <c r="W37" s="1573">
        <f t="shared" si="12"/>
        <v>100</v>
      </c>
      <c r="X37" s="1566"/>
      <c r="Y37" s="3420"/>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21" t="s">
        <v>550</v>
      </c>
      <c r="Q38" s="1571">
        <f t="shared" si="8"/>
        <v>111</v>
      </c>
      <c r="R38" s="1572" t="s">
        <v>8</v>
      </c>
      <c r="S38" s="1573">
        <f t="shared" si="10"/>
        <v>100</v>
      </c>
      <c r="T38" s="1572" t="s">
        <v>8</v>
      </c>
      <c r="U38" s="1573">
        <f t="shared" si="11"/>
        <v>100</v>
      </c>
      <c r="V38" s="1572" t="s">
        <v>8</v>
      </c>
      <c r="W38" s="1573">
        <f t="shared" si="12"/>
        <v>100</v>
      </c>
      <c r="X38" s="1566"/>
      <c r="Y38" s="3422" t="s">
        <v>550</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22"/>
      <c r="Q39" s="1571">
        <f t="shared" si="8"/>
        <v>111</v>
      </c>
      <c r="R39" s="1576" t="s">
        <v>8</v>
      </c>
      <c r="S39" s="1577">
        <f t="shared" si="10"/>
        <v>100</v>
      </c>
      <c r="T39" s="1576" t="s">
        <v>8</v>
      </c>
      <c r="U39" s="1577">
        <f t="shared" si="11"/>
        <v>100</v>
      </c>
      <c r="V39" s="1576" t="s">
        <v>8</v>
      </c>
      <c r="W39" s="1577">
        <f t="shared" si="12"/>
        <v>100</v>
      </c>
      <c r="X39" s="1578"/>
      <c r="Y39" s="3422"/>
      <c r="Z39" s="1579">
        <f t="shared" si="13"/>
        <v>111</v>
      </c>
      <c r="AA39" s="1575">
        <f t="shared" si="3"/>
        <v>1</v>
      </c>
      <c r="AB39" s="1575">
        <f t="shared" si="4"/>
        <v>1</v>
      </c>
      <c r="AC39" s="1575">
        <f t="shared" si="5"/>
        <v>1</v>
      </c>
    </row>
    <row r="40" spans="1:29" ht="20.25">
      <c r="A40" s="2905" t="s">
        <v>2754</v>
      </c>
      <c r="B40" s="593" t="s">
        <v>552</v>
      </c>
      <c r="C40" s="3188">
        <f>'数据-汇总表'!D3</f>
        <v>64530.53</v>
      </c>
      <c r="D40" s="3189">
        <v>100</v>
      </c>
      <c r="E40" s="3188">
        <f>土地案例!J1</f>
        <v>61851.78</v>
      </c>
      <c r="F40" s="3189">
        <f>LOOKUP(E40,119:119,120:120)-LOOKUP(C40,119:119,120:120)+100</f>
        <v>100</v>
      </c>
      <c r="G40" s="3188">
        <f>土地案例!J2</f>
        <v>42958.67</v>
      </c>
      <c r="H40" s="3189">
        <f>LOOKUP(G40,119:119,120:120)-LOOKUP(C40,119:119,120:120)+100</f>
        <v>99</v>
      </c>
      <c r="I40" s="3190">
        <f>土地案例!J3</f>
        <v>16761.43</v>
      </c>
      <c r="J40" s="3189">
        <f>LOOKUP(I40,119:119,120:120)-LOOKUP(C40,119:119,120:120)+100</f>
        <v>99</v>
      </c>
      <c r="K40" s="579"/>
      <c r="L40" s="2140"/>
      <c r="M40" s="2130"/>
      <c r="N40" s="2130"/>
      <c r="O40" s="2139"/>
      <c r="P40" s="3422"/>
      <c r="Q40" s="1571" t="str">
        <f>B40</f>
        <v>宗地面积</v>
      </c>
      <c r="R40" s="1572" t="s">
        <v>8</v>
      </c>
      <c r="S40" s="1573">
        <f t="shared" si="10"/>
        <v>100</v>
      </c>
      <c r="T40" s="1572" t="s">
        <v>8</v>
      </c>
      <c r="U40" s="1573">
        <f t="shared" si="11"/>
        <v>99</v>
      </c>
      <c r="V40" s="1572" t="s">
        <v>8</v>
      </c>
      <c r="W40" s="1573">
        <f t="shared" si="12"/>
        <v>99</v>
      </c>
      <c r="X40" s="1566"/>
      <c r="Y40" s="3422"/>
      <c r="Z40" s="1574" t="str">
        <f t="shared" si="13"/>
        <v>宗地面积</v>
      </c>
      <c r="AA40" s="1575">
        <f t="shared" si="3"/>
        <v>1</v>
      </c>
      <c r="AB40" s="1575">
        <f t="shared" si="4"/>
        <v>1.0101010101010102</v>
      </c>
      <c r="AC40" s="1575">
        <f t="shared" si="5"/>
        <v>1.0101010101010102</v>
      </c>
    </row>
    <row r="41" spans="1:29" ht="20.25">
      <c r="A41" s="592"/>
      <c r="B41" s="525" t="s">
        <v>553</v>
      </c>
      <c r="C41" s="597" t="s">
        <v>3323</v>
      </c>
      <c r="D41" s="538">
        <v>100</v>
      </c>
      <c r="E41" s="597" t="s">
        <v>3243</v>
      </c>
      <c r="F41" s="538">
        <f>SUMIF(121:121,E41,122:122)-SUMIF(121:121,C41,122:122)+100</f>
        <v>104</v>
      </c>
      <c r="G41" s="597" t="s">
        <v>3243</v>
      </c>
      <c r="H41" s="538">
        <f>SUMIF(121:121,G41,122:122)-SUMIF(121:121,C41,122:122)+100</f>
        <v>104</v>
      </c>
      <c r="I41" s="597" t="s">
        <v>3243</v>
      </c>
      <c r="J41" s="538">
        <f>SUMIF(121:121,I41,122:122)-SUMIF(121:121,C41,122:122)+100</f>
        <v>104</v>
      </c>
      <c r="K41" s="582">
        <v>2</v>
      </c>
      <c r="L41" s="2140"/>
      <c r="M41" s="2130"/>
      <c r="N41" s="2130"/>
      <c r="O41" s="2139"/>
      <c r="P41" s="3422"/>
      <c r="Q41" s="1571" t="str">
        <f t="shared" ref="Q41:Q47" si="14">B41</f>
        <v>宗地形状</v>
      </c>
      <c r="R41" s="1572" t="s">
        <v>8</v>
      </c>
      <c r="S41" s="1573">
        <f t="shared" si="10"/>
        <v>104</v>
      </c>
      <c r="T41" s="1572" t="s">
        <v>8</v>
      </c>
      <c r="U41" s="1573">
        <f t="shared" si="11"/>
        <v>104</v>
      </c>
      <c r="V41" s="1572" t="s">
        <v>8</v>
      </c>
      <c r="W41" s="1573">
        <f t="shared" si="12"/>
        <v>104</v>
      </c>
      <c r="X41" s="1566"/>
      <c r="Y41" s="3422"/>
      <c r="Z41" s="1574" t="str">
        <f t="shared" si="13"/>
        <v>宗地形状</v>
      </c>
      <c r="AA41" s="1575">
        <f t="shared" si="3"/>
        <v>0.96153846153846156</v>
      </c>
      <c r="AB41" s="1575">
        <f t="shared" si="4"/>
        <v>0.96153846153846156</v>
      </c>
      <c r="AC41" s="1575">
        <f t="shared" si="5"/>
        <v>0.96153846153846156</v>
      </c>
    </row>
    <row r="42" spans="1:29" ht="20.25">
      <c r="A42" s="592"/>
      <c r="B42" s="525" t="s">
        <v>554</v>
      </c>
      <c r="C42" s="597" t="s">
        <v>3248</v>
      </c>
      <c r="D42" s="538">
        <v>100</v>
      </c>
      <c r="E42" s="597" t="s">
        <v>3248</v>
      </c>
      <c r="F42" s="538">
        <f>SUMIF(123:123,E42,124:124)-SUMIF(123:123,C42,124:124)+100</f>
        <v>100</v>
      </c>
      <c r="G42" s="597" t="s">
        <v>3248</v>
      </c>
      <c r="H42" s="538">
        <f>SUMIF(123:123,G42,124:124)-SUMIF(123:123,C42,124:124)+100</f>
        <v>100</v>
      </c>
      <c r="I42" s="597" t="s">
        <v>3248</v>
      </c>
      <c r="J42" s="538">
        <f>SUMIF(123:123,I42,124:124)-SUMIF(123:123,C42,124:124)+100</f>
        <v>100</v>
      </c>
      <c r="K42" s="582">
        <v>2</v>
      </c>
      <c r="L42" s="2140"/>
      <c r="M42" s="2130"/>
      <c r="N42" s="2130"/>
      <c r="O42" s="2139"/>
      <c r="P42" s="3422"/>
      <c r="Q42" s="1571" t="str">
        <f t="shared" si="14"/>
        <v>临街宽度及深度</v>
      </c>
      <c r="R42" s="1572" t="s">
        <v>8</v>
      </c>
      <c r="S42" s="1573">
        <f t="shared" si="10"/>
        <v>100</v>
      </c>
      <c r="T42" s="1572" t="s">
        <v>8</v>
      </c>
      <c r="U42" s="1573">
        <f t="shared" si="11"/>
        <v>100</v>
      </c>
      <c r="V42" s="1572" t="s">
        <v>8</v>
      </c>
      <c r="W42" s="1573">
        <f t="shared" si="12"/>
        <v>100</v>
      </c>
      <c r="X42" s="1566"/>
      <c r="Y42" s="3422"/>
      <c r="Z42" s="1574" t="str">
        <f t="shared" si="13"/>
        <v>临街宽度及深度</v>
      </c>
      <c r="AA42" s="1575">
        <f t="shared" si="3"/>
        <v>1</v>
      </c>
      <c r="AB42" s="1575">
        <f t="shared" si="4"/>
        <v>1</v>
      </c>
      <c r="AC42" s="1575">
        <f t="shared" si="5"/>
        <v>1</v>
      </c>
    </row>
    <row r="43" spans="1:29" s="1218" customFormat="1" ht="20.25">
      <c r="A43" s="598"/>
      <c r="B43" s="1893" t="s">
        <v>2423</v>
      </c>
      <c r="C43" s="599" t="s">
        <v>3255</v>
      </c>
      <c r="D43" s="253">
        <v>100</v>
      </c>
      <c r="E43" s="599" t="s">
        <v>3255</v>
      </c>
      <c r="F43" s="538">
        <f>SUMIF(125:125,E43,126:126)-SUMIF(125:125,C43,126:126)+100</f>
        <v>100</v>
      </c>
      <c r="G43" s="599" t="s">
        <v>3255</v>
      </c>
      <c r="H43" s="538">
        <f>SUMIF(125:125,G43,126:126)-SUMIF(125:125,C43,126:126)+100</f>
        <v>100</v>
      </c>
      <c r="I43" s="599" t="s">
        <v>3255</v>
      </c>
      <c r="J43" s="538">
        <f>SUMIF(125:125,I43,126:126)-SUMIF(125:125,C43,126:126)+100</f>
        <v>100</v>
      </c>
      <c r="K43" s="582">
        <v>1</v>
      </c>
      <c r="L43" s="2133"/>
      <c r="M43" s="2130"/>
      <c r="N43" s="2130"/>
      <c r="O43" s="2135"/>
      <c r="P43" s="3422"/>
      <c r="Q43" s="1571" t="str">
        <f t="shared" si="14"/>
        <v>宗地开发程度</v>
      </c>
      <c r="R43" s="1567" t="s">
        <v>8</v>
      </c>
      <c r="S43" s="1568">
        <f t="shared" si="10"/>
        <v>100</v>
      </c>
      <c r="T43" s="1567" t="s">
        <v>8</v>
      </c>
      <c r="U43" s="1568">
        <f t="shared" si="11"/>
        <v>100</v>
      </c>
      <c r="V43" s="1567" t="s">
        <v>8</v>
      </c>
      <c r="W43" s="1568">
        <f t="shared" si="12"/>
        <v>100</v>
      </c>
      <c r="X43" s="1569"/>
      <c r="Y43" s="3422"/>
      <c r="Z43" s="1148" t="str">
        <f t="shared" si="13"/>
        <v>宗地开发程度</v>
      </c>
      <c r="AA43" s="1570">
        <f t="shared" si="3"/>
        <v>1</v>
      </c>
      <c r="AB43" s="1570">
        <f t="shared" si="4"/>
        <v>1</v>
      </c>
      <c r="AC43" s="1570">
        <f t="shared" si="5"/>
        <v>1</v>
      </c>
    </row>
    <row r="44" spans="1:29" ht="21" thickBot="1">
      <c r="A44" s="592"/>
      <c r="B44" s="525" t="s">
        <v>555</v>
      </c>
      <c r="C44" s="597" t="s">
        <v>3240</v>
      </c>
      <c r="D44" s="538">
        <v>100</v>
      </c>
      <c r="E44" s="597" t="s">
        <v>3240</v>
      </c>
      <c r="F44" s="538">
        <f>SUMIF(127:127,E44,128:128)-SUMIF(127:127,C44,128:128)+100</f>
        <v>100</v>
      </c>
      <c r="G44" s="597" t="s">
        <v>3240</v>
      </c>
      <c r="H44" s="538">
        <f>SUMIF(127:127,G44,128:128)-SUMIF(127:127,C44,128:128)+100</f>
        <v>100</v>
      </c>
      <c r="I44" s="597" t="s">
        <v>3240</v>
      </c>
      <c r="J44" s="538">
        <f>SUMIF(127:127,I44,128:128)-SUMIF(127:127,C44,128:128)+100</f>
        <v>100</v>
      </c>
      <c r="K44" s="582">
        <v>2</v>
      </c>
      <c r="L44" s="2140"/>
      <c r="M44" s="2130"/>
      <c r="N44" s="2130"/>
      <c r="O44" s="2139"/>
      <c r="P44" s="3422" t="s">
        <v>550</v>
      </c>
      <c r="Q44" s="1571" t="str">
        <f t="shared" si="14"/>
        <v>工程地质条件</v>
      </c>
      <c r="R44" s="1572" t="s">
        <v>8</v>
      </c>
      <c r="S44" s="1573">
        <f t="shared" si="10"/>
        <v>100</v>
      </c>
      <c r="T44" s="1572" t="s">
        <v>8</v>
      </c>
      <c r="U44" s="1573">
        <f t="shared" si="11"/>
        <v>100</v>
      </c>
      <c r="V44" s="1572" t="s">
        <v>8</v>
      </c>
      <c r="W44" s="1573">
        <f t="shared" si="12"/>
        <v>100</v>
      </c>
      <c r="X44" s="1566"/>
      <c r="Y44" s="3422" t="s">
        <v>550</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22"/>
      <c r="Q45" s="1571">
        <f t="shared" si="14"/>
        <v>111</v>
      </c>
      <c r="R45" s="1572" t="s">
        <v>8</v>
      </c>
      <c r="S45" s="1573">
        <f t="shared" si="10"/>
        <v>100</v>
      </c>
      <c r="T45" s="1572" t="s">
        <v>8</v>
      </c>
      <c r="U45" s="1573">
        <f t="shared" si="11"/>
        <v>100</v>
      </c>
      <c r="V45" s="1572" t="s">
        <v>8</v>
      </c>
      <c r="W45" s="1573">
        <f t="shared" si="12"/>
        <v>100</v>
      </c>
      <c r="X45" s="1566"/>
      <c r="Y45" s="3422"/>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22"/>
      <c r="Q46" s="1571">
        <f t="shared" si="14"/>
        <v>111</v>
      </c>
      <c r="R46" s="1572" t="s">
        <v>8</v>
      </c>
      <c r="S46" s="1573">
        <f t="shared" si="10"/>
        <v>100</v>
      </c>
      <c r="T46" s="1572" t="s">
        <v>8</v>
      </c>
      <c r="U46" s="1573">
        <f t="shared" si="11"/>
        <v>100</v>
      </c>
      <c r="V46" s="1572" t="s">
        <v>8</v>
      </c>
      <c r="W46" s="1573">
        <f t="shared" si="12"/>
        <v>100</v>
      </c>
      <c r="X46" s="1566"/>
      <c r="Y46" s="3422"/>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22"/>
      <c r="Q47" s="1571">
        <f t="shared" si="14"/>
        <v>111</v>
      </c>
      <c r="R47" s="1576" t="s">
        <v>8</v>
      </c>
      <c r="S47" s="1577">
        <f t="shared" si="10"/>
        <v>100</v>
      </c>
      <c r="T47" s="1576" t="s">
        <v>8</v>
      </c>
      <c r="U47" s="1577">
        <f t="shared" si="11"/>
        <v>100</v>
      </c>
      <c r="V47" s="1576" t="s">
        <v>8</v>
      </c>
      <c r="W47" s="1577">
        <f t="shared" si="12"/>
        <v>100</v>
      </c>
      <c r="X47" s="1578"/>
      <c r="Y47" s="3422"/>
      <c r="Z47" s="1579">
        <f t="shared" si="13"/>
        <v>111</v>
      </c>
      <c r="AA47" s="1575">
        <f t="shared" si="3"/>
        <v>1</v>
      </c>
      <c r="AB47" s="1575">
        <f t="shared" si="4"/>
        <v>1</v>
      </c>
      <c r="AC47" s="1575">
        <f t="shared" si="5"/>
        <v>1</v>
      </c>
    </row>
    <row r="48" spans="1:29" ht="20.25">
      <c r="A48" s="605" t="s">
        <v>556</v>
      </c>
      <c r="B48" s="606" t="s">
        <v>3258</v>
      </c>
      <c r="C48" s="607" t="s">
        <v>1</v>
      </c>
      <c r="D48" s="608"/>
      <c r="E48" s="609">
        <f>ROUND(土地案例!AK1,0)</f>
        <v>1590</v>
      </c>
      <c r="F48" s="610"/>
      <c r="G48" s="611">
        <f>ROUND(土地案例!AK2,0)</f>
        <v>1430</v>
      </c>
      <c r="H48" s="612"/>
      <c r="I48" s="609">
        <f>ROUND(土地案例!AK3,0)</f>
        <v>1248</v>
      </c>
      <c r="J48" s="612"/>
      <c r="K48" s="1338"/>
      <c r="L48" s="2142"/>
      <c r="M48" s="2130"/>
      <c r="N48" s="2130"/>
      <c r="O48" s="2143"/>
      <c r="P48" s="3386" t="str">
        <f>A48</f>
        <v>成交单价</v>
      </c>
      <c r="Q48" s="3386"/>
      <c r="R48" s="3387">
        <f>E48</f>
        <v>1590</v>
      </c>
      <c r="S48" s="3387"/>
      <c r="T48" s="3387">
        <f>G48</f>
        <v>1430</v>
      </c>
      <c r="U48" s="3387"/>
      <c r="V48" s="3387">
        <f>I48</f>
        <v>1248</v>
      </c>
      <c r="W48" s="3387"/>
      <c r="X48" s="1558"/>
      <c r="Y48" s="1580"/>
      <c r="Z48" s="1558"/>
      <c r="AA48" s="1558"/>
      <c r="AB48" s="1558"/>
      <c r="AC48" s="1558"/>
    </row>
    <row r="49" spans="1:29" ht="21" thickBot="1">
      <c r="A49" s="613" t="s">
        <v>2692</v>
      </c>
      <c r="B49" s="614"/>
      <c r="C49" s="615">
        <f>R50</f>
        <v>1425</v>
      </c>
      <c r="D49" s="616"/>
      <c r="E49" s="615">
        <f>R49</f>
        <v>1529</v>
      </c>
      <c r="F49" s="617"/>
      <c r="G49" s="618">
        <f>T49</f>
        <v>1362</v>
      </c>
      <c r="H49" s="616"/>
      <c r="I49" s="615">
        <f>V49</f>
        <v>1384</v>
      </c>
      <c r="J49" s="616"/>
      <c r="K49" s="1339"/>
      <c r="L49" s="2142"/>
      <c r="M49" s="2130"/>
      <c r="N49" s="2130"/>
      <c r="O49" s="2143"/>
      <c r="P49" s="3386" t="str">
        <f>A49</f>
        <v>比较价格（元/平方米）</v>
      </c>
      <c r="Q49" s="3386"/>
      <c r="R49" s="3388">
        <f>ROUND(PRODUCT(R48,AA9:AA47),0)</f>
        <v>1529</v>
      </c>
      <c r="S49" s="3388"/>
      <c r="T49" s="3388">
        <f>ROUND(PRODUCT(T48,AB9:AB47),0)</f>
        <v>1362</v>
      </c>
      <c r="U49" s="3388"/>
      <c r="V49" s="3388">
        <f>ROUND(PRODUCT(V48,AC9:AC47),0)</f>
        <v>1384</v>
      </c>
      <c r="W49" s="3388"/>
      <c r="X49" s="1558"/>
      <c r="Y49" s="1558"/>
      <c r="Z49" s="1558"/>
      <c r="AA49" s="1558"/>
      <c r="AB49" s="1558"/>
      <c r="AC49" s="1558"/>
    </row>
    <row r="50" spans="1:29" ht="21" thickBot="1">
      <c r="A50" s="619" t="s">
        <v>2919</v>
      </c>
      <c r="B50" s="620"/>
      <c r="C50" s="621">
        <f>R50</f>
        <v>1425</v>
      </c>
      <c r="D50" s="621"/>
      <c r="E50" s="621"/>
      <c r="F50" s="621"/>
      <c r="G50" s="621"/>
      <c r="H50" s="621"/>
      <c r="I50" s="621"/>
      <c r="J50" s="621"/>
      <c r="K50" s="1340"/>
      <c r="L50" s="2142"/>
      <c r="M50" s="2130"/>
      <c r="N50" s="2130"/>
      <c r="O50" s="2143"/>
      <c r="P50" s="3383" t="str">
        <f>A50</f>
        <v>估价对象XX用房的比较价格（楼面单价，元/平方米）</v>
      </c>
      <c r="Q50" s="3384"/>
      <c r="R50" s="3385">
        <f>ROUND(AVERAGE(R49:V49),0)</f>
        <v>1425</v>
      </c>
      <c r="S50" s="3385"/>
      <c r="T50" s="3385"/>
      <c r="U50" s="3385"/>
      <c r="V50" s="3385"/>
      <c r="W50" s="3385"/>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3.9895356442118945E-2</v>
      </c>
      <c r="F53" s="625" t="str">
        <f>IF(OR(E53&gt;=0.3,E53&lt;=-0.3),"超过30%","")</f>
        <v/>
      </c>
      <c r="G53" s="624">
        <f>IF(G48&lt;G49,G49/G48-1,G48/G49-1)</f>
        <v>4.9926578560939738E-2</v>
      </c>
      <c r="H53" s="625" t="str">
        <f>IF(OR(G53&gt;=0.3,G53&lt;=-0.3),"超过30%","")</f>
        <v/>
      </c>
      <c r="I53" s="624">
        <f>IF(I48&lt;I49,I49/I48-1,I48/I49-1)</f>
        <v>0.10897435897435903</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0.12261380323054327</v>
      </c>
      <c r="F54" s="625" t="str">
        <f>IF(OR(E54&gt;=0.2,E54&lt;=-0.2),"超过20%","")</f>
        <v/>
      </c>
      <c r="G54" s="624">
        <f>IF(G49&lt;I49,I49/G49-1,G49/I49-1)</f>
        <v>1.6152716593245131E-2</v>
      </c>
      <c r="H54" s="625" t="str">
        <f>IF(OR(G54&gt;=0.2,G54&lt;=-0.2),"超过20%","")</f>
        <v/>
      </c>
      <c r="I54" s="624">
        <f>IF(I49&lt;E49,E49/I49-1,I49/E49-1)</f>
        <v>0.10476878612716756</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0.11188811188811187</v>
      </c>
      <c r="F55" s="625" t="str">
        <f>IF(OR(E55&gt;=0.3,E55&lt;=-0.3),"超过30%","")</f>
        <v/>
      </c>
      <c r="G55" s="624">
        <f>IF(G48&lt;I48,I48/G48-1,G48/I48-1)</f>
        <v>0.14583333333333326</v>
      </c>
      <c r="H55" s="625" t="str">
        <f>IF(OR(G55&gt;=0.3,G55&lt;=-0.3),"超过30%","")</f>
        <v/>
      </c>
      <c r="I55" s="624">
        <f>IF(I48&lt;E48,E48/I48-1,I48/E48-1)</f>
        <v>0.27403846153846145</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560</v>
      </c>
      <c r="B57" s="628" t="s">
        <v>561</v>
      </c>
      <c r="C57" s="1559" t="s">
        <v>1725</v>
      </c>
      <c r="D57" s="2225" t="s">
        <v>2294</v>
      </c>
      <c r="E57" s="629" t="s">
        <v>562</v>
      </c>
      <c r="F57" s="630" t="s">
        <v>563</v>
      </c>
      <c r="G57" s="3411" t="s">
        <v>2282</v>
      </c>
      <c r="H57" s="3412"/>
      <c r="I57" s="1554" t="s">
        <v>1723</v>
      </c>
      <c r="J57" s="1554" t="str">
        <f>项目基本情况!F41</f>
        <v>河北省</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1425</v>
      </c>
      <c r="C58" s="633">
        <v>1</v>
      </c>
      <c r="D58" s="2226">
        <v>1</v>
      </c>
      <c r="E58" s="633">
        <f>'数据-汇总表'!E8+'数据-汇总表'!E9</f>
        <v>119144.43999999997</v>
      </c>
      <c r="F58" s="634">
        <f t="shared" ref="F58:F67" si="15">ROUND(B58*E58/10000,0)</f>
        <v>16978</v>
      </c>
      <c r="G58" s="3413"/>
      <c r="H58" s="3414"/>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3415" t="s">
        <v>2283</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3415"/>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3415"/>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3415"/>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2327</v>
      </c>
      <c r="B63" s="636">
        <f t="shared" si="17"/>
        <v>0</v>
      </c>
      <c r="C63" s="376">
        <f t="shared" si="16"/>
        <v>0</v>
      </c>
      <c r="D63" s="2227">
        <v>0.25</v>
      </c>
      <c r="E63" s="639">
        <f>'数据-汇总表'!E11</f>
        <v>0</v>
      </c>
      <c r="F63" s="634">
        <f t="shared" si="15"/>
        <v>0</v>
      </c>
      <c r="G63" s="1943" t="s">
        <v>2284</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1678</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52223.11</v>
      </c>
      <c r="F65" s="634">
        <f t="shared" si="15"/>
        <v>0</v>
      </c>
      <c r="G65" s="1944" t="s">
        <v>923</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1943" t="s">
        <v>2283</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2284</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2295</v>
      </c>
      <c r="E68" s="641">
        <f>IF(B48="楼面地价",SUM(E58:E67),'数据-汇总表'!D3)</f>
        <v>171367.55</v>
      </c>
      <c r="F68" s="642">
        <f>IF(B48="楼面地价",SUM(F58:F67),ROUND(C50*E68/10000,0))</f>
        <v>16978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2018-9-1</v>
      </c>
      <c r="D70" s="2797">
        <f>EDATE(C70,-3)</f>
        <v>43252</v>
      </c>
      <c r="E70" s="2797">
        <f t="shared" ref="E70:N70" si="18">EDATE(D70,-3)</f>
        <v>43160</v>
      </c>
      <c r="F70" s="2797">
        <f t="shared" si="18"/>
        <v>43070</v>
      </c>
      <c r="G70" s="2797">
        <f t="shared" si="18"/>
        <v>42979</v>
      </c>
      <c r="H70" s="2797">
        <f t="shared" si="18"/>
        <v>42887</v>
      </c>
      <c r="I70" s="2797">
        <f t="shared" si="18"/>
        <v>42795</v>
      </c>
      <c r="J70" s="2797">
        <f t="shared" si="18"/>
        <v>42705</v>
      </c>
      <c r="K70" s="2797">
        <f t="shared" si="18"/>
        <v>42614</v>
      </c>
      <c r="L70" s="2797">
        <f t="shared" si="18"/>
        <v>42522</v>
      </c>
      <c r="M70" s="2797">
        <f t="shared" si="18"/>
        <v>42430</v>
      </c>
      <c r="N70" s="2797">
        <f t="shared" si="18"/>
        <v>42339</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66" t="s">
        <v>2531</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8" customFormat="1" ht="27" customHeight="1">
      <c r="A73" s="2804" t="s">
        <v>2646</v>
      </c>
      <c r="B73" s="477" t="str">
        <f>"北京市平均增长率"&amp;TEXT(SUMIF(基准地价!N21:N25,A73,基准地价!P21:P25),"0.00%")</f>
        <v>北京市平均增长率2.23%</v>
      </c>
      <c r="C73" s="892">
        <v>100</v>
      </c>
      <c r="D73" s="728">
        <f>C73-0.5</f>
        <v>99.5</v>
      </c>
      <c r="E73" s="728">
        <f t="shared" ref="E73:N73" si="20">D73-0.5</f>
        <v>99</v>
      </c>
      <c r="F73" s="728">
        <f t="shared" si="20"/>
        <v>98.5</v>
      </c>
      <c r="G73" s="728">
        <f t="shared" si="20"/>
        <v>98</v>
      </c>
      <c r="H73" s="728">
        <f t="shared" si="20"/>
        <v>97.5</v>
      </c>
      <c r="I73" s="728">
        <f t="shared" si="20"/>
        <v>97</v>
      </c>
      <c r="J73" s="728">
        <f t="shared" si="20"/>
        <v>96.5</v>
      </c>
      <c r="K73" s="728">
        <f t="shared" si="20"/>
        <v>96</v>
      </c>
      <c r="L73" s="728">
        <f t="shared" si="20"/>
        <v>95.5</v>
      </c>
      <c r="M73" s="728">
        <f t="shared" si="20"/>
        <v>95</v>
      </c>
      <c r="N73" s="728">
        <f t="shared" si="20"/>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2645</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79" t="s">
        <v>3236</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1</v>
      </c>
      <c r="E82" s="539">
        <v>2</v>
      </c>
      <c r="F82" s="539">
        <v>3</v>
      </c>
      <c r="G82" s="539">
        <v>4</v>
      </c>
      <c r="H82" s="539">
        <v>5</v>
      </c>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686"/>
      <c r="D84" s="1374"/>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98</v>
      </c>
      <c r="E91" s="677">
        <f>D91-$K17</f>
        <v>96</v>
      </c>
      <c r="F91" s="677">
        <f>E91-$K17</f>
        <v>94</v>
      </c>
      <c r="G91" s="677">
        <f>F91-$K17</f>
        <v>92</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2547</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95" t="s">
        <v>2549</v>
      </c>
      <c r="C104" s="2596" t="s">
        <v>2550</v>
      </c>
      <c r="D104" s="2596" t="s">
        <v>2551</v>
      </c>
      <c r="E104" s="2596" t="s">
        <v>2552</v>
      </c>
      <c r="F104" s="2596" t="s">
        <v>2553</v>
      </c>
      <c r="G104" s="2596" t="s">
        <v>2554</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6">C119&amp;"(含)"&amp;"-"&amp;D119</f>
        <v>0(含)-10000</v>
      </c>
      <c r="D118" s="702" t="str">
        <f t="shared" si="26"/>
        <v>10000(含)-50000</v>
      </c>
      <c r="E118" s="702" t="str">
        <f t="shared" si="26"/>
        <v>50000(含)-100000</v>
      </c>
      <c r="F118" s="702" t="str">
        <f t="shared" si="26"/>
        <v>100000(含)-500000</v>
      </c>
      <c r="G118" s="702" t="str">
        <f t="shared" si="26"/>
        <v>500000(含)-1000000</v>
      </c>
      <c r="H118" s="702" t="str">
        <f t="shared" si="26"/>
        <v>1000000(含)-</v>
      </c>
      <c r="I118" s="702" t="str">
        <f t="shared" si="26"/>
        <v>(含)-</v>
      </c>
      <c r="J118" s="3087" t="str">
        <f t="shared" si="26"/>
        <v>(含)-</v>
      </c>
      <c r="K118" s="3087" t="str">
        <f t="shared" si="26"/>
        <v>(含)-</v>
      </c>
      <c r="L118" s="3088" t="str">
        <f t="shared" si="26"/>
        <v>(含)-</v>
      </c>
      <c r="M118" s="308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v>
      </c>
      <c r="E119" s="728">
        <v>50000</v>
      </c>
      <c r="F119" s="728">
        <v>100000</v>
      </c>
      <c r="G119" s="728">
        <v>500000</v>
      </c>
      <c r="H119" s="728">
        <v>1000000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f>C120+1</f>
        <v>101</v>
      </c>
      <c r="E120" s="724">
        <f t="shared" ref="E120:G120" si="27">D120+1</f>
        <v>102</v>
      </c>
      <c r="F120" s="724">
        <f t="shared" si="27"/>
        <v>103</v>
      </c>
      <c r="G120" s="724">
        <f t="shared" si="27"/>
        <v>104</v>
      </c>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80" t="s">
        <v>3242</v>
      </c>
      <c r="D121" s="3180" t="s">
        <v>3244</v>
      </c>
      <c r="E121" s="3180" t="s">
        <v>3245</v>
      </c>
      <c r="F121" s="3180" t="s">
        <v>3246</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8">C122-$K41</f>
        <v>98</v>
      </c>
      <c r="E122" s="677">
        <f t="shared" si="28"/>
        <v>96</v>
      </c>
      <c r="F122" s="677">
        <f t="shared" si="28"/>
        <v>94</v>
      </c>
      <c r="G122" s="677">
        <f t="shared" si="28"/>
        <v>92</v>
      </c>
      <c r="H122" s="677">
        <f t="shared" si="28"/>
        <v>90</v>
      </c>
      <c r="I122" s="677">
        <f t="shared" si="28"/>
        <v>88</v>
      </c>
      <c r="J122" s="677">
        <f t="shared" si="28"/>
        <v>86</v>
      </c>
      <c r="K122" s="677">
        <f t="shared" si="28"/>
        <v>84</v>
      </c>
      <c r="L122" s="677">
        <f t="shared" si="28"/>
        <v>82</v>
      </c>
      <c r="M122" s="678">
        <f t="shared" si="28"/>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3181" t="s">
        <v>3247</v>
      </c>
      <c r="D123" s="3181" t="s">
        <v>3249</v>
      </c>
      <c r="E123" s="3181" t="s">
        <v>3250</v>
      </c>
      <c r="F123" s="3180" t="s">
        <v>3251</v>
      </c>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9">C124-$K42</f>
        <v>98</v>
      </c>
      <c r="E124" s="677">
        <f t="shared" si="29"/>
        <v>96</v>
      </c>
      <c r="F124" s="677">
        <f t="shared" si="29"/>
        <v>94</v>
      </c>
      <c r="G124" s="677">
        <f t="shared" si="29"/>
        <v>92</v>
      </c>
      <c r="H124" s="677">
        <f t="shared" si="29"/>
        <v>90</v>
      </c>
      <c r="I124" s="677">
        <f t="shared" si="29"/>
        <v>88</v>
      </c>
      <c r="J124" s="677">
        <f t="shared" si="29"/>
        <v>86</v>
      </c>
      <c r="K124" s="677">
        <f t="shared" si="29"/>
        <v>84</v>
      </c>
      <c r="L124" s="677">
        <f t="shared" si="29"/>
        <v>82</v>
      </c>
      <c r="M124" s="678">
        <f t="shared" si="29"/>
        <v>80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2424</v>
      </c>
      <c r="C125" s="1374" t="s">
        <v>3241</v>
      </c>
      <c r="D125" s="1374" t="s">
        <v>3252</v>
      </c>
      <c r="E125" s="1374" t="s">
        <v>3253</v>
      </c>
      <c r="F125" s="1374" t="s">
        <v>3254</v>
      </c>
      <c r="G125" s="1374" t="s">
        <v>3255</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t="s">
        <v>3256</v>
      </c>
      <c r="D127" s="686" t="s">
        <v>3240</v>
      </c>
      <c r="E127" s="716" t="s">
        <v>3238</v>
      </c>
      <c r="F127" s="716" t="s">
        <v>3239</v>
      </c>
      <c r="G127" s="716" t="s">
        <v>3257</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1">C128-$K44</f>
        <v>98</v>
      </c>
      <c r="E128" s="677">
        <f t="shared" si="31"/>
        <v>96</v>
      </c>
      <c r="F128" s="677">
        <f t="shared" si="31"/>
        <v>94</v>
      </c>
      <c r="G128" s="677">
        <f t="shared" si="31"/>
        <v>92</v>
      </c>
      <c r="H128" s="677">
        <f t="shared" si="31"/>
        <v>90</v>
      </c>
      <c r="I128" s="677">
        <f t="shared" si="31"/>
        <v>88</v>
      </c>
      <c r="J128" s="677">
        <f t="shared" si="31"/>
        <v>86</v>
      </c>
      <c r="K128" s="677">
        <f t="shared" si="31"/>
        <v>84</v>
      </c>
      <c r="L128" s="677">
        <f t="shared" si="31"/>
        <v>82</v>
      </c>
      <c r="M128" s="678">
        <f t="shared" si="31"/>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21" sqref="E21:E22"/>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0">
        <f>MATCH(B1,'数据-取费表'!A6:A16,0)+5</f>
        <v>8</v>
      </c>
    </row>
    <row r="2" spans="1:31" s="2039" customFormat="1" ht="18" customHeight="1">
      <c r="A2" s="2099" t="s">
        <v>467</v>
      </c>
      <c r="B2" s="2103">
        <f ca="1">C36</f>
        <v>55306</v>
      </c>
      <c r="C2" s="2102"/>
      <c r="D2" s="2102"/>
      <c r="E2" s="2102"/>
      <c r="F2" s="2102"/>
      <c r="G2" s="2102"/>
      <c r="H2" s="2102"/>
      <c r="I2" s="2102"/>
      <c r="J2" s="2102"/>
      <c r="K2" s="2102"/>
    </row>
    <row r="3" spans="1:31" s="2039" customFormat="1" ht="18" customHeight="1">
      <c r="A3" s="2104" t="s">
        <v>1685</v>
      </c>
      <c r="B3" s="2105">
        <f ca="1">ROUND(B2*10000/IF(B1="",'数据-汇总表'!E3,INDIRECT("'数据-取费表'!K"&amp;$K$1)),0)</f>
        <v>2827</v>
      </c>
      <c r="C3" s="2102"/>
      <c r="D3" s="2102"/>
      <c r="E3" s="2102"/>
      <c r="F3" s="2102"/>
      <c r="G3" s="2102"/>
      <c r="H3" s="2102"/>
      <c r="I3" s="2102"/>
      <c r="J3" s="2102"/>
      <c r="K3" s="2102"/>
    </row>
    <row r="4" spans="1:31" s="2039" customFormat="1" ht="18" customHeight="1">
      <c r="A4" s="424" t="s">
        <v>468</v>
      </c>
      <c r="B4" s="425">
        <f ca="1">ROUND(B2*10000/IF(B1="",'数据-汇总表'!D3,INDIRECT("'数据-取费表'!R"&amp;$K$1)),0)</f>
        <v>8571</v>
      </c>
      <c r="C4" s="426"/>
      <c r="D4" s="420"/>
      <c r="E4" s="420"/>
      <c r="F4" s="420"/>
      <c r="G4" s="420"/>
      <c r="H4" s="420"/>
      <c r="I4" s="420"/>
      <c r="J4" s="420"/>
      <c r="K4" s="420"/>
    </row>
    <row r="5" spans="1:31" s="2039" customFormat="1" ht="18" customHeight="1" thickBot="1">
      <c r="A5" s="427"/>
      <c r="B5" s="428">
        <f ca="1">ROUND(B2/(IF(B1="",'数据-汇总表'!D3,INDIRECT("'数据-取费表'!R"&amp;$K$1))/666.67),0)</f>
        <v>571</v>
      </c>
      <c r="C5" s="429" t="s">
        <v>469</v>
      </c>
      <c r="D5" s="420"/>
      <c r="E5" s="420"/>
      <c r="F5" s="420"/>
      <c r="G5" s="420"/>
      <c r="H5" s="420"/>
      <c r="I5" s="420"/>
      <c r="J5" s="420"/>
      <c r="K5" s="420"/>
    </row>
    <row r="6" spans="1:31" s="2109" customFormat="1" ht="16.5" customHeight="1">
      <c r="A6" s="2826" t="s">
        <v>1843</v>
      </c>
      <c r="B6" s="2827"/>
      <c r="C6" s="2828">
        <f ca="1">SUM(C10:K10)</f>
        <v>145806</v>
      </c>
      <c r="D6" s="2827"/>
      <c r="E6" s="2827"/>
      <c r="F6" s="2827"/>
      <c r="G6" s="2827"/>
      <c r="H6" s="2827"/>
      <c r="I6" s="2827"/>
      <c r="J6" s="2827"/>
      <c r="K6" s="2829"/>
    </row>
    <row r="7" spans="1:31" s="2111" customFormat="1" ht="15">
      <c r="A7" s="2830" t="s">
        <v>470</v>
      </c>
      <c r="B7" s="2831" t="s">
        <v>471</v>
      </c>
      <c r="C7" s="434" t="s">
        <v>923</v>
      </c>
      <c r="D7" s="434" t="s">
        <v>3325</v>
      </c>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2832">
        <f>'不动产比较法-住宅'!B3</f>
        <v>12050</v>
      </c>
      <c r="D8" s="2832">
        <f ca="1">不动产收益法!B3</f>
        <v>428</v>
      </c>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119144.43999999997</v>
      </c>
      <c r="D9" s="439">
        <f>SUMIF('数据-汇总表'!$C19:$C33,'剩余法-待开发'!D7,'数据-汇总表'!$E19:$E33)</f>
        <v>52223.11</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5">
        <f>'不动产比较法-住宅'!B2</f>
        <v>143569</v>
      </c>
      <c r="D10" s="3025">
        <f ca="1">不动产收益法!B2</f>
        <v>2237</v>
      </c>
      <c r="E10" s="3025"/>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8">
        <f ca="1">IF(B1="",'数据-取费表'!P16,INDIRECT("'数据-取费表'!p"&amp;$K$1)+INDIRECT("'数据-取费表'!t"&amp;$K$1))</f>
        <v>38853</v>
      </c>
      <c r="D13" s="2842"/>
      <c r="E13" s="2843"/>
      <c r="F13" s="2844"/>
      <c r="G13" s="2810"/>
      <c r="H13" s="2811"/>
      <c r="I13" s="2811"/>
      <c r="J13" s="2811"/>
      <c r="K13" s="2812"/>
    </row>
    <row r="14" spans="1:31" s="2114" customFormat="1" ht="13.5" customHeight="1">
      <c r="A14" s="2840" t="s">
        <v>1850</v>
      </c>
      <c r="B14" s="2841" t="s">
        <v>480</v>
      </c>
      <c r="C14" s="53">
        <f ca="1">ROUND(C13*F14,0)</f>
        <v>1166</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1191</v>
      </c>
      <c r="D15" s="2842"/>
      <c r="E15" s="2843"/>
      <c r="F15" s="2845">
        <f>'数据-取费表'!B34</f>
        <v>0.05</v>
      </c>
      <c r="G15" s="2810" t="s">
        <v>483</v>
      </c>
      <c r="H15" s="2811"/>
      <c r="I15" s="2811"/>
      <c r="J15" s="2811"/>
      <c r="K15" s="2812"/>
    </row>
    <row r="16" spans="1:31" s="2115" customFormat="1" ht="13.5" customHeight="1">
      <c r="A16" s="2840" t="s">
        <v>1852</v>
      </c>
      <c r="B16" s="2841" t="s">
        <v>484</v>
      </c>
      <c r="C16" s="53">
        <f ca="1">ROUND(D16*E16/10000,0)</f>
        <v>3913</v>
      </c>
      <c r="D16" s="2842">
        <f ca="1">IF(B1="",'数据-汇总表'!E3,INDIRECT("'数据-取费表'!K"&amp;$K$1)+INDIRECT("'数据-取费表'!S"&amp;$K$1))</f>
        <v>195640.36</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583</v>
      </c>
      <c r="D17" s="473"/>
      <c r="E17" s="2846"/>
      <c r="F17" s="2847">
        <f>'数据-取费表'!B36</f>
        <v>1.4999999999999999E-2</v>
      </c>
      <c r="G17" s="259" t="s">
        <v>486</v>
      </c>
      <c r="H17" s="2813"/>
      <c r="I17" s="2813"/>
      <c r="J17" s="2813"/>
      <c r="K17" s="277"/>
    </row>
    <row r="18" spans="1:14" s="2114" customFormat="1" ht="13.5" customHeight="1">
      <c r="A18" s="2848" t="s">
        <v>1854</v>
      </c>
      <c r="B18" s="2849" t="s">
        <v>487</v>
      </c>
      <c r="C18" s="2850">
        <f ca="1">SUM(C13:C17)</f>
        <v>45706</v>
      </c>
      <c r="D18" s="2851"/>
      <c r="E18" s="466"/>
      <c r="F18" s="466"/>
      <c r="G18" s="2814" t="s">
        <v>2429</v>
      </c>
      <c r="H18" s="2815"/>
      <c r="I18" s="2815"/>
      <c r="J18" s="2815"/>
      <c r="K18" s="2816"/>
    </row>
    <row r="19" spans="1:14" s="2114" customFormat="1" ht="13.5" customHeight="1">
      <c r="A19" s="2848" t="s">
        <v>1855</v>
      </c>
      <c r="B19" s="2849" t="s">
        <v>488</v>
      </c>
      <c r="C19" s="2806">
        <f ca="1">ROUND(D19*E19/10000,0)</f>
        <v>2348</v>
      </c>
      <c r="D19" s="2852">
        <f ca="1">D16</f>
        <v>195640.36</v>
      </c>
      <c r="E19" s="2806">
        <f>'数据-取费表'!B32</f>
        <v>120</v>
      </c>
      <c r="F19" s="466"/>
      <c r="G19" s="2810" t="s">
        <v>489</v>
      </c>
      <c r="H19" s="2811"/>
      <c r="I19" s="2815"/>
      <c r="J19" s="2815"/>
      <c r="K19" s="2816"/>
    </row>
    <row r="20" spans="1:14" s="2114" customFormat="1" ht="13.5" customHeight="1">
      <c r="A20" s="2848" t="s">
        <v>1856</v>
      </c>
      <c r="B20" s="2849" t="s">
        <v>490</v>
      </c>
      <c r="C20" s="2806">
        <f ca="1">C21+C22-IF(B1="",'数据-取费表'!B29,IF(G20="已全部缴纳",C21+C22,H20))</f>
        <v>606</v>
      </c>
      <c r="D20" s="2852"/>
      <c r="E20" s="2806"/>
      <c r="F20" s="2853"/>
      <c r="G20" s="3083" t="s">
        <v>3259</v>
      </c>
      <c r="H20" s="2808">
        <v>0</v>
      </c>
      <c r="I20" s="2809" t="s">
        <v>2650</v>
      </c>
      <c r="J20" s="2815"/>
      <c r="K20" s="2816"/>
    </row>
    <row r="21" spans="1:14" s="2114" customFormat="1" ht="13.5" customHeight="1">
      <c r="A21" s="2840" t="s">
        <v>1857</v>
      </c>
      <c r="B21" s="2841" t="s">
        <v>491</v>
      </c>
      <c r="C21" s="53">
        <f ca="1">ROUND(D21*E21/10000,0)</f>
        <v>387</v>
      </c>
      <c r="D21" s="2842">
        <f ca="1">IF(B1="",'数据-汇总表'!E5,IF(INDIRECT("'数据-取费表'!c"&amp;$K$1)="住宅",INDIRECT("'数据-取费表'!k"&amp;$K$1),0))</f>
        <v>119144.43999999997</v>
      </c>
      <c r="E21" s="53">
        <f>'数据-取费表'!B27</f>
        <v>32.5</v>
      </c>
      <c r="F21" s="2845"/>
      <c r="G21" s="26"/>
      <c r="H21" s="51"/>
      <c r="I21" s="51"/>
      <c r="J21" s="51"/>
      <c r="K21" s="2817"/>
    </row>
    <row r="22" spans="1:14" s="2114" customFormat="1" ht="13.5" customHeight="1">
      <c r="A22" s="2840" t="s">
        <v>1858</v>
      </c>
      <c r="B22" s="2841" t="s">
        <v>492</v>
      </c>
      <c r="C22" s="53">
        <f ca="1">ROUND(D22*E22/10000,0)</f>
        <v>219</v>
      </c>
      <c r="D22" s="2842">
        <f ca="1">IF(B1="",'数据-汇总表'!E6,IF(INDIRECT("'数据-取费表'!c"&amp;$K$1)="住宅",INDIRECT("'数据-取费表'!s"&amp;$K$1),INDIRECT("'数据-取费表'!k"&amp;$K$1)+INDIRECT("'数据-取费表'!s"&amp;$K$1)))</f>
        <v>76495.920000000013</v>
      </c>
      <c r="E22" s="53">
        <f>'数据-取费表'!B28</f>
        <v>28.6</v>
      </c>
      <c r="F22" s="2845"/>
      <c r="G22" s="26"/>
      <c r="H22" s="51"/>
      <c r="I22" s="51"/>
      <c r="J22" s="51"/>
      <c r="K22" s="2817"/>
    </row>
    <row r="23" spans="1:14" s="2114" customFormat="1" ht="13.5" customHeight="1">
      <c r="A23" s="2848" t="s">
        <v>1859</v>
      </c>
      <c r="B23" s="3031" t="s">
        <v>2833</v>
      </c>
      <c r="C23" s="2850">
        <f ca="1">ROUND((C18+C19+C20)*F23,0)</f>
        <v>973</v>
      </c>
      <c r="D23" s="466"/>
      <c r="E23" s="466"/>
      <c r="F23" s="2854">
        <f>'数据-取费表'!B37</f>
        <v>0.02</v>
      </c>
      <c r="G23" s="2810" t="s">
        <v>2430</v>
      </c>
      <c r="H23" s="2811"/>
      <c r="I23" s="2811"/>
      <c r="J23" s="2811"/>
      <c r="K23" s="2812"/>
      <c r="L23" s="2116"/>
      <c r="M23" s="2116"/>
      <c r="N23" s="2116"/>
    </row>
    <row r="24" spans="1:14" s="2114" customFormat="1" ht="13.5" customHeight="1">
      <c r="A24" s="2848" t="s">
        <v>1860</v>
      </c>
      <c r="B24" s="3031" t="s">
        <v>2836</v>
      </c>
      <c r="C24" s="2850">
        <f ca="1">ROUND(C6*F24,0)</f>
        <v>2916</v>
      </c>
      <c r="D24" s="473"/>
      <c r="E24" s="471"/>
      <c r="F24" s="2854">
        <f>'数据-取费表'!B38</f>
        <v>0.02</v>
      </c>
      <c r="G24" s="2819" t="s">
        <v>499</v>
      </c>
      <c r="H24" s="2813"/>
      <c r="I24" s="2813"/>
      <c r="J24" s="2813"/>
      <c r="K24" s="277"/>
      <c r="L24" s="2116"/>
      <c r="M24" s="2116"/>
      <c r="N24" s="2116"/>
    </row>
    <row r="25" spans="1:14" s="2117" customFormat="1" ht="13.5" customHeight="1">
      <c r="A25" s="2848" t="s">
        <v>1861</v>
      </c>
      <c r="B25" s="3031" t="s">
        <v>2834</v>
      </c>
      <c r="C25" s="465">
        <f>ROUND(F25/(1+'数据-取费表'!C42),4)</f>
        <v>2.9000000000000001E-2</v>
      </c>
      <c r="D25" s="460" t="s">
        <v>2828</v>
      </c>
      <c r="E25" s="467"/>
      <c r="F25" s="2854">
        <f>'数据-取费表'!B48+'数据-取费表'!B49</f>
        <v>3.0499999999999999E-2</v>
      </c>
      <c r="G25" s="2818" t="s">
        <v>2290</v>
      </c>
      <c r="H25" s="2811"/>
      <c r="I25" s="2811"/>
      <c r="J25" s="2811"/>
      <c r="K25" s="2812"/>
    </row>
    <row r="26" spans="1:14" s="2116" customFormat="1" ht="13.5" customHeight="1">
      <c r="A26" s="2848" t="s">
        <v>1862</v>
      </c>
      <c r="B26" s="3032" t="s">
        <v>2835</v>
      </c>
      <c r="C26" s="2855">
        <f ca="1">C28</f>
        <v>3788</v>
      </c>
      <c r="D26" s="465">
        <f ca="1">C27</f>
        <v>0.1537</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1857</v>
      </c>
      <c r="B27" s="2856" t="s">
        <v>496</v>
      </c>
      <c r="C27" s="2857">
        <f ca="1">ROUND(IF('数据-取费表'!B22&lt;=1,(1+C25)*F26*'数据-取费表'!B24,(1+C25)*(POWER((1+F26),'数据-取费表'!B24)-1)),4)</f>
        <v>0.1537</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1858</v>
      </c>
      <c r="B28" s="2856" t="s">
        <v>2837</v>
      </c>
      <c r="C28" s="2858">
        <f ca="1">ROUND(IF('数据-取费表'!B22&lt;=1,(C18+C19+C20+C23+C24)*F26*'数据-取费表'!B24/2,(C18+C19+C20+C23+C24)*(POWER((1+F26),'数据-取费表'!B24/2)-1)),0)</f>
        <v>3788</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1863</v>
      </c>
      <c r="B29" s="2849" t="s">
        <v>497</v>
      </c>
      <c r="C29" s="2850">
        <f ca="1">ROUND(C6*F29/(1+'数据-取费表'!C42),0)</f>
        <v>7637</v>
      </c>
      <c r="D29" s="466"/>
      <c r="E29" s="466"/>
      <c r="F29" s="3033">
        <f>'数据-取费表'!B41</f>
        <v>5.5000000000000007E-2</v>
      </c>
      <c r="G29" s="2819" t="s">
        <v>498</v>
      </c>
      <c r="H29" s="2811"/>
      <c r="I29" s="2811"/>
      <c r="J29" s="2811"/>
      <c r="K29" s="2812"/>
    </row>
    <row r="30" spans="1:14" s="2119" customFormat="1" ht="13.5" customHeight="1">
      <c r="A30" s="1634" t="s">
        <v>1864</v>
      </c>
      <c r="B30" s="2860" t="s">
        <v>500</v>
      </c>
      <c r="C30" s="2855">
        <f ca="1">C31</f>
        <v>63974</v>
      </c>
      <c r="D30" s="475">
        <f ca="1">C32</f>
        <v>0.1827</v>
      </c>
      <c r="E30" s="467" t="s">
        <v>495</v>
      </c>
      <c r="F30" s="469"/>
      <c r="G30" s="2818" t="s">
        <v>2958</v>
      </c>
      <c r="H30" s="2811"/>
      <c r="I30" s="2811"/>
      <c r="J30" s="2811"/>
      <c r="K30" s="2812"/>
    </row>
    <row r="31" spans="1:14" s="2118" customFormat="1" ht="13.5" customHeight="1">
      <c r="A31" s="801" t="s">
        <v>1857</v>
      </c>
      <c r="B31" s="2856"/>
      <c r="C31" s="448">
        <f ca="1">C18+C19+C20+C23+C24+C26+C29</f>
        <v>63974</v>
      </c>
      <c r="D31" s="470"/>
      <c r="E31" s="471"/>
      <c r="F31" s="472"/>
      <c r="G31" s="259"/>
      <c r="H31" s="2813"/>
      <c r="I31" s="2813"/>
      <c r="J31" s="2813"/>
      <c r="K31" s="277"/>
    </row>
    <row r="32" spans="1:14" s="2118" customFormat="1" ht="13.5" customHeight="1">
      <c r="A32" s="801" t="s">
        <v>1858</v>
      </c>
      <c r="B32" s="2856"/>
      <c r="C32" s="53">
        <f ca="1">ROUND(C25+D26,4)</f>
        <v>0.1827</v>
      </c>
      <c r="D32" s="470"/>
      <c r="E32" s="471"/>
      <c r="F32" s="472"/>
      <c r="G32" s="259"/>
      <c r="H32" s="2813"/>
      <c r="I32" s="2813"/>
      <c r="J32" s="2813"/>
      <c r="K32" s="277"/>
    </row>
    <row r="33" spans="1:11" s="2120" customFormat="1" ht="13.5" customHeight="1">
      <c r="A33" s="3030" t="s">
        <v>2832</v>
      </c>
      <c r="B33" s="3028" t="s">
        <v>2830</v>
      </c>
      <c r="C33" s="476">
        <f ca="1">C35</f>
        <v>7882</v>
      </c>
      <c r="D33" s="465">
        <f ca="1">C34</f>
        <v>0.15440000000000001</v>
      </c>
      <c r="E33" s="467" t="s">
        <v>495</v>
      </c>
      <c r="F33" s="477">
        <f ca="1">IF(B1="",'数据-取费表'!Q16,INDIRECT("'数据-取费表'!q"&amp;$K$1))</f>
        <v>0.15</v>
      </c>
      <c r="G33" s="2814"/>
      <c r="H33" s="2815"/>
      <c r="I33" s="2815"/>
      <c r="J33" s="2815"/>
      <c r="K33" s="2816"/>
    </row>
    <row r="34" spans="1:11" s="2121" customFormat="1" ht="13.5" customHeight="1">
      <c r="A34" s="373" t="s">
        <v>1857</v>
      </c>
      <c r="B34" s="2861" t="s">
        <v>501</v>
      </c>
      <c r="C34" s="470">
        <f ca="1">ROUND((1+C25)*F33,4)</f>
        <v>0.15440000000000001</v>
      </c>
      <c r="D34" s="470"/>
      <c r="E34" s="471"/>
      <c r="F34" s="478"/>
      <c r="G34" s="259" t="s">
        <v>2291</v>
      </c>
      <c r="H34" s="2813"/>
      <c r="I34" s="2813"/>
      <c r="J34" s="2813"/>
      <c r="K34" s="277"/>
    </row>
    <row r="35" spans="1:11" s="2121" customFormat="1" ht="13.5" customHeight="1" thickBot="1">
      <c r="A35" s="1635" t="s">
        <v>1858</v>
      </c>
      <c r="B35" s="3029" t="s">
        <v>2838</v>
      </c>
      <c r="C35" s="1627">
        <f ca="1">ROUND((C18+C19+C20+C23+C24)*F33,0)</f>
        <v>7882</v>
      </c>
      <c r="D35" s="1628"/>
      <c r="E35" s="2862"/>
      <c r="F35" s="1629"/>
      <c r="G35" s="2820"/>
      <c r="H35" s="2821"/>
      <c r="I35" s="2821"/>
      <c r="J35" s="2821"/>
      <c r="K35" s="2822"/>
    </row>
    <row r="36" spans="1:11" s="2083" customFormat="1" ht="13.5" customHeight="1" thickBot="1">
      <c r="A36" s="282" t="s">
        <v>1845</v>
      </c>
      <c r="B36" s="2824"/>
      <c r="C36" s="2863">
        <f ca="1">ROUND((C6-C30-C33)/(1+D30+D33),0)</f>
        <v>55306</v>
      </c>
      <c r="D36" s="2824"/>
      <c r="E36" s="2824"/>
      <c r="F36" s="2824"/>
      <c r="G36" s="2823" t="s">
        <v>2839</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18" t="str">
        <f>项目基本情况!B1</f>
        <v>河北省怀来县东花园镇董庄子村、杨庄子村英国宫5期住宅地块出让国有建设用地使用权抵押价格预评估</v>
      </c>
      <c r="C37" s="3218"/>
      <c r="D37" s="3218"/>
      <c r="E37" s="3218"/>
      <c r="F37" s="3218"/>
      <c r="G37" s="3218"/>
      <c r="H37" s="3218"/>
      <c r="I37" s="3218"/>
    </row>
    <row r="38" spans="1:9">
      <c r="A38" s="1655"/>
      <c r="B38" s="1655"/>
    </row>
    <row r="39" spans="1:9">
      <c r="A39" s="1653" t="s">
        <v>1902</v>
      </c>
      <c r="B39" s="1653" t="s">
        <v>2047</v>
      </c>
    </row>
    <row r="40" spans="1:9">
      <c r="A40" s="1653"/>
      <c r="B40" s="1653" t="str">
        <f>项目基本情况!B5</f>
        <v>大业信托</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王鹏、赵雯</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07"/>
      <c r="C1" s="2102"/>
      <c r="D1" s="2102"/>
      <c r="E1" s="2102"/>
      <c r="F1" s="2102"/>
      <c r="G1" s="2102"/>
      <c r="H1" s="2102"/>
      <c r="I1" s="2102"/>
      <c r="J1" s="2102"/>
      <c r="K1" s="420">
        <f>MATCH(B1,'数据-取费表'!A6:A16,0)+5</f>
        <v>8</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8"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2651</v>
      </c>
      <c r="B6" s="431"/>
      <c r="C6" s="1622">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1848</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1865</v>
      </c>
      <c r="B11" s="1620"/>
      <c r="C11" s="1620"/>
      <c r="D11" s="1620"/>
      <c r="E11" s="1620"/>
      <c r="F11" s="1620"/>
      <c r="G11" s="1620"/>
      <c r="H11" s="1620"/>
      <c r="I11" s="1620"/>
      <c r="J11" s="1620"/>
      <c r="K11" s="1621"/>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2" t="s">
        <v>1849</v>
      </c>
      <c r="B13" s="447" t="s">
        <v>479</v>
      </c>
      <c r="C13" s="448">
        <f ca="1">IF(B1="",'数据-取费表'!M16,INDIRECT("'数据-取费表'!M"&amp;$K$1)+INDIRECT("'数据-取费表'!t"&amp;$K$1))</f>
        <v>38853</v>
      </c>
      <c r="D13" s="449"/>
      <c r="E13" s="363"/>
      <c r="F13" s="450"/>
      <c r="G13" s="442"/>
      <c r="H13" s="445"/>
      <c r="I13" s="445"/>
      <c r="J13" s="445"/>
      <c r="K13" s="446"/>
    </row>
    <row r="14" spans="1:41" s="2114" customFormat="1" ht="13.5" customHeight="1">
      <c r="A14" s="1632" t="s">
        <v>1850</v>
      </c>
      <c r="B14" s="447" t="s">
        <v>480</v>
      </c>
      <c r="C14" s="53">
        <f ca="1">ROUND(C13*F14,0)</f>
        <v>1166</v>
      </c>
      <c r="D14" s="449"/>
      <c r="E14" s="363"/>
      <c r="F14" s="451">
        <f>'数据-取费表'!B33</f>
        <v>0.03</v>
      </c>
      <c r="G14" s="442" t="s">
        <v>502</v>
      </c>
      <c r="H14" s="445"/>
      <c r="I14" s="445"/>
      <c r="J14" s="445"/>
      <c r="K14" s="446"/>
    </row>
    <row r="15" spans="1:41" s="2114" customFormat="1" ht="13.5" customHeight="1">
      <c r="A15" s="1632" t="s">
        <v>1851</v>
      </c>
      <c r="B15" s="447" t="s">
        <v>482</v>
      </c>
      <c r="C15" s="53">
        <f ca="1">ROUND(IF(B1="",SUMIF('数据-取费表'!C:C,"住宅",'数据-取费表'!M:M)*F15,IF(INDIRECT("'数据-取费表'!c"&amp;$K$1)="住宅",INDIRECT("'数据-取费表'!M"&amp;$K$1)*F15,0)),0)</f>
        <v>1191</v>
      </c>
      <c r="D15" s="449"/>
      <c r="E15" s="363"/>
      <c r="F15" s="451">
        <f>'数据-取费表'!B34</f>
        <v>0.05</v>
      </c>
      <c r="G15" s="442" t="s">
        <v>502</v>
      </c>
      <c r="H15" s="445"/>
      <c r="I15" s="445"/>
      <c r="J15" s="445"/>
      <c r="K15" s="446"/>
    </row>
    <row r="16" spans="1:41" s="2115" customFormat="1" ht="13.5" customHeight="1">
      <c r="A16" s="1632" t="s">
        <v>1852</v>
      </c>
      <c r="B16" s="447" t="s">
        <v>484</v>
      </c>
      <c r="C16" s="53">
        <f ca="1">ROUND(D16*E16/10000,0)</f>
        <v>3913</v>
      </c>
      <c r="D16" s="449">
        <f ca="1">IF(B1="",'数据-汇总表'!E3,INDIRECT("'数据-取费表'!K"&amp;$K$1)+INDIRECT("'数据-取费表'!S"&amp;$K$1))</f>
        <v>195640.36</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1853</v>
      </c>
      <c r="B17" s="447" t="s">
        <v>485</v>
      </c>
      <c r="C17" s="452">
        <f ca="1">ROUND(C13*F17,0)</f>
        <v>583</v>
      </c>
      <c r="D17" s="453"/>
      <c r="E17" s="452"/>
      <c r="F17" s="454">
        <f>'数据-取费表'!B36</f>
        <v>1.4999999999999999E-2</v>
      </c>
      <c r="G17" s="442" t="s">
        <v>502</v>
      </c>
      <c r="H17" s="455"/>
      <c r="I17" s="455"/>
      <c r="J17" s="455"/>
      <c r="K17" s="456"/>
    </row>
    <row r="18" spans="1:14" s="2117" customFormat="1" ht="13.5" customHeight="1">
      <c r="A18" s="1633" t="s">
        <v>1854</v>
      </c>
      <c r="B18" s="457" t="s">
        <v>487</v>
      </c>
      <c r="C18" s="458">
        <f ca="1">SUM(C13:C17)</f>
        <v>45706</v>
      </c>
      <c r="D18" s="459"/>
      <c r="E18" s="460"/>
      <c r="F18" s="460"/>
      <c r="G18" s="1325" t="s">
        <v>2431</v>
      </c>
      <c r="H18" s="445"/>
      <c r="I18" s="445"/>
      <c r="J18" s="445"/>
      <c r="K18" s="446"/>
    </row>
    <row r="19" spans="1:14" s="2117" customFormat="1" ht="13.5" customHeight="1">
      <c r="A19" s="1633" t="s">
        <v>1855</v>
      </c>
      <c r="B19" s="457" t="s">
        <v>493</v>
      </c>
      <c r="C19" s="458">
        <f ca="1">ROUND(C18*F19,0)</f>
        <v>914</v>
      </c>
      <c r="D19" s="460"/>
      <c r="E19" s="460"/>
      <c r="F19" s="464">
        <f>'数据-取费表'!B37</f>
        <v>0.02</v>
      </c>
      <c r="G19" s="442" t="s">
        <v>503</v>
      </c>
      <c r="H19" s="445"/>
      <c r="I19" s="445"/>
      <c r="J19" s="445"/>
      <c r="K19" s="446"/>
      <c r="L19" s="2119"/>
      <c r="M19" s="2119"/>
      <c r="N19" s="2119"/>
    </row>
    <row r="20" spans="1:14" s="2117" customFormat="1" ht="13.5" customHeight="1">
      <c r="A20" s="1633" t="s">
        <v>1856</v>
      </c>
      <c r="B20" s="457" t="s">
        <v>504</v>
      </c>
      <c r="C20" s="3026">
        <f>F20</f>
        <v>0.02</v>
      </c>
      <c r="D20" s="467" t="s">
        <v>505</v>
      </c>
      <c r="E20" s="467"/>
      <c r="F20" s="484">
        <f>'数据-取费表'!B38</f>
        <v>0.02</v>
      </c>
      <c r="G20" s="1325" t="s">
        <v>506</v>
      </c>
      <c r="H20" s="445"/>
      <c r="I20" s="445"/>
      <c r="J20" s="445"/>
      <c r="K20" s="446"/>
      <c r="L20" s="2119"/>
      <c r="M20" s="2119"/>
      <c r="N20" s="2119"/>
    </row>
    <row r="21" spans="1:14" s="2119" customFormat="1" ht="13.5" customHeight="1">
      <c r="A21" s="1633" t="s">
        <v>1859</v>
      </c>
      <c r="B21" s="459" t="s">
        <v>494</v>
      </c>
      <c r="C21" s="468">
        <f ca="1">C22</f>
        <v>3361</v>
      </c>
      <c r="D21" s="465">
        <f ca="1">C23</f>
        <v>1.4E-3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2453</v>
      </c>
    </row>
    <row r="22" spans="1:14" s="2118" customFormat="1" ht="13.5" customHeight="1">
      <c r="A22" s="1632" t="s">
        <v>1849</v>
      </c>
      <c r="B22" s="1326" t="s">
        <v>2434</v>
      </c>
      <c r="C22" s="485">
        <f ca="1">ROUND(IF('数据-取费表'!B22&lt;=1,(C18+C19)*F21*'数据-取费表'!B20/2,(C18+C19)*(POWER((1+F21),'数据-取费表'!B20/2)-1)),0)</f>
        <v>3361</v>
      </c>
      <c r="D22" s="470"/>
      <c r="E22" s="471"/>
      <c r="F22" s="472"/>
      <c r="G22" s="2565" t="str">
        <f>IF('数据-取费表'!B22&lt;=1,"((1)+(2))×年利率×建设期÷2","((1)+(2))×((1+年利率)^(建设期÷2)-1)")</f>
        <v>((1)+(2))×((1+年利率)^(建设期÷2)-1)</v>
      </c>
      <c r="H22" s="455"/>
      <c r="I22" s="455"/>
      <c r="J22" s="455"/>
      <c r="K22" s="456"/>
    </row>
    <row r="23" spans="1:14" s="2118" customFormat="1" ht="13.5" customHeight="1">
      <c r="A23" s="1632" t="s">
        <v>1850</v>
      </c>
      <c r="B23" s="1326" t="s">
        <v>508</v>
      </c>
      <c r="C23" s="486">
        <f ca="1">ROUND(IF('数据-取费表'!B22&lt;=1,F20*F21*'数据-取费表'!B20/2,F20*(POWER((1+F21),'数据-取费表'!B20/2)-1)),4)</f>
        <v>1.4E-3</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3" t="s">
        <v>1860</v>
      </c>
      <c r="B24" s="3028" t="s">
        <v>2831</v>
      </c>
      <c r="C24" s="476">
        <f ca="1">C25</f>
        <v>6993</v>
      </c>
      <c r="D24" s="487">
        <f ca="1">C26</f>
        <v>3.0000000000000001E-3</v>
      </c>
      <c r="E24" s="467" t="s">
        <v>507</v>
      </c>
      <c r="F24" s="477">
        <f ca="1">IF(B1="",'数据-取费表'!Q16,INDIRECT("'数据-取费表'!q"&amp;$K$1))</f>
        <v>0.15</v>
      </c>
      <c r="G24" s="442"/>
      <c r="H24" s="445"/>
      <c r="I24" s="445"/>
      <c r="J24" s="445"/>
      <c r="K24" s="446"/>
    </row>
    <row r="25" spans="1:14" s="2118" customFormat="1" ht="13.5" customHeight="1">
      <c r="A25" s="1632" t="s">
        <v>1849</v>
      </c>
      <c r="B25" s="1326" t="s">
        <v>2435</v>
      </c>
      <c r="C25" s="488">
        <f ca="1">ROUND((C18+C19)*F24,0)</f>
        <v>6993</v>
      </c>
      <c r="D25" s="470"/>
      <c r="E25" s="471"/>
      <c r="F25" s="478"/>
      <c r="G25" s="1324" t="s">
        <v>2432</v>
      </c>
      <c r="H25" s="455"/>
      <c r="I25" s="455"/>
      <c r="J25" s="455"/>
      <c r="K25" s="456"/>
    </row>
    <row r="26" spans="1:14" s="2118" customFormat="1" ht="13.5" customHeight="1">
      <c r="A26" s="1632" t="s">
        <v>1850</v>
      </c>
      <c r="B26" s="1326" t="s">
        <v>509</v>
      </c>
      <c r="C26" s="489">
        <f ca="1">ROUND(F20*F24,4)</f>
        <v>3.0000000000000001E-3</v>
      </c>
      <c r="D26" s="470"/>
      <c r="E26" s="479"/>
      <c r="F26" s="478"/>
      <c r="G26" s="1324" t="s">
        <v>510</v>
      </c>
      <c r="H26" s="455"/>
      <c r="I26" s="455"/>
      <c r="J26" s="455"/>
      <c r="K26" s="456"/>
    </row>
    <row r="27" spans="1:14" s="2118" customFormat="1" ht="13.5" customHeight="1">
      <c r="A27" s="1636" t="s">
        <v>1868</v>
      </c>
      <c r="B27" s="457" t="s">
        <v>511</v>
      </c>
      <c r="C27" s="3027">
        <f>ROUND(F27/(1+'数据-取费表'!C42),4)</f>
        <v>5.2400000000000002E-2</v>
      </c>
      <c r="D27" s="460" t="s">
        <v>2829</v>
      </c>
      <c r="E27" s="460"/>
      <c r="F27" s="464">
        <f>'数据-取费表'!B41</f>
        <v>5.5000000000000007E-2</v>
      </c>
      <c r="G27" s="1958" t="s">
        <v>2292</v>
      </c>
      <c r="H27" s="445"/>
      <c r="I27" s="445"/>
      <c r="J27" s="445"/>
      <c r="K27" s="446"/>
    </row>
    <row r="28" spans="1:14" s="2119" customFormat="1" ht="13.5" customHeight="1">
      <c r="A28" s="1636" t="s">
        <v>1869</v>
      </c>
      <c r="B28" s="474" t="s">
        <v>512</v>
      </c>
      <c r="C28" s="468">
        <f ca="1">ROUND((C18+C19+C21+C24)/(1-C20-D21-D24-C27),0)</f>
        <v>61714</v>
      </c>
      <c r="D28" s="475"/>
      <c r="E28" s="467"/>
      <c r="F28" s="469"/>
      <c r="G28" s="1325" t="s">
        <v>2433</v>
      </c>
      <c r="H28" s="445"/>
      <c r="I28" s="445"/>
      <c r="J28" s="445"/>
      <c r="K28" s="446"/>
    </row>
    <row r="29" spans="1:14" s="2119" customFormat="1" ht="13.5" customHeight="1">
      <c r="A29" s="1636"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480" t="s">
        <v>1866</v>
      </c>
      <c r="B31" s="1328"/>
      <c r="C31" s="498">
        <f>ROUND(C6*F31/(1+'数据-取费表'!C42),0)</f>
        <v>0</v>
      </c>
      <c r="D31" s="1329"/>
      <c r="E31" s="1329"/>
      <c r="F31" s="499">
        <f>'数据-取费表'!B41</f>
        <v>5.5000000000000007E-2</v>
      </c>
      <c r="G31" s="1330"/>
      <c r="H31" s="1330"/>
      <c r="I31" s="1330"/>
      <c r="J31" s="1331"/>
      <c r="K31" s="1332"/>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1" t="s">
        <v>2959</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6"/>
    </row>
    <row r="6" spans="1:29" ht="15">
      <c r="A6" s="510" t="s">
        <v>521</v>
      </c>
      <c r="B6" s="511"/>
      <c r="C6" s="3392" t="s">
        <v>522</v>
      </c>
      <c r="D6" s="3393"/>
      <c r="E6" s="3427" t="s">
        <v>523</v>
      </c>
      <c r="F6" s="3428"/>
      <c r="G6" s="3392" t="s">
        <v>524</v>
      </c>
      <c r="H6" s="3393"/>
      <c r="I6" s="3392" t="s">
        <v>525</v>
      </c>
      <c r="J6" s="3393"/>
      <c r="K6" s="512" t="s">
        <v>526</v>
      </c>
      <c r="L6" s="2131"/>
      <c r="M6" s="2132"/>
      <c r="N6" s="2132"/>
      <c r="O6" s="2132"/>
      <c r="P6" s="3394" t="s">
        <v>527</v>
      </c>
      <c r="Q6" s="3395"/>
      <c r="R6" s="3400" t="s">
        <v>523</v>
      </c>
      <c r="S6" s="3401"/>
      <c r="T6" s="3400" t="s">
        <v>524</v>
      </c>
      <c r="U6" s="3401"/>
      <c r="V6" s="3387" t="s">
        <v>525</v>
      </c>
      <c r="W6" s="3387"/>
      <c r="X6" s="1566"/>
      <c r="Y6" s="3400" t="s">
        <v>527</v>
      </c>
      <c r="Z6" s="3401"/>
      <c r="AA6" s="3389" t="s">
        <v>523</v>
      </c>
      <c r="AB6" s="3390" t="s">
        <v>524</v>
      </c>
      <c r="AC6" s="3389" t="s">
        <v>525</v>
      </c>
    </row>
    <row r="7" spans="1:29" ht="15">
      <c r="A7" s="513"/>
      <c r="B7" s="514"/>
      <c r="C7" s="3408" t="s">
        <v>2913</v>
      </c>
      <c r="D7" s="3409"/>
      <c r="E7" s="3429" t="s">
        <v>2914</v>
      </c>
      <c r="F7" s="3430"/>
      <c r="G7" s="3408" t="s">
        <v>2915</v>
      </c>
      <c r="H7" s="3409"/>
      <c r="I7" s="3408" t="s">
        <v>2916</v>
      </c>
      <c r="J7" s="3409"/>
      <c r="K7" s="512"/>
      <c r="L7" s="2131"/>
      <c r="M7" s="2132"/>
      <c r="N7" s="2132"/>
      <c r="O7" s="2132"/>
      <c r="P7" s="3396"/>
      <c r="Q7" s="3397"/>
      <c r="R7" s="3402"/>
      <c r="S7" s="3403"/>
      <c r="T7" s="3402"/>
      <c r="U7" s="3403"/>
      <c r="V7" s="3387"/>
      <c r="W7" s="3387"/>
      <c r="X7" s="1566"/>
      <c r="Y7" s="3402"/>
      <c r="Z7" s="3403"/>
      <c r="AA7" s="3390"/>
      <c r="AB7" s="3390"/>
      <c r="AC7" s="3390"/>
    </row>
    <row r="8" spans="1:29" ht="15.75" thickBot="1">
      <c r="A8" s="515"/>
      <c r="B8" s="516"/>
      <c r="C8" s="3423" t="s">
        <v>2917</v>
      </c>
      <c r="D8" s="3424"/>
      <c r="E8" s="3425" t="s">
        <v>2917</v>
      </c>
      <c r="F8" s="3426"/>
      <c r="G8" s="3423" t="s">
        <v>2917</v>
      </c>
      <c r="H8" s="3424"/>
      <c r="I8" s="3423" t="s">
        <v>2917</v>
      </c>
      <c r="J8" s="3424"/>
      <c r="K8" s="512" t="s">
        <v>528</v>
      </c>
      <c r="L8" s="2131"/>
      <c r="M8" s="2132"/>
      <c r="N8" s="2132"/>
      <c r="O8" s="2132"/>
      <c r="P8" s="3398"/>
      <c r="Q8" s="3399"/>
      <c r="R8" s="3402"/>
      <c r="S8" s="3403"/>
      <c r="T8" s="3404"/>
      <c r="U8" s="3405"/>
      <c r="V8" s="3387"/>
      <c r="W8" s="3387"/>
      <c r="X8" s="1566"/>
      <c r="Y8" s="3404"/>
      <c r="Z8" s="3405"/>
      <c r="AA8" s="3391"/>
      <c r="AB8" s="3391"/>
      <c r="AC8" s="3391"/>
    </row>
    <row r="9" spans="1:29" s="1218" customFormat="1" ht="15.75" thickBot="1">
      <c r="A9" s="2910"/>
      <c r="B9" s="2917" t="s">
        <v>529</v>
      </c>
      <c r="C9" s="517">
        <f>'数据-取费表'!B2</f>
        <v>43361</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16" t="s">
        <v>530</v>
      </c>
      <c r="Q9" s="3418"/>
      <c r="R9" s="1567" t="s">
        <v>8</v>
      </c>
      <c r="S9" s="1568">
        <f t="shared" ref="S9:S17" si="0">F9</f>
        <v>0</v>
      </c>
      <c r="T9" s="1567" t="s">
        <v>8</v>
      </c>
      <c r="U9" s="1568">
        <f t="shared" ref="U9:U17" si="1">H9</f>
        <v>0</v>
      </c>
      <c r="V9" s="1567" t="s">
        <v>8</v>
      </c>
      <c r="W9" s="1568">
        <f t="shared" ref="W9:W17" si="2">J9</f>
        <v>0</v>
      </c>
      <c r="X9" s="1569"/>
      <c r="Y9" s="3416" t="s">
        <v>530</v>
      </c>
      <c r="Z9" s="3417"/>
      <c r="AA9" s="1570" t="e">
        <f>D9/F9</f>
        <v>#DIV/0!</v>
      </c>
      <c r="AB9" s="1570" t="e">
        <f>D9/H9</f>
        <v>#DIV/0!</v>
      </c>
      <c r="AC9" s="1570" t="e">
        <f>D9/J9</f>
        <v>#DIV/0!</v>
      </c>
    </row>
    <row r="10" spans="1:29" s="1218" customFormat="1" ht="15.75" thickBot="1">
      <c r="A10" s="2911"/>
      <c r="B10" s="2918"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16" t="s">
        <v>533</v>
      </c>
      <c r="Q10" s="3417"/>
      <c r="R10" s="1567" t="s">
        <v>8</v>
      </c>
      <c r="S10" s="1568">
        <f t="shared" si="0"/>
        <v>0</v>
      </c>
      <c r="T10" s="1567" t="s">
        <v>8</v>
      </c>
      <c r="U10" s="1568">
        <f t="shared" si="1"/>
        <v>0</v>
      </c>
      <c r="V10" s="1567" t="s">
        <v>8</v>
      </c>
      <c r="W10" s="1568">
        <f t="shared" si="2"/>
        <v>0</v>
      </c>
      <c r="X10" s="1569"/>
      <c r="Y10" s="3416" t="s">
        <v>533</v>
      </c>
      <c r="Z10" s="3417"/>
      <c r="AA10" s="1570" t="e">
        <f t="shared" ref="AA10:AA42" si="3">D10/F10</f>
        <v>#DIV/0!</v>
      </c>
      <c r="AB10" s="1570" t="e">
        <f t="shared" ref="AB10:AB42" si="4">D10/H10</f>
        <v>#DIV/0!</v>
      </c>
      <c r="AC10" s="1570" t="e">
        <f t="shared" ref="AC10:AC42" si="5">D10/J10</f>
        <v>#DIV/0!</v>
      </c>
    </row>
    <row r="11" spans="1:29" s="1218" customFormat="1" ht="15">
      <c r="A11" s="2912"/>
      <c r="B11" s="2919" t="s">
        <v>2755</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86" t="s">
        <v>535</v>
      </c>
      <c r="Q11" s="1149" t="str">
        <f t="shared" ref="Q11:Q17" si="6">B11</f>
        <v>用途</v>
      </c>
      <c r="R11" s="1567" t="s">
        <v>8</v>
      </c>
      <c r="S11" s="1568">
        <f t="shared" si="0"/>
        <v>100</v>
      </c>
      <c r="T11" s="1567" t="s">
        <v>8</v>
      </c>
      <c r="U11" s="1568">
        <f t="shared" si="1"/>
        <v>100</v>
      </c>
      <c r="V11" s="1567" t="s">
        <v>8</v>
      </c>
      <c r="W11" s="1568">
        <f t="shared" si="2"/>
        <v>100</v>
      </c>
      <c r="X11" s="1569"/>
      <c r="Y11" s="3332" t="s">
        <v>536</v>
      </c>
      <c r="Z11" s="1148" t="str">
        <f t="shared" ref="Z11:Z17" si="7">Q11</f>
        <v>用途</v>
      </c>
      <c r="AA11" s="1570">
        <f t="shared" si="3"/>
        <v>1</v>
      </c>
      <c r="AB11" s="1570">
        <f t="shared" si="4"/>
        <v>1</v>
      </c>
      <c r="AC11" s="1570">
        <f t="shared" si="5"/>
        <v>1</v>
      </c>
    </row>
    <row r="12" spans="1:29" s="1336" customFormat="1" ht="27">
      <c r="A12" s="2913"/>
      <c r="B12" s="2918" t="s">
        <v>2756</v>
      </c>
      <c r="C12" s="526"/>
      <c r="D12" s="253">
        <v>100</v>
      </c>
      <c r="E12" s="526"/>
      <c r="F12" s="253">
        <f>ROUND(100/'数据-取费表'!G16,0)</f>
        <v>102</v>
      </c>
      <c r="G12" s="526"/>
      <c r="H12" s="253">
        <f>ROUND(100/'数据-取费表'!G16,0)</f>
        <v>102</v>
      </c>
      <c r="I12" s="526"/>
      <c r="J12" s="253">
        <f>ROUND(100/'数据-取费表'!G16,0)</f>
        <v>102</v>
      </c>
      <c r="K12" s="529"/>
      <c r="L12" s="2136"/>
      <c r="M12" s="2176"/>
      <c r="N12" s="2176"/>
      <c r="O12" s="2137"/>
      <c r="P12" s="3386"/>
      <c r="Q12" s="1149" t="str">
        <f t="shared" si="6"/>
        <v>土地使用年限（年）</v>
      </c>
      <c r="R12" s="1567" t="s">
        <v>8</v>
      </c>
      <c r="S12" s="1568">
        <f t="shared" si="0"/>
        <v>102</v>
      </c>
      <c r="T12" s="1567" t="s">
        <v>8</v>
      </c>
      <c r="U12" s="1568">
        <f t="shared" si="1"/>
        <v>102</v>
      </c>
      <c r="V12" s="1567" t="s">
        <v>8</v>
      </c>
      <c r="W12" s="1568">
        <f t="shared" si="2"/>
        <v>102</v>
      </c>
      <c r="X12" s="1569"/>
      <c r="Y12" s="3332"/>
      <c r="Z12" s="1148" t="str">
        <f t="shared" si="7"/>
        <v>土地使用年限（年）</v>
      </c>
      <c r="AA12" s="1570">
        <f t="shared" si="3"/>
        <v>0.98039215686274506</v>
      </c>
      <c r="AB12" s="1570">
        <f t="shared" si="4"/>
        <v>0.98039215686274506</v>
      </c>
      <c r="AC12" s="1570">
        <f t="shared" si="5"/>
        <v>0.98039215686274506</v>
      </c>
    </row>
    <row r="13" spans="1:29" ht="15">
      <c r="A13" s="2914"/>
      <c r="B13" s="2918"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86"/>
      <c r="Q13" s="1149" t="str">
        <f t="shared" si="6"/>
        <v>容积率</v>
      </c>
      <c r="R13" s="1567" t="s">
        <v>8</v>
      </c>
      <c r="S13" s="1568" t="e">
        <f t="shared" si="0"/>
        <v>#N/A</v>
      </c>
      <c r="T13" s="1567" t="s">
        <v>8</v>
      </c>
      <c r="U13" s="1568" t="e">
        <f t="shared" si="1"/>
        <v>#N/A</v>
      </c>
      <c r="V13" s="1567" t="s">
        <v>8</v>
      </c>
      <c r="W13" s="1568" t="e">
        <f t="shared" si="2"/>
        <v>#N/A</v>
      </c>
      <c r="X13" s="1569"/>
      <c r="Y13" s="3332"/>
      <c r="Z13" s="1148" t="str">
        <f t="shared" si="7"/>
        <v>容积率</v>
      </c>
      <c r="AA13" s="1570" t="e">
        <f t="shared" si="3"/>
        <v>#N/A</v>
      </c>
      <c r="AB13" s="1570" t="e">
        <f t="shared" si="4"/>
        <v>#N/A</v>
      </c>
      <c r="AC13" s="1570" t="e">
        <f t="shared" si="5"/>
        <v>#N/A</v>
      </c>
    </row>
    <row r="14" spans="1:29" s="1218" customFormat="1" ht="15">
      <c r="A14" s="2915"/>
      <c r="B14" s="2921">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86"/>
      <c r="Q14" s="1149">
        <f t="shared" si="6"/>
        <v>111</v>
      </c>
      <c r="R14" s="1567" t="s">
        <v>8</v>
      </c>
      <c r="S14" s="1568">
        <f t="shared" si="0"/>
        <v>100</v>
      </c>
      <c r="T14" s="1567" t="s">
        <v>8</v>
      </c>
      <c r="U14" s="1568">
        <f t="shared" si="1"/>
        <v>100</v>
      </c>
      <c r="V14" s="1567" t="s">
        <v>8</v>
      </c>
      <c r="W14" s="1568">
        <f t="shared" si="2"/>
        <v>100</v>
      </c>
      <c r="X14" s="1569"/>
      <c r="Y14" s="3332"/>
      <c r="Z14" s="1148">
        <f t="shared" si="7"/>
        <v>111</v>
      </c>
      <c r="AA14" s="1570">
        <f>D14/F14</f>
        <v>1</v>
      </c>
      <c r="AB14" s="1570">
        <f>D14/H14</f>
        <v>1</v>
      </c>
      <c r="AC14" s="1570">
        <f>D14/J14</f>
        <v>1</v>
      </c>
    </row>
    <row r="15" spans="1:29" ht="15">
      <c r="A15" s="2915"/>
      <c r="B15" s="2921">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86"/>
      <c r="Q15" s="1149">
        <f t="shared" si="6"/>
        <v>111</v>
      </c>
      <c r="R15" s="1567" t="s">
        <v>8</v>
      </c>
      <c r="S15" s="1568">
        <f t="shared" si="0"/>
        <v>100</v>
      </c>
      <c r="T15" s="1567" t="s">
        <v>8</v>
      </c>
      <c r="U15" s="1568">
        <f t="shared" si="1"/>
        <v>100</v>
      </c>
      <c r="V15" s="1567" t="s">
        <v>8</v>
      </c>
      <c r="W15" s="1568">
        <f t="shared" si="2"/>
        <v>100</v>
      </c>
      <c r="X15" s="1569"/>
      <c r="Y15" s="3332"/>
      <c r="Z15" s="1148">
        <f t="shared" si="7"/>
        <v>111</v>
      </c>
      <c r="AA15" s="1570">
        <f t="shared" si="3"/>
        <v>1</v>
      </c>
      <c r="AB15" s="1570">
        <f t="shared" si="4"/>
        <v>1</v>
      </c>
      <c r="AC15" s="1570">
        <f t="shared" si="5"/>
        <v>1</v>
      </c>
    </row>
    <row r="16" spans="1:29" ht="15.75" thickBot="1">
      <c r="A16" s="2916"/>
      <c r="B16" s="2922">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86"/>
      <c r="Q16" s="1149">
        <f t="shared" si="6"/>
        <v>111</v>
      </c>
      <c r="R16" s="1567" t="s">
        <v>8</v>
      </c>
      <c r="S16" s="1568">
        <f t="shared" si="0"/>
        <v>100</v>
      </c>
      <c r="T16" s="1567" t="s">
        <v>8</v>
      </c>
      <c r="U16" s="1568">
        <f t="shared" si="1"/>
        <v>100</v>
      </c>
      <c r="V16" s="1567" t="s">
        <v>8</v>
      </c>
      <c r="W16" s="1568">
        <f t="shared" si="2"/>
        <v>100</v>
      </c>
      <c r="X16" s="1569"/>
      <c r="Y16" s="3332"/>
      <c r="Z16" s="1148">
        <f t="shared" si="7"/>
        <v>111</v>
      </c>
      <c r="AA16" s="1570">
        <f t="shared" si="3"/>
        <v>1</v>
      </c>
      <c r="AB16" s="1570">
        <f t="shared" si="4"/>
        <v>1</v>
      </c>
      <c r="AC16" s="1570">
        <f t="shared" si="5"/>
        <v>1</v>
      </c>
    </row>
    <row r="17" spans="1:29" ht="57">
      <c r="A17" s="2908" t="s">
        <v>2753</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19" t="s">
        <v>540</v>
      </c>
      <c r="Q17" s="1571" t="str">
        <f t="shared" si="6"/>
        <v>产业集聚程度</v>
      </c>
      <c r="R17" s="1572" t="s">
        <v>8</v>
      </c>
      <c r="S17" s="1573">
        <f t="shared" si="0"/>
        <v>100</v>
      </c>
      <c r="T17" s="1572" t="s">
        <v>8</v>
      </c>
      <c r="U17" s="1573">
        <f t="shared" si="1"/>
        <v>100</v>
      </c>
      <c r="V17" s="1572" t="s">
        <v>8</v>
      </c>
      <c r="W17" s="1573">
        <f t="shared" si="2"/>
        <v>100</v>
      </c>
      <c r="X17" s="1566"/>
      <c r="Y17" s="3419"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420"/>
      <c r="Q18" s="1571"/>
      <c r="R18" s="1572"/>
      <c r="S18" s="1573"/>
      <c r="T18" s="1572"/>
      <c r="U18" s="1573"/>
      <c r="V18" s="1572"/>
      <c r="W18" s="1573"/>
      <c r="X18" s="1566"/>
      <c r="Y18" s="3420"/>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20"/>
      <c r="Q19" s="1571" t="str">
        <f>B19</f>
        <v>交通便捷度</v>
      </c>
      <c r="R19" s="1572" t="s">
        <v>8</v>
      </c>
      <c r="S19" s="1573">
        <f>F19</f>
        <v>100</v>
      </c>
      <c r="T19" s="1572" t="s">
        <v>8</v>
      </c>
      <c r="U19" s="1573">
        <f>H19</f>
        <v>100</v>
      </c>
      <c r="V19" s="1572" t="s">
        <v>8</v>
      </c>
      <c r="W19" s="1573">
        <f>J19</f>
        <v>100</v>
      </c>
      <c r="X19" s="1566"/>
      <c r="Y19" s="3420"/>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420"/>
      <c r="Q20" s="1571"/>
      <c r="R20" s="1572"/>
      <c r="S20" s="1573"/>
      <c r="T20" s="1572"/>
      <c r="U20" s="1573"/>
      <c r="V20" s="1572"/>
      <c r="W20" s="1573"/>
      <c r="X20" s="1566"/>
      <c r="Y20" s="3420"/>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20"/>
      <c r="Q21" s="1571" t="str">
        <f t="shared" ref="Q21:Q35" si="8">B21</f>
        <v>区域土地利用方向</v>
      </c>
      <c r="R21" s="1572" t="s">
        <v>8</v>
      </c>
      <c r="S21" s="1573">
        <f>F21</f>
        <v>100</v>
      </c>
      <c r="T21" s="1572" t="s">
        <v>8</v>
      </c>
      <c r="U21" s="1573">
        <f>H21</f>
        <v>100</v>
      </c>
      <c r="V21" s="1572" t="s">
        <v>8</v>
      </c>
      <c r="W21" s="1573">
        <f>J21</f>
        <v>100</v>
      </c>
      <c r="X21" s="1566"/>
      <c r="Y21" s="3420"/>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420"/>
      <c r="Q22" s="1571"/>
      <c r="R22" s="1572"/>
      <c r="S22" s="1573"/>
      <c r="T22" s="1572"/>
      <c r="U22" s="1573"/>
      <c r="V22" s="1572"/>
      <c r="W22" s="1573"/>
      <c r="X22" s="1566"/>
      <c r="Y22" s="3420"/>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20"/>
      <c r="Q23" s="1571" t="str">
        <f t="shared" si="8"/>
        <v>环境状况</v>
      </c>
      <c r="R23" s="1572" t="s">
        <v>8</v>
      </c>
      <c r="S23" s="1573">
        <f>F23</f>
        <v>100</v>
      </c>
      <c r="T23" s="1572" t="s">
        <v>8</v>
      </c>
      <c r="U23" s="1573">
        <f>H23</f>
        <v>100</v>
      </c>
      <c r="V23" s="1572" t="s">
        <v>8</v>
      </c>
      <c r="W23" s="1573">
        <f>J23</f>
        <v>100</v>
      </c>
      <c r="X23" s="1566"/>
      <c r="Y23" s="3420"/>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420"/>
      <c r="Q24" s="1571"/>
      <c r="R24" s="1572"/>
      <c r="S24" s="1573"/>
      <c r="T24" s="1572"/>
      <c r="U24" s="1573"/>
      <c r="V24" s="1572"/>
      <c r="W24" s="1573"/>
      <c r="X24" s="1566"/>
      <c r="Y24" s="3420"/>
      <c r="Z24" s="1574"/>
      <c r="AA24" s="1575">
        <v>1</v>
      </c>
      <c r="AB24" s="1575">
        <v>1</v>
      </c>
      <c r="AC24" s="1575">
        <v>1</v>
      </c>
    </row>
    <row r="25" spans="1:29" s="1218" customFormat="1" ht="42.75">
      <c r="A25" s="575"/>
      <c r="B25" s="2591"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20"/>
      <c r="Q25" s="1149" t="str">
        <f t="shared" si="8"/>
        <v>公共配套设施</v>
      </c>
      <c r="R25" s="1567" t="s">
        <v>8</v>
      </c>
      <c r="S25" s="1568">
        <f>F25</f>
        <v>100</v>
      </c>
      <c r="T25" s="1567" t="s">
        <v>8</v>
      </c>
      <c r="U25" s="1568">
        <f>H25</f>
        <v>100</v>
      </c>
      <c r="V25" s="1567" t="s">
        <v>8</v>
      </c>
      <c r="W25" s="1568">
        <f>J25</f>
        <v>100</v>
      </c>
      <c r="X25" s="1569"/>
      <c r="Y25" s="3420"/>
      <c r="Z25" s="1148" t="str">
        <f>Q25</f>
        <v>公共配套设施</v>
      </c>
      <c r="AA25" s="1575">
        <f>D25/F25</f>
        <v>1</v>
      </c>
      <c r="AB25" s="1575">
        <f>D25/H25</f>
        <v>1</v>
      </c>
      <c r="AC25" s="1575">
        <f>D25/J25</f>
        <v>1</v>
      </c>
    </row>
    <row r="26" spans="1:29" s="1218" customFormat="1" ht="15">
      <c r="A26" s="575"/>
      <c r="B26" s="593"/>
      <c r="C26" s="2590"/>
      <c r="D26" s="553"/>
      <c r="E26" s="552"/>
      <c r="F26" s="553"/>
      <c r="G26" s="552"/>
      <c r="H26" s="553"/>
      <c r="I26" s="574"/>
      <c r="J26" s="553"/>
      <c r="K26" s="529"/>
      <c r="L26" s="2133"/>
      <c r="M26" s="2134"/>
      <c r="N26" s="2134"/>
      <c r="O26" s="2135"/>
      <c r="P26" s="3420"/>
      <c r="Q26" s="1149"/>
      <c r="R26" s="1567"/>
      <c r="S26" s="1568"/>
      <c r="T26" s="1567"/>
      <c r="U26" s="1568"/>
      <c r="V26" s="1567"/>
      <c r="W26" s="1568"/>
      <c r="X26" s="1569"/>
      <c r="Y26" s="3420"/>
      <c r="Z26" s="1148"/>
      <c r="AA26" s="1570">
        <v>1</v>
      </c>
      <c r="AB26" s="1570">
        <v>1</v>
      </c>
      <c r="AC26" s="1570">
        <v>1</v>
      </c>
    </row>
    <row r="27" spans="1:29" s="1218" customFormat="1" ht="28.5">
      <c r="A27" s="575"/>
      <c r="B27" s="2591"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20"/>
      <c r="Q27" s="2576" t="str">
        <f t="shared" ref="Q27" si="9">B27</f>
        <v>基础设施水平</v>
      </c>
      <c r="R27" s="1567" t="s">
        <v>8</v>
      </c>
      <c r="S27" s="1568">
        <f>F27</f>
        <v>100</v>
      </c>
      <c r="T27" s="1567" t="s">
        <v>8</v>
      </c>
      <c r="U27" s="1568">
        <f>H27</f>
        <v>100</v>
      </c>
      <c r="V27" s="1567" t="s">
        <v>8</v>
      </c>
      <c r="W27" s="1568">
        <f>J27</f>
        <v>100</v>
      </c>
      <c r="X27" s="1569"/>
      <c r="Y27" s="3420"/>
      <c r="Z27" s="2573" t="str">
        <f>Q27</f>
        <v>基础设施水平</v>
      </c>
      <c r="AA27" s="1575">
        <f>D27/F27</f>
        <v>1</v>
      </c>
      <c r="AB27" s="1575">
        <f>D27/H27</f>
        <v>1</v>
      </c>
      <c r="AC27" s="1575">
        <f>D27/J27</f>
        <v>1</v>
      </c>
    </row>
    <row r="28" spans="1:29" s="1218" customFormat="1" ht="15">
      <c r="A28" s="575"/>
      <c r="B28" s="593"/>
      <c r="C28" s="2590"/>
      <c r="D28" s="553"/>
      <c r="E28" s="577"/>
      <c r="F28" s="553"/>
      <c r="G28" s="577"/>
      <c r="H28" s="553"/>
      <c r="I28" s="577"/>
      <c r="J28" s="553"/>
      <c r="K28" s="529"/>
      <c r="L28" s="2133"/>
      <c r="M28" s="2134"/>
      <c r="N28" s="2134"/>
      <c r="O28" s="2135"/>
      <c r="P28" s="3420"/>
      <c r="Q28" s="2576"/>
      <c r="R28" s="1567"/>
      <c r="S28" s="1568"/>
      <c r="T28" s="1567"/>
      <c r="U28" s="1568"/>
      <c r="V28" s="1567"/>
      <c r="W28" s="1568"/>
      <c r="X28" s="1569"/>
      <c r="Y28" s="3420"/>
      <c r="Z28" s="2573"/>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2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0"/>
      <c r="Z29" s="1574" t="str">
        <f t="shared" ref="Z29:Z42" si="13">Q29</f>
        <v>临街状况</v>
      </c>
      <c r="AA29" s="1575">
        <f t="shared" si="3"/>
        <v>1</v>
      </c>
      <c r="AB29" s="1575">
        <f t="shared" si="4"/>
        <v>1</v>
      </c>
      <c r="AC29" s="1575">
        <f t="shared" si="5"/>
        <v>1</v>
      </c>
    </row>
    <row r="30" spans="1:29" ht="27">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20"/>
      <c r="Q30" s="1571" t="str">
        <f t="shared" si="8"/>
        <v>毗邻道路的类型与等级</v>
      </c>
      <c r="R30" s="1572" t="s">
        <v>8</v>
      </c>
      <c r="S30" s="1573">
        <f t="shared" si="10"/>
        <v>100</v>
      </c>
      <c r="T30" s="1572" t="s">
        <v>8</v>
      </c>
      <c r="U30" s="1573">
        <f t="shared" si="11"/>
        <v>100</v>
      </c>
      <c r="V30" s="1572" t="s">
        <v>8</v>
      </c>
      <c r="W30" s="1573">
        <f t="shared" si="12"/>
        <v>100</v>
      </c>
      <c r="X30" s="1566"/>
      <c r="Y30" s="3420"/>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0"/>
      <c r="M31" s="2132"/>
      <c r="N31" s="2132"/>
      <c r="O31" s="2139"/>
      <c r="P31" s="3420"/>
      <c r="Q31" s="1571"/>
      <c r="R31" s="1572"/>
      <c r="S31" s="1573"/>
      <c r="T31" s="1572"/>
      <c r="U31" s="1573"/>
      <c r="V31" s="1572"/>
      <c r="W31" s="1573"/>
      <c r="X31" s="1566"/>
      <c r="Y31" s="3420"/>
      <c r="Z31" s="1574"/>
      <c r="AA31" s="1575">
        <v>1</v>
      </c>
      <c r="AB31" s="1575">
        <v>1</v>
      </c>
      <c r="AC31" s="1575">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20"/>
      <c r="Q32" s="1571" t="str">
        <f t="shared" si="8"/>
        <v>土地级别</v>
      </c>
      <c r="R32" s="1572" t="s">
        <v>8</v>
      </c>
      <c r="S32" s="1573">
        <f t="shared" si="10"/>
        <v>100</v>
      </c>
      <c r="T32" s="1572" t="s">
        <v>8</v>
      </c>
      <c r="U32" s="1573">
        <f t="shared" si="11"/>
        <v>100</v>
      </c>
      <c r="V32" s="1572" t="s">
        <v>8</v>
      </c>
      <c r="W32" s="1573">
        <f t="shared" si="12"/>
        <v>100</v>
      </c>
      <c r="X32" s="1566"/>
      <c r="Y32" s="3420"/>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20"/>
      <c r="Q33" s="1571">
        <f t="shared" si="8"/>
        <v>111</v>
      </c>
      <c r="R33" s="1572" t="s">
        <v>8</v>
      </c>
      <c r="S33" s="1573">
        <f t="shared" si="10"/>
        <v>100</v>
      </c>
      <c r="T33" s="1572" t="s">
        <v>8</v>
      </c>
      <c r="U33" s="1573">
        <f t="shared" si="11"/>
        <v>100</v>
      </c>
      <c r="V33" s="1572" t="s">
        <v>8</v>
      </c>
      <c r="W33" s="1573">
        <f t="shared" si="12"/>
        <v>100</v>
      </c>
      <c r="X33" s="1566"/>
      <c r="Y33" s="3420"/>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21" t="s">
        <v>550</v>
      </c>
      <c r="Q34" s="1571">
        <f t="shared" si="8"/>
        <v>111</v>
      </c>
      <c r="R34" s="1572" t="s">
        <v>8</v>
      </c>
      <c r="S34" s="1573">
        <f t="shared" si="10"/>
        <v>100</v>
      </c>
      <c r="T34" s="1572" t="s">
        <v>8</v>
      </c>
      <c r="U34" s="1573">
        <f t="shared" si="11"/>
        <v>100</v>
      </c>
      <c r="V34" s="1572" t="s">
        <v>8</v>
      </c>
      <c r="W34" s="1573">
        <f t="shared" si="12"/>
        <v>100</v>
      </c>
      <c r="X34" s="1566"/>
      <c r="Y34" s="3422" t="s">
        <v>550</v>
      </c>
      <c r="Z34" s="1574">
        <f t="shared" si="13"/>
        <v>111</v>
      </c>
      <c r="AA34" s="1575">
        <f t="shared" si="3"/>
        <v>1</v>
      </c>
      <c r="AB34" s="1575">
        <f t="shared" si="4"/>
        <v>1</v>
      </c>
      <c r="AC34" s="1575">
        <f t="shared" si="5"/>
        <v>1</v>
      </c>
    </row>
    <row r="35" spans="1:29" s="1337" customFormat="1" ht="15.75"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22"/>
      <c r="Q35" s="1571">
        <f t="shared" si="8"/>
        <v>111</v>
      </c>
      <c r="R35" s="1576" t="s">
        <v>8</v>
      </c>
      <c r="S35" s="1577">
        <f t="shared" si="10"/>
        <v>100</v>
      </c>
      <c r="T35" s="1576" t="s">
        <v>8</v>
      </c>
      <c r="U35" s="1577">
        <f t="shared" si="11"/>
        <v>100</v>
      </c>
      <c r="V35" s="1576" t="s">
        <v>8</v>
      </c>
      <c r="W35" s="1577">
        <f t="shared" si="12"/>
        <v>100</v>
      </c>
      <c r="X35" s="1578"/>
      <c r="Y35" s="3422"/>
      <c r="Z35" s="1579">
        <f t="shared" si="13"/>
        <v>111</v>
      </c>
      <c r="AA35" s="1575">
        <f t="shared" si="3"/>
        <v>1</v>
      </c>
      <c r="AB35" s="1575">
        <f t="shared" si="4"/>
        <v>1</v>
      </c>
      <c r="AC35" s="1575">
        <f t="shared" si="5"/>
        <v>1</v>
      </c>
    </row>
    <row r="36" spans="1:29" ht="15">
      <c r="A36" s="2905"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22"/>
      <c r="Q36" s="1571" t="str">
        <f>B36</f>
        <v>宗地面积</v>
      </c>
      <c r="R36" s="1572" t="s">
        <v>8</v>
      </c>
      <c r="S36" s="1573" t="e">
        <f t="shared" si="10"/>
        <v>#N/A</v>
      </c>
      <c r="T36" s="1572" t="s">
        <v>8</v>
      </c>
      <c r="U36" s="1573" t="e">
        <f t="shared" si="11"/>
        <v>#N/A</v>
      </c>
      <c r="V36" s="1572" t="s">
        <v>8</v>
      </c>
      <c r="W36" s="1573" t="e">
        <f t="shared" si="12"/>
        <v>#N/A</v>
      </c>
      <c r="X36" s="1566"/>
      <c r="Y36" s="3422"/>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22"/>
      <c r="Q37" s="1571" t="str">
        <f t="shared" ref="Q37:Q42" si="14">B37</f>
        <v>宗地形状</v>
      </c>
      <c r="R37" s="1572" t="s">
        <v>8</v>
      </c>
      <c r="S37" s="1573">
        <f t="shared" si="10"/>
        <v>100</v>
      </c>
      <c r="T37" s="1572" t="s">
        <v>8</v>
      </c>
      <c r="U37" s="1573">
        <f t="shared" si="11"/>
        <v>100</v>
      </c>
      <c r="V37" s="1572" t="s">
        <v>8</v>
      </c>
      <c r="W37" s="1573">
        <f t="shared" si="12"/>
        <v>100</v>
      </c>
      <c r="X37" s="1566"/>
      <c r="Y37" s="3422"/>
      <c r="Z37" s="1574" t="str">
        <f t="shared" si="13"/>
        <v>宗地形状</v>
      </c>
      <c r="AA37" s="1575">
        <f t="shared" si="3"/>
        <v>1</v>
      </c>
      <c r="AB37" s="1575">
        <f t="shared" si="4"/>
        <v>1</v>
      </c>
      <c r="AC37" s="1575">
        <f t="shared" si="5"/>
        <v>1</v>
      </c>
    </row>
    <row r="38" spans="1:29" s="1218" customFormat="1" ht="15">
      <c r="A38" s="598"/>
      <c r="B38" s="1893"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22"/>
      <c r="Q38" s="1571" t="str">
        <f t="shared" si="14"/>
        <v>宗地开发程度</v>
      </c>
      <c r="R38" s="1567" t="s">
        <v>8</v>
      </c>
      <c r="S38" s="1568">
        <f t="shared" si="10"/>
        <v>100</v>
      </c>
      <c r="T38" s="1567" t="s">
        <v>8</v>
      </c>
      <c r="U38" s="1568">
        <f t="shared" si="11"/>
        <v>100</v>
      </c>
      <c r="V38" s="1567" t="s">
        <v>8</v>
      </c>
      <c r="W38" s="1568">
        <f t="shared" si="12"/>
        <v>100</v>
      </c>
      <c r="X38" s="1569"/>
      <c r="Y38" s="3422"/>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22" t="s">
        <v>601</v>
      </c>
      <c r="Q39" s="1571" t="str">
        <f t="shared" si="14"/>
        <v>工程地质条件</v>
      </c>
      <c r="R39" s="1572" t="s">
        <v>8</v>
      </c>
      <c r="S39" s="1573">
        <f t="shared" si="10"/>
        <v>100</v>
      </c>
      <c r="T39" s="1572" t="s">
        <v>8</v>
      </c>
      <c r="U39" s="1573">
        <f t="shared" si="11"/>
        <v>100</v>
      </c>
      <c r="V39" s="1572" t="s">
        <v>8</v>
      </c>
      <c r="W39" s="1573">
        <f t="shared" si="12"/>
        <v>100</v>
      </c>
      <c r="X39" s="1566"/>
      <c r="Y39" s="3422"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22"/>
      <c r="Q40" s="1571">
        <f t="shared" si="14"/>
        <v>111</v>
      </c>
      <c r="R40" s="1572" t="s">
        <v>8</v>
      </c>
      <c r="S40" s="1573">
        <f t="shared" si="10"/>
        <v>100</v>
      </c>
      <c r="T40" s="1572" t="s">
        <v>8</v>
      </c>
      <c r="U40" s="1573">
        <f t="shared" si="11"/>
        <v>100</v>
      </c>
      <c r="V40" s="1572" t="s">
        <v>8</v>
      </c>
      <c r="W40" s="1573">
        <f t="shared" si="12"/>
        <v>100</v>
      </c>
      <c r="X40" s="1566"/>
      <c r="Y40" s="3422"/>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22"/>
      <c r="Q41" s="1571">
        <f t="shared" si="14"/>
        <v>111</v>
      </c>
      <c r="R41" s="1572" t="s">
        <v>8</v>
      </c>
      <c r="S41" s="1573">
        <f t="shared" si="10"/>
        <v>100</v>
      </c>
      <c r="T41" s="1572" t="s">
        <v>8</v>
      </c>
      <c r="U41" s="1573">
        <f t="shared" si="11"/>
        <v>100</v>
      </c>
      <c r="V41" s="1572" t="s">
        <v>8</v>
      </c>
      <c r="W41" s="1573">
        <f t="shared" si="12"/>
        <v>100</v>
      </c>
      <c r="X41" s="1566"/>
      <c r="Y41" s="3422"/>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22"/>
      <c r="Q42" s="1571">
        <f t="shared" si="14"/>
        <v>111</v>
      </c>
      <c r="R42" s="1576" t="s">
        <v>8</v>
      </c>
      <c r="S42" s="1577">
        <f t="shared" si="10"/>
        <v>100</v>
      </c>
      <c r="T42" s="1576" t="s">
        <v>8</v>
      </c>
      <c r="U42" s="1577">
        <f t="shared" si="11"/>
        <v>100</v>
      </c>
      <c r="V42" s="1576" t="s">
        <v>8</v>
      </c>
      <c r="W42" s="1577">
        <f t="shared" si="12"/>
        <v>100</v>
      </c>
      <c r="X42" s="1578"/>
      <c r="Y42" s="3422"/>
      <c r="Z42" s="1579">
        <f t="shared" si="13"/>
        <v>111</v>
      </c>
      <c r="AA42" s="1575">
        <f t="shared" si="3"/>
        <v>1</v>
      </c>
      <c r="AB42" s="1575">
        <f t="shared" si="4"/>
        <v>1</v>
      </c>
      <c r="AC42" s="1575">
        <f t="shared" si="5"/>
        <v>1</v>
      </c>
    </row>
    <row r="43" spans="1:29" ht="15">
      <c r="A43" s="605" t="s">
        <v>556</v>
      </c>
      <c r="B43" s="606" t="s">
        <v>2918</v>
      </c>
      <c r="C43" s="607" t="s">
        <v>1</v>
      </c>
      <c r="D43" s="608"/>
      <c r="E43" s="609"/>
      <c r="F43" s="610"/>
      <c r="G43" s="611"/>
      <c r="H43" s="612"/>
      <c r="I43" s="609"/>
      <c r="J43" s="612"/>
      <c r="K43" s="1338"/>
      <c r="L43" s="2142"/>
      <c r="M43" s="2132"/>
      <c r="N43" s="2132"/>
      <c r="O43" s="2143"/>
      <c r="P43" s="3386" t="str">
        <f>A43</f>
        <v>成交单价</v>
      </c>
      <c r="Q43" s="3386"/>
      <c r="R43" s="3387">
        <f>E43</f>
        <v>0</v>
      </c>
      <c r="S43" s="3387"/>
      <c r="T43" s="3387">
        <f>G43</f>
        <v>0</v>
      </c>
      <c r="U43" s="3387"/>
      <c r="V43" s="3387">
        <f>I43</f>
        <v>0</v>
      </c>
      <c r="W43" s="3387"/>
      <c r="X43" s="1558"/>
      <c r="Y43" s="1580"/>
      <c r="Z43" s="1558"/>
      <c r="AA43" s="1558"/>
      <c r="AB43" s="1558"/>
      <c r="AC43" s="1558"/>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3386" t="str">
        <f>A44</f>
        <v>比较价格（元/平方米）</v>
      </c>
      <c r="Q44" s="3386"/>
      <c r="R44" s="3388" t="e">
        <f>ROUND(PRODUCT(R43,AA9:AA42),0)</f>
        <v>#DIV/0!</v>
      </c>
      <c r="S44" s="3388"/>
      <c r="T44" s="3388" t="e">
        <f>ROUND(PRODUCT(T43,AB9:AB42),0)</f>
        <v>#DIV/0!</v>
      </c>
      <c r="U44" s="3388"/>
      <c r="V44" s="3388" t="e">
        <f>ROUND(PRODUCT(V43,AC9:AC42),0)</f>
        <v>#DIV/0!</v>
      </c>
      <c r="W44" s="3388"/>
      <c r="X44" s="1558"/>
      <c r="Y44" s="1558"/>
      <c r="Z44" s="1558"/>
      <c r="AA44" s="1558"/>
      <c r="AB44" s="1558"/>
      <c r="AC44" s="1558"/>
    </row>
    <row r="45" spans="1:29" ht="15.75" thickBot="1">
      <c r="A45" s="619" t="s">
        <v>2919</v>
      </c>
      <c r="B45" s="620"/>
      <c r="C45" s="621" t="e">
        <f>R45</f>
        <v>#DIV/0!</v>
      </c>
      <c r="D45" s="621"/>
      <c r="E45" s="621"/>
      <c r="F45" s="621"/>
      <c r="G45" s="621"/>
      <c r="H45" s="621"/>
      <c r="I45" s="621"/>
      <c r="J45" s="621"/>
      <c r="K45" s="1340"/>
      <c r="L45" s="2142"/>
      <c r="M45" s="2132"/>
      <c r="N45" s="2132"/>
      <c r="O45" s="2143"/>
      <c r="P45" s="3383" t="str">
        <f>A45</f>
        <v>估价对象XX用房的比较价格（楼面单价，元/平方米）</v>
      </c>
      <c r="Q45" s="3384"/>
      <c r="R45" s="3385" t="e">
        <f>ROUND(AVERAGE(R44:V44),0)</f>
        <v>#DIV/0!</v>
      </c>
      <c r="S45" s="3385"/>
      <c r="T45" s="3385"/>
      <c r="U45" s="3385"/>
      <c r="V45" s="3385"/>
      <c r="W45" s="3385"/>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9" t="s">
        <v>1725</v>
      </c>
      <c r="D52" s="2225" t="s">
        <v>2294</v>
      </c>
      <c r="E52" s="629" t="s">
        <v>562</v>
      </c>
      <c r="F52" s="1949" t="s">
        <v>563</v>
      </c>
      <c r="G52" s="3431" t="s">
        <v>2285</v>
      </c>
      <c r="H52" s="3432"/>
      <c r="I52" s="1950" t="s">
        <v>1948</v>
      </c>
      <c r="J52" s="1554" t="str">
        <f>项目基本情况!F41</f>
        <v>河北省</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119144.43999999997</v>
      </c>
      <c r="F53" s="1948" t="e">
        <f t="shared" ref="F53:F62" si="15">ROUND(B53*E53/10000,0)</f>
        <v>#DIV/0!</v>
      </c>
      <c r="G53" s="3433"/>
      <c r="H53" s="3434"/>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v>
      </c>
      <c r="D54" s="2227">
        <v>0.25</v>
      </c>
      <c r="E54" s="637"/>
      <c r="F54" s="1948" t="e">
        <f t="shared" si="15"/>
        <v>#DIV/0!</v>
      </c>
      <c r="G54" s="3435" t="s">
        <v>2286</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v>
      </c>
      <c r="D55" s="2227">
        <v>0.25</v>
      </c>
      <c r="E55" s="637"/>
      <c r="F55" s="1948" t="e">
        <f t="shared" si="15"/>
        <v>#DIV/0!</v>
      </c>
      <c r="G55" s="3435"/>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v>
      </c>
      <c r="D56" s="2227">
        <v>0.25</v>
      </c>
      <c r="E56" s="637"/>
      <c r="F56" s="1948" t="e">
        <f t="shared" si="15"/>
        <v>#DIV/0!</v>
      </c>
      <c r="G56" s="3435"/>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v>
      </c>
      <c r="D57" s="2227">
        <v>0.25</v>
      </c>
      <c r="E57" s="637"/>
      <c r="F57" s="1948" t="e">
        <f t="shared" si="15"/>
        <v>#DIV/0!</v>
      </c>
      <c r="G57" s="3435"/>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2327</v>
      </c>
      <c r="B58" s="636" t="e">
        <f t="shared" si="17"/>
        <v>#DIV/0!</v>
      </c>
      <c r="C58" s="376">
        <f t="shared" si="16"/>
        <v>0</v>
      </c>
      <c r="D58" s="2227">
        <v>0.25</v>
      </c>
      <c r="E58" s="639">
        <f>'数据-汇总表'!E11</f>
        <v>0</v>
      </c>
      <c r="F58" s="1948" t="e">
        <f t="shared" si="15"/>
        <v>#DIV/0!</v>
      </c>
      <c r="G58" s="1954" t="s">
        <v>2287</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v>
      </c>
      <c r="D59" s="2227">
        <v>0.25</v>
      </c>
      <c r="E59" s="639">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v>
      </c>
      <c r="D60" s="2227">
        <v>0.25</v>
      </c>
      <c r="E60" s="639">
        <f>'数据-汇总表'!E13</f>
        <v>52223.11</v>
      </c>
      <c r="F60" s="1948" t="e">
        <f t="shared" si="15"/>
        <v>#DIV/0!</v>
      </c>
      <c r="G60" s="1944" t="s">
        <v>923</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v>
      </c>
      <c r="D61" s="2227">
        <v>0.25</v>
      </c>
      <c r="E61" s="639">
        <f>'数据-汇总表'!E14</f>
        <v>0</v>
      </c>
      <c r="F61" s="1948" t="e">
        <f t="shared" si="15"/>
        <v>#DIV/0!</v>
      </c>
      <c r="G61" s="1954" t="s">
        <v>2286</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v>
      </c>
      <c r="D62" s="2227">
        <v>0.25</v>
      </c>
      <c r="E62" s="639">
        <f>'数据-汇总表'!E15</f>
        <v>0</v>
      </c>
      <c r="F62" s="1948" t="e">
        <f t="shared" si="15"/>
        <v>#DIV/0!</v>
      </c>
      <c r="G62" s="1955" t="s">
        <v>2287</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2295</v>
      </c>
      <c r="E63" s="641">
        <f>IF(B43="楼面地价",SUM(E53:E62),'数据-汇总表'!D3)</f>
        <v>64530.53</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2018-9-1</v>
      </c>
      <c r="D65" s="2797">
        <f>EDATE(C65,-3)</f>
        <v>43252</v>
      </c>
      <c r="E65" s="2797">
        <f t="shared" ref="E65:N65" si="18">EDATE(D65,-3)</f>
        <v>43160</v>
      </c>
      <c r="F65" s="2797">
        <f t="shared" si="18"/>
        <v>43070</v>
      </c>
      <c r="G65" s="2797">
        <f t="shared" si="18"/>
        <v>42979</v>
      </c>
      <c r="H65" s="2797">
        <f t="shared" si="18"/>
        <v>42887</v>
      </c>
      <c r="I65" s="2797">
        <f t="shared" si="18"/>
        <v>42795</v>
      </c>
      <c r="J65" s="2797">
        <f t="shared" si="18"/>
        <v>42705</v>
      </c>
      <c r="K65" s="2797">
        <f t="shared" si="18"/>
        <v>42614</v>
      </c>
      <c r="L65" s="2797">
        <f t="shared" si="18"/>
        <v>42522</v>
      </c>
      <c r="M65" s="2797">
        <f t="shared" si="18"/>
        <v>42430</v>
      </c>
      <c r="N65" s="2797">
        <f t="shared" si="18"/>
        <v>42339</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66" t="s">
        <v>2532</v>
      </c>
      <c r="B67" s="644"/>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2648</v>
      </c>
      <c r="B68" s="477" t="str">
        <f>"北京市平均增长率"&amp;TEXT(基准地价!P24,"0.00%")</f>
        <v>北京市平均增长率1.41%</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2547</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95" t="s">
        <v>2549</v>
      </c>
      <c r="C95" s="2596" t="s">
        <v>2550</v>
      </c>
      <c r="D95" s="2596" t="s">
        <v>2551</v>
      </c>
      <c r="E95" s="2596" t="s">
        <v>2552</v>
      </c>
      <c r="F95" s="2596" t="s">
        <v>2553</v>
      </c>
      <c r="G95" s="2596" t="s">
        <v>2554</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7" t="str">
        <f t="shared" si="25"/>
        <v>(含)-</v>
      </c>
      <c r="L109" s="3088" t="str">
        <f t="shared" si="25"/>
        <v>(含)-</v>
      </c>
      <c r="M109" s="308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2424</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0"/>
      <c r="G1" s="1400"/>
      <c r="H1" s="1400"/>
      <c r="I1" s="1400"/>
      <c r="J1" s="1400"/>
      <c r="K1" s="1400"/>
      <c r="L1" s="1880" t="s">
        <v>2239</v>
      </c>
      <c r="M1" s="1881">
        <f>SUMPRODUCT((区片价!B5:B9=I2)*(区片价!C3:F3=E2)*(区片价!C5:F9))</f>
        <v>0</v>
      </c>
      <c r="N1" s="1882">
        <f>SUMPRODUCT((因素修正幅度!B5:B9=I2)*(因素修正幅度!C3:F3=E2)*(因素修正幅度!C5:F9))</f>
        <v>0</v>
      </c>
      <c r="O1" s="2187"/>
      <c r="P1" s="2187"/>
      <c r="Q1" s="2187"/>
      <c r="R1" s="2934" t="s">
        <v>2761</v>
      </c>
      <c r="S1" s="2934" t="s">
        <v>2762</v>
      </c>
      <c r="T1" s="2934" t="s">
        <v>2783</v>
      </c>
      <c r="U1" s="2934" t="s">
        <v>2784</v>
      </c>
      <c r="V1" s="2934" t="s">
        <v>2785</v>
      </c>
      <c r="W1" s="2187"/>
      <c r="X1" s="2187"/>
      <c r="Y1" s="2187"/>
      <c r="Z1" s="2187"/>
      <c r="AA1" s="2187"/>
      <c r="AB1" s="2187"/>
      <c r="AC1" s="2188"/>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2240</v>
      </c>
      <c r="M2" s="1884">
        <f>SUMPRODUCT((区片价!B10:B28=I2)*(区片价!C3:F3=E2)*(区片价!C10:F28))</f>
        <v>0</v>
      </c>
      <c r="N2" s="1885">
        <f>SUMPRODUCT((因素修正幅度!B10:B28=I2)*(因素修正幅度!C3:F3=E2)*(因素修正幅度!C10:F28))</f>
        <v>0</v>
      </c>
      <c r="O2" s="2187"/>
      <c r="P2" s="2187"/>
      <c r="Q2" s="2187"/>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7"/>
      <c r="X2" s="2187"/>
      <c r="Y2" s="2187"/>
      <c r="Z2" s="2187"/>
      <c r="AA2" s="2187"/>
      <c r="AB2" s="2187"/>
      <c r="AC2" s="2188"/>
    </row>
    <row r="3" spans="1:39" ht="15.75">
      <c r="A3" s="1410" t="s">
        <v>1688</v>
      </c>
      <c r="B3" s="1036" t="e">
        <f>ROUND(B2*10000/D1,0)</f>
        <v>#DIV/0!</v>
      </c>
      <c r="C3" s="1406" t="s">
        <v>927</v>
      </c>
      <c r="D3" s="1407" t="s">
        <v>928</v>
      </c>
      <c r="E3" s="1411"/>
      <c r="F3" s="1412" t="s">
        <v>2920</v>
      </c>
      <c r="G3" s="1037">
        <f>IF(F3="宗地容积率",'数据-汇总表'!I4,IF(F3="估价对象容积率",'数据-汇总表'!I6,'数据-汇总表'!I7))</f>
        <v>1.88</v>
      </c>
      <c r="H3" s="1413" t="s">
        <v>929</v>
      </c>
      <c r="I3" s="1038">
        <v>8</v>
      </c>
      <c r="J3" s="1409" t="s">
        <v>930</v>
      </c>
      <c r="K3" s="1400"/>
      <c r="L3" s="1883" t="s">
        <v>2241</v>
      </c>
      <c r="M3" s="1884">
        <f>SUMPRODUCT((区片价!B29:B48=I2)*(区片价!C3:F3=E2)*(区片价!C29:F48))</f>
        <v>0</v>
      </c>
      <c r="N3" s="1885">
        <f>SUMPRODUCT((因素修正幅度!B29:B48=I2)*(因素修正幅度!C3:F3=E2)*(因素修正幅度!C29:F48))</f>
        <v>0</v>
      </c>
      <c r="O3" s="2187"/>
      <c r="P3" s="2187"/>
      <c r="Q3" s="2187"/>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7"/>
      <c r="X3" s="2187"/>
      <c r="Y3" s="2187"/>
      <c r="Z3" s="2187"/>
      <c r="AA3" s="2187"/>
      <c r="AB3" s="2187"/>
      <c r="AC3" s="2188"/>
    </row>
    <row r="4" spans="1:39" ht="28.5">
      <c r="A4" s="1889" t="s">
        <v>2281</v>
      </c>
      <c r="B4" s="2451" t="e">
        <f>ROUND(B2*10000/F1,0)</f>
        <v>#DIV/0!</v>
      </c>
      <c r="C4" s="1892" t="s">
        <v>2255</v>
      </c>
      <c r="D4" s="1892" t="e">
        <f>ROUND(B2/(F1/666.67),0)</f>
        <v>#DIV/0!</v>
      </c>
      <c r="E4" s="1892" t="s">
        <v>2256</v>
      </c>
      <c r="F4" s="1890"/>
      <c r="G4" s="1890"/>
      <c r="H4" s="1890"/>
      <c r="I4" s="1890"/>
      <c r="J4" s="1891"/>
      <c r="K4" s="1400"/>
      <c r="L4" s="1883" t="s">
        <v>2242</v>
      </c>
      <c r="M4" s="1884">
        <f>SUMPRODUCT((区片价!B49:B75=I2)*(区片价!C3:F3=E2)*(区片价!C49:F75))</f>
        <v>0</v>
      </c>
      <c r="N4" s="1885">
        <f>SUMPRODUCT((因素修正幅度!B49:B75=I2)*(因素修正幅度!C3:F3=E2)*(因素修正幅度!C49:F75))</f>
        <v>0</v>
      </c>
      <c r="O4" s="2187"/>
      <c r="P4" s="2187"/>
      <c r="Q4" s="2187"/>
      <c r="R4" s="2935">
        <v>3</v>
      </c>
      <c r="S4" s="2935">
        <f>ROUND(IF(G3&gt;1,IF(R4&lt;7,SUMPRODUCT((B93:B98=R4)*(C92:N92=G2)*(C93:N98)),SUMIF(C92:N92,G2,C100:N100)),IF(R4&lt;7,SUMPRODUCT((B102:B107=R4)*(C92:N92=G2)*(C102:N107)),SUMIF(C92:N92,G2,C109:N109))),4)</f>
        <v>0</v>
      </c>
      <c r="T4" s="2935" t="e">
        <f t="shared" si="0"/>
        <v>#DIV/0!</v>
      </c>
      <c r="U4" s="2924"/>
      <c r="V4" s="2935" t="e">
        <f t="shared" si="1"/>
        <v>#DIV/0!</v>
      </c>
      <c r="W4" s="2187"/>
      <c r="X4" s="2187"/>
      <c r="Y4" s="2187"/>
      <c r="Z4" s="2187"/>
      <c r="AA4" s="2187"/>
      <c r="AB4" s="2187"/>
      <c r="AC4" s="2188"/>
    </row>
    <row r="5" spans="1:39" s="1420" customFormat="1" ht="15.75" thickBot="1">
      <c r="A5" s="1637" t="s">
        <v>1824</v>
      </c>
      <c r="B5" s="1414" t="s">
        <v>931</v>
      </c>
      <c r="C5" s="1039" t="e">
        <f>ROUND(IF(E2="商业",IF(F16="增加",C6*C7+C16,C6*C7-C16),IF(E2="住宅",IF(F16="增加",C6*C12+C16,C6*C12-C16),IF(F16="增加",C6+C16,C6-C16))),0)</f>
        <v>#DIV/0!</v>
      </c>
      <c r="D5" s="3115">
        <f>ROUND(IF(E2="商业",IF(F16="增加",C6+C16,C6-C16)),0)</f>
        <v>0</v>
      </c>
      <c r="E5" s="1415"/>
      <c r="F5" s="1415"/>
      <c r="G5" s="1416"/>
      <c r="H5" s="1416"/>
      <c r="I5" s="1416"/>
      <c r="J5" s="1417"/>
      <c r="K5" s="1593"/>
      <c r="L5" s="1883" t="s">
        <v>2243</v>
      </c>
      <c r="M5" s="1884">
        <f>SUMPRODUCT((区片价!B76:B109=I2)*(区片价!C3:F3=E2)*(区片价!C76:F109))</f>
        <v>0</v>
      </c>
      <c r="N5" s="1885">
        <f>SUMPRODUCT((因素修正幅度!B76:B109=I2)*(因素修正幅度!C3:F3=E2)*(因素修正幅度!C76:F109))</f>
        <v>0</v>
      </c>
      <c r="O5" s="2187"/>
      <c r="P5" s="2187"/>
      <c r="Q5" s="2187"/>
      <c r="R5" s="2935">
        <v>4</v>
      </c>
      <c r="S5" s="2935">
        <f>ROUND(IF(G3&gt;1,IF(R5&lt;7,SUMPRODUCT((B93:B98=R5)*(C92:N92=G2)*(C93:N98)),SUMIF(C92:N92,G2,C100:N100)),IF(R5&lt;7,SUMPRODUCT((B102:B107=R5)*(C92:N92=G2)*(C102:N107)),SUMIF(C92:N92,G2,C109:N109))),4)</f>
        <v>0</v>
      </c>
      <c r="T5" s="2935" t="e">
        <f t="shared" si="0"/>
        <v>#DIV/0!</v>
      </c>
      <c r="U5" s="2924"/>
      <c r="V5" s="2935"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3" t="s">
        <v>2244</v>
      </c>
      <c r="M6" s="1884">
        <f>SUMPRODUCT((区片价!B110:B157=I2)*(区片价!C3:F3=E2)*(区片价!C110:F157))</f>
        <v>0</v>
      </c>
      <c r="N6" s="1885">
        <f>SUMPRODUCT((因素修正幅度!B110:B157=I2)*(因素修正幅度!C3:F3=E2)*(因素修正幅度!C110:F157))</f>
        <v>0</v>
      </c>
      <c r="O6" s="2187"/>
      <c r="P6" s="2187"/>
      <c r="Q6" s="2187"/>
      <c r="R6" s="2935">
        <v>5</v>
      </c>
      <c r="S6" s="2935">
        <f>ROUND(IF(G3&gt;1,IF(R6&lt;7,SUMPRODUCT((B93:B98=R6)*(C92:N92=G2)*(C93:N98)),SUMIF(C92:N92,G2,C100:N100)),IF(R6&lt;7,SUMPRODUCT((B102:B107=R6)*(C92:N92=G2)*(C102:N107)),SUMIF(C92:N92,G2,C109:N109))),4)</f>
        <v>0</v>
      </c>
      <c r="T6" s="2935" t="e">
        <f t="shared" si="0"/>
        <v>#DIV/0!</v>
      </c>
      <c r="U6" s="2924"/>
      <c r="V6" s="2935" t="e">
        <f t="shared" si="1"/>
        <v>#DIV/0!</v>
      </c>
      <c r="W6" s="2187"/>
      <c r="X6" s="2187"/>
      <c r="Y6" s="2187"/>
      <c r="Z6" s="2187"/>
      <c r="AA6" s="2187"/>
      <c r="AB6" s="2187"/>
      <c r="AC6" s="2189"/>
      <c r="AD6" s="1418"/>
      <c r="AE6" s="1418"/>
      <c r="AF6" s="1418"/>
      <c r="AG6" s="1418"/>
      <c r="AH6" s="1418"/>
      <c r="AI6" s="1418"/>
      <c r="AJ6" s="1419"/>
    </row>
    <row r="7" spans="1:39" ht="24">
      <c r="A7" s="3445" t="str">
        <f>IF(E2="商业",IF(C8="不临58条商业街","",2),"")</f>
        <v/>
      </c>
      <c r="B7" s="1426" t="s">
        <v>932</v>
      </c>
      <c r="C7" s="1041" t="e">
        <f>IF(C8="不临58条商业街",1,ROUND(1+(1.6*E8+1.2*E9+0.8*E10+0.4*E11)*C9,4))</f>
        <v>#DIV/0!</v>
      </c>
      <c r="D7" s="1427" t="s">
        <v>933</v>
      </c>
      <c r="E7" s="1042"/>
      <c r="F7" s="1428"/>
      <c r="G7" s="1429"/>
      <c r="H7" s="1429"/>
      <c r="I7" s="1429"/>
      <c r="J7" s="1430"/>
      <c r="K7" s="1594"/>
      <c r="L7" s="1883" t="s">
        <v>2245</v>
      </c>
      <c r="M7" s="1884">
        <f>SUMPRODUCT((区片价!B158:B205=I2)*(区片价!C3:F3=E2)*(区片价!C158:F205))</f>
        <v>0</v>
      </c>
      <c r="N7" s="1885">
        <f>SUMPRODUCT((因素修正幅度!B158:B205=I2)*(因素修正幅度!C3:F3=E2)*(因素修正幅度!C158:F205))</f>
        <v>0</v>
      </c>
      <c r="O7" s="2187"/>
      <c r="P7" s="2187"/>
      <c r="Q7" s="2187"/>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2764</v>
      </c>
      <c r="X7" s="2925">
        <f>G2</f>
        <v>0</v>
      </c>
      <c r="Y7" s="2925" t="s">
        <v>2765</v>
      </c>
      <c r="Z7" s="2926">
        <f>G3</f>
        <v>1.88</v>
      </c>
      <c r="AA7" s="2190"/>
      <c r="AB7" s="2190"/>
      <c r="AC7" s="2191"/>
      <c r="AD7" s="2927"/>
      <c r="AE7" s="2927"/>
      <c r="AF7" s="2927"/>
      <c r="AG7" s="2927"/>
      <c r="AH7" s="2927"/>
      <c r="AI7" s="2927"/>
      <c r="AJ7" s="2928"/>
    </row>
    <row r="8" spans="1:39" ht="15">
      <c r="A8" s="3446"/>
      <c r="B8" s="1413" t="s">
        <v>934</v>
      </c>
      <c r="C8" s="1528"/>
      <c r="D8" s="1043" t="s">
        <v>935</v>
      </c>
      <c r="E8" s="1044" t="e">
        <f>ROUND(C11/E7,4)</f>
        <v>#DIV/0!</v>
      </c>
      <c r="F8" s="1431" t="s">
        <v>936</v>
      </c>
      <c r="G8" s="1432"/>
      <c r="H8" s="1432"/>
      <c r="I8" s="1432"/>
      <c r="J8" s="1433"/>
      <c r="K8" s="1400"/>
      <c r="L8" s="1883" t="s">
        <v>2246</v>
      </c>
      <c r="M8" s="1884">
        <f>SUMPRODUCT((区片价!B206:B244=I2)*(区片价!C3:F3=E2)*(区片价!C206:F244))</f>
        <v>0</v>
      </c>
      <c r="N8" s="1885">
        <f>SUMPRODUCT((因素修正幅度!B206:B244=I2)*(因素修正幅度!C3:F3=E2)*(因素修正幅度!C206:F244))</f>
        <v>0</v>
      </c>
      <c r="O8" s="2187"/>
      <c r="P8" s="2187"/>
      <c r="Q8" s="2187"/>
      <c r="R8" s="2935">
        <v>7</v>
      </c>
      <c r="S8" s="2924"/>
      <c r="T8" s="2935" t="e">
        <f t="shared" si="0"/>
        <v>#DIV/0!</v>
      </c>
      <c r="U8" s="2924"/>
      <c r="V8" s="2935" t="e">
        <f t="shared" si="1"/>
        <v>#DIV/0!</v>
      </c>
      <c r="W8" s="3437" t="s">
        <v>2782</v>
      </c>
      <c r="X8" s="3438"/>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46"/>
      <c r="B9" s="1413" t="s">
        <v>937</v>
      </c>
      <c r="C9" s="1045">
        <f>SUMIF(修正!C59:C119,C8,修正!E59:E119)</f>
        <v>0</v>
      </c>
      <c r="D9" s="1046" t="s">
        <v>938</v>
      </c>
      <c r="E9" s="1046" t="e">
        <f>ROUND(C11/E7,4)</f>
        <v>#DIV/0!</v>
      </c>
      <c r="F9" s="1431" t="s">
        <v>939</v>
      </c>
      <c r="G9" s="1432"/>
      <c r="H9" s="1432"/>
      <c r="I9" s="1432"/>
      <c r="J9" s="1433"/>
      <c r="K9" s="1400"/>
      <c r="L9" s="1883" t="s">
        <v>2247</v>
      </c>
      <c r="M9" s="1884">
        <f>SUMPRODUCT((区片价!B245:B289=I2)*(区片价!C3:F3=E2)*(区片价!C245:F289))</f>
        <v>0</v>
      </c>
      <c r="N9" s="1885">
        <f>SUMPRODUCT((因素修正幅度!B245:B289=I2)*(因素修正幅度!C3:F3=E2)*(因素修正幅度!C245:F289))</f>
        <v>0</v>
      </c>
      <c r="O9" s="2187"/>
      <c r="P9" s="2187"/>
      <c r="Q9" s="2187"/>
      <c r="R9" s="2935">
        <v>8</v>
      </c>
      <c r="S9" s="2924"/>
      <c r="T9" s="2935" t="e">
        <f t="shared" si="0"/>
        <v>#DIV/0!</v>
      </c>
      <c r="U9" s="2924"/>
      <c r="V9" s="2935" t="e">
        <f t="shared" si="1"/>
        <v>#DIV/0!</v>
      </c>
      <c r="W9" s="3436" t="s">
        <v>2778</v>
      </c>
      <c r="X9" s="2929" t="s">
        <v>2779</v>
      </c>
      <c r="Y9" s="3093"/>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46"/>
      <c r="B10" s="1413" t="s">
        <v>940</v>
      </c>
      <c r="C10" s="1046">
        <f>SUMIF(修正!C59:C119,C8,修正!F59:F119)</f>
        <v>0</v>
      </c>
      <c r="D10" s="1046" t="s">
        <v>941</v>
      </c>
      <c r="E10" s="1046" t="e">
        <f>ROUND(C11/E7,4)</f>
        <v>#DIV/0!</v>
      </c>
      <c r="F10" s="1431" t="s">
        <v>942</v>
      </c>
      <c r="G10" s="1432"/>
      <c r="H10" s="1432"/>
      <c r="I10" s="1432"/>
      <c r="J10" s="1433"/>
      <c r="K10" s="1400"/>
      <c r="L10" s="1883" t="s">
        <v>2248</v>
      </c>
      <c r="M10" s="1884">
        <f>SUMPRODUCT((区片价!B290:B316=I2)*(区片价!C3:F3=E2)*(区片价!C290:F316))</f>
        <v>0</v>
      </c>
      <c r="N10" s="1885">
        <f>SUMPRODUCT((因素修正幅度!B290:B316=I2)*(因素修正幅度!C3:F3=E2)*(因素修正幅度!C290:F316))</f>
        <v>0</v>
      </c>
      <c r="O10" s="2187"/>
      <c r="P10" s="2187"/>
      <c r="Q10" s="2187"/>
      <c r="R10" s="2935">
        <v>9</v>
      </c>
      <c r="S10" s="2924"/>
      <c r="T10" s="2935" t="e">
        <f t="shared" si="0"/>
        <v>#DIV/0!</v>
      </c>
      <c r="U10" s="2924"/>
      <c r="V10" s="2935" t="e">
        <f t="shared" si="1"/>
        <v>#DIV/0!</v>
      </c>
      <c r="W10" s="3436"/>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46"/>
      <c r="B11" s="1434" t="s">
        <v>943</v>
      </c>
      <c r="C11" s="1047">
        <f>C10/4</f>
        <v>0</v>
      </c>
      <c r="D11" s="1047" t="s">
        <v>944</v>
      </c>
      <c r="E11" s="1047" t="e">
        <f>ROUND(C11/E7,4)</f>
        <v>#DIV/0!</v>
      </c>
      <c r="F11" s="1435" t="s">
        <v>945</v>
      </c>
      <c r="G11" s="1436"/>
      <c r="H11" s="1436"/>
      <c r="I11" s="1436"/>
      <c r="J11" s="1437"/>
      <c r="K11" s="1400"/>
      <c r="L11" s="1883" t="s">
        <v>2249</v>
      </c>
      <c r="M11" s="1884">
        <f>SUMPRODUCT((区片价!B317:B337=I2)*(区片价!C3:F3=E2)*(区片价!C317:F337))</f>
        <v>0</v>
      </c>
      <c r="N11" s="1885">
        <f>SUMPRODUCT((因素修正幅度!B317:B337=I2)*(因素修正幅度!C3:F3=E2)*(因素修正幅度!C317:F337))</f>
        <v>0</v>
      </c>
      <c r="O11" s="2187"/>
      <c r="P11" s="2187"/>
      <c r="Q11" s="2187"/>
      <c r="R11" s="2935">
        <v>10</v>
      </c>
      <c r="S11" s="2924"/>
      <c r="T11" s="2935" t="e">
        <f t="shared" si="0"/>
        <v>#DIV/0!</v>
      </c>
      <c r="U11" s="2924"/>
      <c r="V11" s="2935" t="e">
        <f t="shared" si="1"/>
        <v>#DIV/0!</v>
      </c>
      <c r="W11" s="3436" t="s">
        <v>2780</v>
      </c>
      <c r="X11" s="1046" t="s">
        <v>2765</v>
      </c>
      <c r="Y11" s="1652">
        <f>$G$3</f>
        <v>1.88</v>
      </c>
      <c r="Z11" s="1652">
        <f t="shared" ref="Z11:AJ11" si="3">$G$3</f>
        <v>1.88</v>
      </c>
      <c r="AA11" s="1652">
        <f t="shared" si="3"/>
        <v>1.88</v>
      </c>
      <c r="AB11" s="1652">
        <f t="shared" si="3"/>
        <v>1.88</v>
      </c>
      <c r="AC11" s="1652">
        <f t="shared" si="3"/>
        <v>1.88</v>
      </c>
      <c r="AD11" s="1652">
        <f t="shared" si="3"/>
        <v>1.88</v>
      </c>
      <c r="AE11" s="1652">
        <f t="shared" si="3"/>
        <v>1.88</v>
      </c>
      <c r="AF11" s="1652">
        <f t="shared" si="3"/>
        <v>1.88</v>
      </c>
      <c r="AG11" s="1652">
        <f t="shared" si="3"/>
        <v>1.88</v>
      </c>
      <c r="AH11" s="1652">
        <f t="shared" si="3"/>
        <v>1.88</v>
      </c>
      <c r="AI11" s="1652">
        <f t="shared" si="3"/>
        <v>1.88</v>
      </c>
      <c r="AJ11" s="1652">
        <f t="shared" si="3"/>
        <v>1.88</v>
      </c>
    </row>
    <row r="12" spans="1:39" ht="25.5" thickBot="1">
      <c r="A12" s="3445" t="s">
        <v>1872</v>
      </c>
      <c r="B12" s="1438" t="s">
        <v>946</v>
      </c>
      <c r="C12" s="1041">
        <f>ROUND(C15*D15*E15*F15*G15*H15*I15*J15,4)</f>
        <v>1</v>
      </c>
      <c r="D12" s="1439" t="s">
        <v>947</v>
      </c>
      <c r="E12" s="1440"/>
      <c r="F12" s="1440"/>
      <c r="G12" s="1441"/>
      <c r="H12" s="1441"/>
      <c r="I12" s="1441"/>
      <c r="J12" s="1442"/>
      <c r="K12" s="1400"/>
      <c r="L12" s="1886" t="s">
        <v>2250</v>
      </c>
      <c r="M12" s="1887">
        <f>SUMPRODUCT((区片价!B338:B344=I2)*(区片价!C3:F3=E2)*(区片价!C338:F344))</f>
        <v>0</v>
      </c>
      <c r="N12" s="1888">
        <f>SUMPRODUCT((因素修正幅度!B338:B344=I2)*(因素修正幅度!C3:F3=E2)*(因素修正幅度!C338:F344))</f>
        <v>0</v>
      </c>
      <c r="O12" s="2187"/>
      <c r="P12" s="2187"/>
      <c r="Q12" s="2187"/>
      <c r="R12" s="2935">
        <v>11</v>
      </c>
      <c r="S12" s="2924"/>
      <c r="T12" s="2935" t="e">
        <f t="shared" si="0"/>
        <v>#DIV/0!</v>
      </c>
      <c r="U12" s="2924"/>
      <c r="V12" s="2935" t="e">
        <f t="shared" si="1"/>
        <v>#DIV/0!</v>
      </c>
      <c r="W12" s="3436"/>
      <c r="X12" s="2932" t="s">
        <v>2781</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47"/>
      <c r="B13" s="1443" t="s">
        <v>1697</v>
      </c>
      <c r="C13" s="1444" t="s">
        <v>1698</v>
      </c>
      <c r="D13" s="1087" t="s">
        <v>1699</v>
      </c>
      <c r="E13" s="1087" t="s">
        <v>1700</v>
      </c>
      <c r="F13" s="1445" t="s">
        <v>948</v>
      </c>
      <c r="G13" s="1446" t="s">
        <v>1643</v>
      </c>
      <c r="H13" s="1447" t="s">
        <v>1643</v>
      </c>
      <c r="I13" s="1448" t="s">
        <v>1643</v>
      </c>
      <c r="J13" s="1449" t="s">
        <v>1643</v>
      </c>
      <c r="K13" s="1400"/>
      <c r="L13" s="2187"/>
      <c r="M13" s="2187"/>
      <c r="N13" s="2187"/>
      <c r="O13" s="2187"/>
      <c r="P13" s="2187"/>
      <c r="Q13" s="2187"/>
      <c r="R13" s="2935">
        <v>12</v>
      </c>
      <c r="S13" s="2924"/>
      <c r="T13" s="2935" t="e">
        <f t="shared" si="0"/>
        <v>#DIV/0!</v>
      </c>
      <c r="U13" s="2924"/>
      <c r="V13" s="2935" t="e">
        <f t="shared" si="1"/>
        <v>#DIV/0!</v>
      </c>
      <c r="W13" s="3436"/>
      <c r="X13" s="2932"/>
      <c r="Y13" s="2931">
        <f>(-0.163*(Y12^2)-0.59*Y12+7617)*(10^(-4))/Y11</f>
        <v>0.40515957446808515</v>
      </c>
      <c r="Z13" s="2931">
        <f t="shared" ref="Z13:AJ13" si="5">(-0.163*(Z12^2)-0.59*Z12+7617)*(10^(-4))/Z11</f>
        <v>0.40515957446808515</v>
      </c>
      <c r="AA13" s="2931">
        <f t="shared" si="5"/>
        <v>0.40515957446808515</v>
      </c>
      <c r="AB13" s="2931">
        <f t="shared" si="5"/>
        <v>0.40515957446808515</v>
      </c>
      <c r="AC13" s="2931">
        <f t="shared" si="5"/>
        <v>0.40515957446808515</v>
      </c>
      <c r="AD13" s="2931">
        <f t="shared" si="5"/>
        <v>0.40515957446808515</v>
      </c>
      <c r="AE13" s="2931">
        <f t="shared" si="5"/>
        <v>0.40515957446808515</v>
      </c>
      <c r="AF13" s="2931">
        <f t="shared" si="5"/>
        <v>0.40515957446808515</v>
      </c>
      <c r="AG13" s="2931">
        <f t="shared" si="5"/>
        <v>0.40515957446808515</v>
      </c>
      <c r="AH13" s="2931">
        <f t="shared" si="5"/>
        <v>0.40515957446808515</v>
      </c>
      <c r="AI13" s="2931">
        <f t="shared" si="5"/>
        <v>0.40515957446808515</v>
      </c>
      <c r="AJ13" s="2931">
        <f t="shared" si="5"/>
        <v>0.40515957446808515</v>
      </c>
    </row>
    <row r="14" spans="1:39" ht="12.75" customHeight="1" thickBot="1">
      <c r="A14" s="3447"/>
      <c r="B14" s="1450"/>
      <c r="C14" s="1451"/>
      <c r="D14" s="1452"/>
      <c r="E14" s="1452"/>
      <c r="F14" s="1453"/>
      <c r="G14" s="1454" t="s">
        <v>949</v>
      </c>
      <c r="H14" s="1455"/>
      <c r="I14" s="1456"/>
      <c r="J14" s="1457"/>
      <c r="K14" s="1400"/>
      <c r="L14" s="2187"/>
      <c r="M14" s="2187"/>
      <c r="N14" s="2187"/>
      <c r="O14" s="2187"/>
      <c r="P14" s="2187"/>
      <c r="Q14" s="2187"/>
      <c r="R14" s="2935">
        <v>13</v>
      </c>
      <c r="S14" s="2924"/>
      <c r="T14" s="2935" t="e">
        <f t="shared" si="0"/>
        <v>#DIV/0!</v>
      </c>
      <c r="U14" s="2924"/>
      <c r="V14" s="2935" t="e">
        <f t="shared" si="1"/>
        <v>#DIV/0!</v>
      </c>
      <c r="W14" s="2187"/>
      <c r="X14" s="2187"/>
      <c r="Y14" s="2187"/>
      <c r="Z14" s="2187"/>
      <c r="AA14" s="2187"/>
      <c r="AB14" s="2187"/>
      <c r="AC14" s="2188"/>
    </row>
    <row r="15" spans="1:39" ht="13.5" customHeight="1" thickBot="1">
      <c r="A15" s="3448"/>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7"/>
      <c r="R15" s="2935">
        <v>14</v>
      </c>
      <c r="S15" s="2924"/>
      <c r="T15" s="2935" t="e">
        <f t="shared" si="0"/>
        <v>#DIV/0!</v>
      </c>
      <c r="U15" s="2924"/>
      <c r="V15" s="2935" t="e">
        <f t="shared" si="1"/>
        <v>#DIV/0!</v>
      </c>
      <c r="W15" s="2187"/>
      <c r="X15" s="2187"/>
      <c r="Y15" s="2187"/>
      <c r="Z15" s="2187"/>
      <c r="AA15" s="2187"/>
      <c r="AB15" s="2187"/>
      <c r="AC15" s="2188"/>
    </row>
    <row r="16" spans="1:39" ht="24">
      <c r="A16" s="3445"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0"/>
      <c r="R16" s="2935">
        <v>15</v>
      </c>
      <c r="S16" s="2924"/>
      <c r="T16" s="2935" t="e">
        <f t="shared" si="0"/>
        <v>#DIV/0!</v>
      </c>
      <c r="U16" s="2924"/>
      <c r="V16" s="2935" t="e">
        <f t="shared" si="1"/>
        <v>#DIV/0!</v>
      </c>
      <c r="W16" s="2190"/>
      <c r="X16" s="2190"/>
      <c r="Y16" s="2190"/>
      <c r="Z16" s="2190"/>
      <c r="AA16" s="2190"/>
      <c r="AB16" s="2190"/>
      <c r="AC16" s="2191"/>
    </row>
    <row r="17" spans="1:40" ht="13.5" thickBot="1">
      <c r="A17" s="3446"/>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1830</v>
      </c>
      <c r="B18" s="2770" t="s">
        <v>956</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ROUND(IF(H19="按公示增长率计算",SUMPRODUCT((地价!A3:A23=YEAR(G19)&amp;"-"&amp;ROUNDUP(MONTH(G19)/3,0))*(地价!X2:AB2=E2)*(地价!X3:AB23)),IF(H19="地价指数",M20/M19,(1+I19)^O19)),4)</f>
        <v>#DIV/0!</v>
      </c>
      <c r="D19" s="1473" t="s">
        <v>958</v>
      </c>
      <c r="E19" s="1056">
        <v>41640</v>
      </c>
      <c r="F19" s="1473" t="s">
        <v>959</v>
      </c>
      <c r="G19" s="1057">
        <f>'数据-取费表'!B2</f>
        <v>43361</v>
      </c>
      <c r="H19" s="1474" t="s">
        <v>2921</v>
      </c>
      <c r="I19" s="2782" t="str">
        <f>IF(H19="季度增幅（自定义）",SUMIF(N21:N24,E2,O21:O24),"")</f>
        <v/>
      </c>
      <c r="J19" s="1470"/>
      <c r="K19" s="1480"/>
      <c r="L19" s="3036" t="s">
        <v>2840</v>
      </c>
      <c r="M19" s="3037">
        <f>ROUND(SUMIF(地价!B2:F2,E2,地价!B23:F23),0)</f>
        <v>0</v>
      </c>
      <c r="N19" s="2784" t="s">
        <v>1677</v>
      </c>
      <c r="O19" s="2783">
        <f>ROUNDDOWN(DATEDIF(E19,G19,"M")/3,0)</f>
        <v>18</v>
      </c>
      <c r="P19" s="1595"/>
      <c r="R19" s="2923"/>
      <c r="S19" s="2923"/>
      <c r="T19" s="2923"/>
      <c r="U19" s="2923"/>
      <c r="V19" s="2923"/>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1837</v>
      </c>
      <c r="B20" s="2777" t="s">
        <v>972</v>
      </c>
      <c r="C20" s="2778" t="e">
        <f>ROUND(POWER(1+G20,J20-I20)*(POWER(1+G20,I20)-1)/(POWER(1+G20,J20)-1),4)</f>
        <v>#DIV/0!</v>
      </c>
      <c r="D20" s="2779" t="s">
        <v>973</v>
      </c>
      <c r="E20" s="3090">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80"/>
      <c r="L20" s="3038" t="s">
        <v>2841</v>
      </c>
      <c r="M20" s="3039">
        <f>ROUND(SUMPRODUCT((地价!A4:A23=YEAR(G19)&amp;"-"&amp;ROUNDUP(MONTH(G19)/3,0))*(地价!B2:F2=E2)*(地价!B4:F23)),0)</f>
        <v>0</v>
      </c>
      <c r="N20" s="2787" t="s">
        <v>2644</v>
      </c>
      <c r="O20" s="2785" t="s">
        <v>2643</v>
      </c>
      <c r="P20" s="2786" t="s">
        <v>2649</v>
      </c>
      <c r="R20" s="2923"/>
      <c r="S20" s="2923"/>
      <c r="T20" s="2923"/>
      <c r="U20" s="2923"/>
      <c r="V20" s="2923"/>
      <c r="W20" s="2193"/>
      <c r="X20" s="2193"/>
      <c r="Y20" s="2193"/>
      <c r="Z20" s="2193"/>
      <c r="AA20" s="2193"/>
      <c r="AB20" s="2193"/>
      <c r="AC20" s="2193"/>
      <c r="AD20" s="1471"/>
      <c r="AE20" s="1471"/>
      <c r="AF20" s="1471"/>
      <c r="AG20" s="1471"/>
      <c r="AH20" s="1471"/>
      <c r="AI20" s="1471"/>
    </row>
    <row r="21" spans="1:40" s="1420" customFormat="1" ht="14.25">
      <c r="A21" s="1641" t="s">
        <v>1838</v>
      </c>
      <c r="B21" s="1479" t="s">
        <v>2760</v>
      </c>
      <c r="C21" s="1156">
        <f>IF(B21="容积率修正",IF(G3&lt;=10,D22,J22),C23)</f>
        <v>0</v>
      </c>
      <c r="D21" s="1480"/>
      <c r="E21" s="1480"/>
      <c r="F21" s="1480"/>
      <c r="G21" s="1480"/>
      <c r="H21" s="1480"/>
      <c r="I21" s="1480"/>
      <c r="J21" s="1481"/>
      <c r="K21" s="1480"/>
      <c r="L21" s="1480"/>
      <c r="M21" s="1480"/>
      <c r="N21" s="1477" t="s">
        <v>976</v>
      </c>
      <c r="O21" s="1541"/>
      <c r="P21" s="2767">
        <f>SUMPRODUCT((地价!A3:A23=YEAR(G19)&amp;"-"&amp;ROUNDUP(MONTH(G19)/3,0))*(地价!AD2:AH2=N21)*(地价!AD3:AH23))</f>
        <v>1.54E-2</v>
      </c>
      <c r="R21" s="2923"/>
      <c r="S21" s="2923"/>
      <c r="T21" s="2923"/>
      <c r="U21" s="2923"/>
      <c r="V21" s="2923"/>
      <c r="W21" s="2193"/>
      <c r="X21" s="2193"/>
      <c r="Y21" s="2193"/>
      <c r="Z21" s="2193"/>
      <c r="AA21" s="2193"/>
      <c r="AB21" s="2193"/>
      <c r="AC21" s="2193"/>
      <c r="AD21" s="1402"/>
      <c r="AE21" s="1402"/>
      <c r="AF21" s="1402"/>
      <c r="AG21" s="1402"/>
      <c r="AH21" s="1471"/>
      <c r="AI21" s="1471"/>
    </row>
    <row r="22" spans="1:40" s="1420" customFormat="1" ht="14.25">
      <c r="A22" s="1642" t="s">
        <v>1871</v>
      </c>
      <c r="B22" s="1482" t="s">
        <v>977</v>
      </c>
      <c r="C22" s="1058" t="s">
        <v>1703</v>
      </c>
      <c r="D22" s="1058">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1.9000000000000001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67">
        <f>SUMPRODUCT((地价!A3:A23=YEAR(G19)&amp;"-"&amp;ROUNDUP(MONTH(G19)/3,0))*(地价!AD2:AH2=N22)*(地价!AD3:AH23))</f>
        <v>1.54E-2</v>
      </c>
      <c r="R22" s="2923"/>
      <c r="S22" s="2923"/>
      <c r="T22" s="2923"/>
      <c r="U22" s="2923"/>
      <c r="V22" s="2923"/>
      <c r="W22" s="2193"/>
      <c r="X22" s="2193"/>
      <c r="Y22" s="2193"/>
      <c r="Z22" s="2193"/>
      <c r="AA22" s="2193"/>
      <c r="AB22" s="2193"/>
      <c r="AC22" s="2193"/>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7">
        <f>SUMPRODUCT((地价!A3:A23=YEAR(G19)&amp;"-"&amp;ROUNDUP(MONTH(G19)/3,0))*(地价!AD2:AH2=N23)*(地价!AD3:AH23))</f>
        <v>2.4500000000000001E-2</v>
      </c>
      <c r="R23" s="2923"/>
      <c r="S23" s="2923"/>
      <c r="T23" s="2923"/>
      <c r="U23" s="2923"/>
      <c r="V23" s="2923"/>
      <c r="W23" s="2193"/>
      <c r="X23" s="2193"/>
      <c r="Y23" s="2193"/>
      <c r="Z23" s="2193"/>
      <c r="AA23" s="2193"/>
      <c r="AB23" s="2193"/>
      <c r="AC23" s="2193"/>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3"/>
      <c r="S24" s="2923"/>
      <c r="T24" s="2923"/>
      <c r="U24" s="2923"/>
      <c r="V24" s="2923"/>
      <c r="W24" s="2193"/>
      <c r="X24" s="2193"/>
      <c r="Y24" s="2193"/>
      <c r="Z24" s="2193"/>
      <c r="AA24" s="2193"/>
      <c r="AB24" s="2193"/>
      <c r="AC24" s="2193"/>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3"/>
      <c r="M25" s="2193"/>
      <c r="N25" s="2795" t="s">
        <v>2647</v>
      </c>
      <c r="O25" s="2193"/>
      <c r="P25" s="1540">
        <f>SUMPRODUCT((地价!A3:A23=YEAR(G19)&amp;"-"&amp;ROUNDUP(MONTH(G19)/3,0))*(地价!AD2:AH2=N25)*(地价!AD3:AH23))</f>
        <v>2.23E-2</v>
      </c>
      <c r="R25" s="2923"/>
      <c r="S25" s="2923"/>
      <c r="T25" s="2923"/>
      <c r="U25" s="2923"/>
      <c r="V25" s="2923"/>
      <c r="W25" s="2193"/>
      <c r="X25" s="2193"/>
      <c r="Y25" s="2193"/>
      <c r="Z25" s="2193"/>
      <c r="AA25" s="2193"/>
      <c r="AB25" s="2193"/>
      <c r="AC25" s="2193"/>
    </row>
    <row r="26" spans="1:40" ht="14.25">
      <c r="A26" s="1488"/>
      <c r="B26" s="1482" t="s">
        <v>987</v>
      </c>
      <c r="C26" s="1061" t="e">
        <f>E29+SUM(E33:E39)</f>
        <v>#DIV/0!</v>
      </c>
      <c r="D26" s="1489"/>
      <c r="E26" s="1455"/>
      <c r="F26" s="1490"/>
      <c r="G26" s="1455"/>
      <c r="H26" s="1455"/>
      <c r="I26" s="1455"/>
      <c r="J26" s="1491"/>
      <c r="K26" s="1400"/>
      <c r="L26" s="2193"/>
      <c r="M26" s="2193"/>
      <c r="N26" s="2193"/>
      <c r="O26" s="2193"/>
      <c r="P26" s="2193"/>
      <c r="Q26" s="2193"/>
      <c r="R26" s="2923"/>
      <c r="S26" s="2923"/>
      <c r="T26" s="2923"/>
      <c r="U26" s="2923"/>
      <c r="V26" s="2923"/>
      <c r="W26" s="2193"/>
      <c r="X26" s="2193"/>
      <c r="Y26" s="2193"/>
      <c r="Z26" s="2193"/>
      <c r="AA26" s="2193"/>
      <c r="AB26" s="2193"/>
      <c r="AC26" s="2193"/>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3"/>
      <c r="M27" s="2193"/>
      <c r="N27" s="2193"/>
      <c r="O27" s="2193"/>
      <c r="P27" s="2193"/>
      <c r="Q27" s="2193"/>
      <c r="R27" s="2923"/>
      <c r="S27" s="2923"/>
      <c r="T27" s="2923"/>
      <c r="U27" s="2923"/>
      <c r="V27" s="2923"/>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23"/>
      <c r="S28" s="2923"/>
      <c r="T28" s="2923"/>
      <c r="U28" s="2923"/>
      <c r="V28" s="2923"/>
      <c r="W28" s="2193"/>
      <c r="X28" s="2193"/>
      <c r="Y28" s="2193"/>
      <c r="Z28" s="2193"/>
      <c r="AA28" s="2193"/>
      <c r="AB28" s="2193"/>
      <c r="AC28" s="2193"/>
      <c r="AD28" s="1471"/>
      <c r="AE28" s="1471"/>
      <c r="AF28" s="1471"/>
      <c r="AG28" s="1471"/>
    </row>
    <row r="29" spans="1:40" ht="24">
      <c r="A29" s="1501"/>
      <c r="B29" s="1502" t="s">
        <v>994</v>
      </c>
      <c r="C29" s="1061" t="e">
        <f>ROUND(C5*C18*C19*C20*C21*C24,0)</f>
        <v>#DIV/0!</v>
      </c>
      <c r="D29" s="1503"/>
      <c r="E29" s="1847" t="e">
        <f>ROUND(C29*D29/10000,0)</f>
        <v>#DIV/0!</v>
      </c>
      <c r="F29" s="1504" t="s">
        <v>1702</v>
      </c>
      <c r="G29" s="1505"/>
      <c r="H29" s="1505"/>
      <c r="I29" s="1505"/>
      <c r="J29" s="1506"/>
      <c r="K29" s="1400"/>
      <c r="L29" s="2193"/>
      <c r="M29" s="2193"/>
      <c r="N29" s="2193"/>
      <c r="O29" s="2193"/>
      <c r="P29" s="2193"/>
      <c r="Q29" s="2193"/>
      <c r="R29" s="2923"/>
      <c r="S29" s="2923"/>
      <c r="T29" s="2923"/>
      <c r="U29" s="2923"/>
      <c r="V29" s="2923"/>
      <c r="W29" s="2193"/>
      <c r="X29" s="2193"/>
      <c r="Y29" s="2193"/>
      <c r="Z29" s="2193"/>
      <c r="AA29" s="2193"/>
      <c r="AB29" s="2193"/>
      <c r="AC29" s="2193"/>
      <c r="AH29" s="1401"/>
      <c r="AI29" s="1401"/>
      <c r="AJ29" s="1404"/>
      <c r="AK29" s="1404"/>
      <c r="AL29" s="1404"/>
      <c r="AM29" s="1404"/>
    </row>
    <row r="30" spans="1:40" ht="24.75" thickBot="1">
      <c r="A30" s="1507"/>
      <c r="B30" s="1508" t="s">
        <v>995</v>
      </c>
      <c r="C30" s="1049"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51" t="s">
        <v>2947</v>
      </c>
      <c r="B33" s="1523" t="s">
        <v>1000</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52"/>
      <c r="B34" s="1444" t="s">
        <v>1001</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52"/>
      <c r="B35" s="1444" t="s">
        <v>1002</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3"/>
      <c r="B36" s="1444" t="s">
        <v>1003</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1704</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1706</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1705</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1007</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1008</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1009</v>
      </c>
      <c r="B46" s="2406" t="s">
        <v>1010</v>
      </c>
      <c r="C46" s="2428" t="s">
        <v>1011</v>
      </c>
      <c r="D46" s="2429" t="s">
        <v>1012</v>
      </c>
      <c r="E46" s="2430" t="s">
        <v>1014</v>
      </c>
      <c r="F46" s="2431" t="s">
        <v>2251</v>
      </c>
      <c r="G46" s="2429" t="s">
        <v>1015</v>
      </c>
      <c r="H46" s="2412" t="s">
        <v>2417</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5" t="s">
        <v>1021</v>
      </c>
      <c r="B47" s="2409">
        <f>估价对象房地状况!C16</f>
        <v>0</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5" t="s">
        <v>1022</v>
      </c>
      <c r="B48" s="2406" t="str">
        <f>估价对象房地状况!C18</f>
        <v>一般</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1023</v>
      </c>
      <c r="B49" s="2406" t="str">
        <f>估价对象房地状况!C19</f>
        <v>较好</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1024</v>
      </c>
      <c r="B50" s="3092" t="s">
        <v>2923</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1025</v>
      </c>
      <c r="B51" s="2406">
        <f>估价对象房地状况!C24</f>
        <v>0</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1026</v>
      </c>
      <c r="B52" s="3091" t="s">
        <v>2922</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1027</v>
      </c>
      <c r="B53" s="2407" t="str">
        <f>估价对象房地状况!C21</f>
        <v>一般</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1028</v>
      </c>
      <c r="B54" s="2406" t="str">
        <f>估价对象房地状况!C22</f>
        <v>六通</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1029</v>
      </c>
      <c r="B55" s="2410" t="str">
        <f>估价对象房地状况!C20</f>
        <v>一般</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1030</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1009</v>
      </c>
      <c r="B57" s="2406"/>
      <c r="C57" s="2428" t="s">
        <v>1011</v>
      </c>
      <c r="D57" s="2429" t="s">
        <v>1012</v>
      </c>
      <c r="E57" s="2430" t="s">
        <v>1014</v>
      </c>
      <c r="F57" s="2431" t="s">
        <v>2252</v>
      </c>
      <c r="G57" s="2429" t="s">
        <v>1015</v>
      </c>
      <c r="H57" s="2412" t="s">
        <v>2417</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5" t="s">
        <v>1031</v>
      </c>
      <c r="B58" s="2409">
        <f>估价对象房地状况!C17</f>
        <v>0</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5" t="s">
        <v>1022</v>
      </c>
      <c r="B59" s="2406" t="str">
        <f>估价对象房地状况!C18</f>
        <v>一般</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1023</v>
      </c>
      <c r="B60" s="2406" t="str">
        <f>估价对象房地状况!C19</f>
        <v>较好</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1024</v>
      </c>
      <c r="B61" s="3092" t="s">
        <v>2924</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1025</v>
      </c>
      <c r="B62" s="2406">
        <f>估价对象房地状况!C24</f>
        <v>0</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1026</v>
      </c>
      <c r="B63" s="3091" t="s">
        <v>2922</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1027</v>
      </c>
      <c r="B64" s="2407" t="str">
        <f>估价对象房地状况!C21</f>
        <v>一般</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1028</v>
      </c>
      <c r="B65" s="2407" t="str">
        <f>估价对象房地状况!C22</f>
        <v>六通</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1029</v>
      </c>
      <c r="B66" s="2411" t="str">
        <f>估价对象房地状况!C20</f>
        <v>一般</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1032</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1009</v>
      </c>
      <c r="B68" s="2406"/>
      <c r="C68" s="2428" t="s">
        <v>1011</v>
      </c>
      <c r="D68" s="2429" t="s">
        <v>1012</v>
      </c>
      <c r="E68" s="2430" t="s">
        <v>1014</v>
      </c>
      <c r="F68" s="2431" t="s">
        <v>2253</v>
      </c>
      <c r="G68" s="2429" t="s">
        <v>1015</v>
      </c>
      <c r="H68" s="2412" t="s">
        <v>2417</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5" t="s">
        <v>1033</v>
      </c>
      <c r="B69" s="2409" t="str">
        <f>估价对象房地状况!C15</f>
        <v>一般</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5" t="s">
        <v>1034</v>
      </c>
      <c r="B70" s="2406" t="str">
        <f>估价对象房地状况!C18</f>
        <v>一般</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1023</v>
      </c>
      <c r="B71" s="2406" t="str">
        <f>估价对象房地状况!C19</f>
        <v>较好</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1035</v>
      </c>
      <c r="B72" s="2406">
        <f>估价对象房地状况!C24</f>
        <v>0</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1027</v>
      </c>
      <c r="B73" s="2407" t="str">
        <f>估价对象房地状况!C21</f>
        <v>一般</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1028</v>
      </c>
      <c r="B74" s="2407" t="str">
        <f>估价对象房地状况!C22</f>
        <v>六通</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1026</v>
      </c>
      <c r="B75" s="3091" t="s">
        <v>2922</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5" t="s">
        <v>1029</v>
      </c>
      <c r="B76" s="2409" t="str">
        <f>估价对象房地状况!C20</f>
        <v>一般</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1036</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4"/>
      <c r="AD77" s="1403"/>
      <c r="AJ77" s="1402"/>
      <c r="AN77" s="1403"/>
    </row>
    <row r="78" spans="1:40" ht="15">
      <c r="A78" s="2422" t="s">
        <v>1037</v>
      </c>
      <c r="B78" s="2423">
        <f>1+E80</f>
        <v>1</v>
      </c>
      <c r="C78" s="2442"/>
      <c r="D78" s="2425"/>
      <c r="E78" s="2426"/>
      <c r="F78" s="2427"/>
      <c r="G78" s="2421"/>
      <c r="H78" s="2421"/>
      <c r="I78" s="2421"/>
      <c r="J78" s="1064"/>
      <c r="K78" s="1064"/>
      <c r="L78" s="1064"/>
      <c r="M78" s="1064"/>
      <c r="N78" s="1064"/>
      <c r="AC78" s="1404"/>
      <c r="AD78" s="1403"/>
      <c r="AJ78" s="1402"/>
      <c r="AN78" s="1403"/>
    </row>
    <row r="79" spans="1:40" ht="24">
      <c r="A79" s="1065" t="s">
        <v>1009</v>
      </c>
      <c r="B79" s="2406"/>
      <c r="C79" s="2428" t="s">
        <v>1011</v>
      </c>
      <c r="D79" s="2429" t="s">
        <v>1012</v>
      </c>
      <c r="E79" s="2430" t="s">
        <v>1014</v>
      </c>
      <c r="F79" s="2431" t="s">
        <v>2254</v>
      </c>
      <c r="G79" s="2429" t="s">
        <v>1015</v>
      </c>
      <c r="H79" s="2412" t="s">
        <v>2417</v>
      </c>
      <c r="I79" s="2429" t="s">
        <v>1013</v>
      </c>
      <c r="J79" s="2432" t="s">
        <v>1016</v>
      </c>
      <c r="K79" s="2432" t="s">
        <v>1017</v>
      </c>
      <c r="L79" s="2432" t="s">
        <v>1018</v>
      </c>
      <c r="M79" s="2432" t="s">
        <v>1019</v>
      </c>
      <c r="N79" s="2432" t="s">
        <v>1020</v>
      </c>
      <c r="AC79" s="1404"/>
      <c r="AD79" s="1403"/>
      <c r="AJ79" s="1402"/>
      <c r="AN79" s="1403"/>
    </row>
    <row r="80" spans="1:40" ht="36">
      <c r="A80" s="1065" t="s">
        <v>1038</v>
      </c>
      <c r="B80" s="2406" t="str">
        <f>估价对象房地状况!G15</f>
        <v>估价对象位于XX开发区，园区建设成熟度XX，产业集聚程度XX</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4"/>
      <c r="AD80" s="1403"/>
      <c r="AJ80" s="1402"/>
      <c r="AN80" s="1403"/>
    </row>
    <row r="81" spans="1:40" ht="48">
      <c r="A81" s="1065" t="s">
        <v>1034</v>
      </c>
      <c r="B81" s="2406" t="str">
        <f>估价对象房地状况!G16</f>
        <v>估价对象周边道路状况、公共交通通达情况、停车便捷程度，综合评价交通便捷度较好</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4"/>
      <c r="AD81" s="1403"/>
      <c r="AJ81" s="1402"/>
      <c r="AN81" s="1403"/>
    </row>
    <row r="82" spans="1:40" ht="24">
      <c r="A82" s="1065" t="s">
        <v>1023</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4"/>
      <c r="AD82" s="1403"/>
      <c r="AJ82" s="1402"/>
      <c r="AN82" s="1403"/>
    </row>
    <row r="83" spans="1:40" ht="14.25">
      <c r="A83" s="1065" t="s">
        <v>1035</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4"/>
      <c r="AD83" s="1403"/>
      <c r="AJ83" s="1402"/>
      <c r="AN83" s="1403"/>
    </row>
    <row r="84" spans="1:40" ht="24">
      <c r="A84" s="1065" t="s">
        <v>1027</v>
      </c>
      <c r="B84" s="2407" t="str">
        <f>估价对象房地状况!G19</f>
        <v>估价对象所在区域公共配套设施齐备情况</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4"/>
      <c r="AD84" s="1403"/>
      <c r="AJ84" s="1402"/>
      <c r="AN84" s="1403"/>
    </row>
    <row r="85" spans="1:40" ht="24">
      <c r="A85" s="1065" t="s">
        <v>1028</v>
      </c>
      <c r="B85" s="2407" t="str">
        <f>估价对象房地状况!G20</f>
        <v>估价对象所在区域基础设施水平</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4"/>
      <c r="AD85" s="1403"/>
      <c r="AJ85" s="1402"/>
      <c r="AN85" s="1403"/>
    </row>
    <row r="86" spans="1:40" ht="24">
      <c r="A86" s="1065" t="s">
        <v>1026</v>
      </c>
      <c r="B86" s="3091" t="s">
        <v>2922</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4"/>
      <c r="AD86" s="1403"/>
      <c r="AJ86" s="1402"/>
      <c r="AN86" s="1403"/>
    </row>
    <row r="87" spans="1:40" ht="36.75" thickBot="1">
      <c r="A87" s="2439" t="s">
        <v>1039</v>
      </c>
      <c r="B87" s="2408" t="str">
        <f>估价对象房地状况!G18</f>
        <v>该园区内是否有污染型企业，绿化情况，卫生条件，整体环境状况判断</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4"/>
      <c r="AD87" s="1403"/>
      <c r="AJ87" s="1402"/>
      <c r="AN87" s="1403"/>
    </row>
    <row r="90" spans="1:40">
      <c r="A90" s="3449" t="s">
        <v>1634</v>
      </c>
      <c r="B90" s="3449"/>
      <c r="C90" s="3449"/>
      <c r="D90" s="3449"/>
      <c r="E90" s="3449"/>
      <c r="F90" s="3449"/>
      <c r="G90" s="3449"/>
      <c r="H90" s="3449"/>
      <c r="I90" s="3449"/>
      <c r="J90" s="3449"/>
      <c r="K90" s="2448"/>
      <c r="L90" s="2448"/>
      <c r="M90" s="2448"/>
      <c r="N90" s="2448"/>
    </row>
    <row r="91" spans="1:40">
      <c r="A91" s="3450" t="s">
        <v>1444</v>
      </c>
      <c r="B91" s="3450" t="s">
        <v>1635</v>
      </c>
      <c r="C91" s="1138" t="s">
        <v>1636</v>
      </c>
      <c r="D91" s="1139"/>
      <c r="E91" s="1139"/>
      <c r="F91" s="1139"/>
      <c r="G91" s="1139"/>
      <c r="H91" s="1139"/>
      <c r="I91" s="1139"/>
      <c r="J91" s="1140"/>
      <c r="K91" s="1132"/>
      <c r="L91" s="1132"/>
      <c r="M91" s="1132"/>
      <c r="N91" s="1132"/>
    </row>
    <row r="92" spans="1:40">
      <c r="A92" s="3450"/>
      <c r="B92" s="3450"/>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39"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0"/>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9" t="s">
        <v>1638</v>
      </c>
      <c r="B101" s="1145" t="s">
        <v>906</v>
      </c>
      <c r="C101" s="1146">
        <f>$G$3</f>
        <v>1.88</v>
      </c>
      <c r="D101" s="1146">
        <f t="shared" ref="D101:N101" si="31">$G$3</f>
        <v>1.88</v>
      </c>
      <c r="E101" s="1146">
        <f t="shared" si="31"/>
        <v>1.88</v>
      </c>
      <c r="F101" s="1146">
        <f t="shared" si="31"/>
        <v>1.88</v>
      </c>
      <c r="G101" s="1146">
        <f t="shared" si="31"/>
        <v>1.88</v>
      </c>
      <c r="H101" s="1146">
        <f t="shared" si="31"/>
        <v>1.88</v>
      </c>
      <c r="I101" s="1146">
        <f t="shared" si="31"/>
        <v>1.88</v>
      </c>
      <c r="J101" s="1146">
        <f t="shared" si="31"/>
        <v>1.88</v>
      </c>
      <c r="K101" s="1146">
        <f t="shared" si="31"/>
        <v>1.88</v>
      </c>
      <c r="L101" s="1146">
        <f t="shared" si="31"/>
        <v>1.88</v>
      </c>
      <c r="M101" s="1146">
        <f t="shared" si="31"/>
        <v>1.88</v>
      </c>
      <c r="N101" s="1146">
        <f t="shared" si="31"/>
        <v>1.88</v>
      </c>
    </row>
    <row r="102" spans="1:14">
      <c r="A102" s="3440"/>
      <c r="B102" s="1141">
        <v>1</v>
      </c>
      <c r="C102" s="1142">
        <f>1.9362/C101</f>
        <v>1.0298936170212767</v>
      </c>
      <c r="D102" s="1142">
        <f>1.9362/D101</f>
        <v>1.0298936170212767</v>
      </c>
      <c r="E102" s="1142">
        <f>1.8629/E101</f>
        <v>0.99090425531914894</v>
      </c>
      <c r="F102" s="1142">
        <f>1.8629/F101</f>
        <v>0.99090425531914894</v>
      </c>
      <c r="G102" s="1142">
        <f>1.8629/G101</f>
        <v>0.99090425531914894</v>
      </c>
      <c r="H102" s="1142">
        <f>1.8629/H101</f>
        <v>0.99090425531914894</v>
      </c>
      <c r="I102" s="1142">
        <f>1.8629/I101</f>
        <v>0.99090425531914894</v>
      </c>
      <c r="J102" s="1142">
        <f>1.942/J101</f>
        <v>1.0329787234042553</v>
      </c>
      <c r="K102" s="1142">
        <f>1.942/K101</f>
        <v>1.0329787234042553</v>
      </c>
      <c r="L102" s="1142">
        <f>1.942/L101</f>
        <v>1.0329787234042553</v>
      </c>
      <c r="M102" s="1142">
        <f>1.942/M101</f>
        <v>1.0329787234042553</v>
      </c>
      <c r="N102" s="1142">
        <f>1.942/N101</f>
        <v>1.0329787234042553</v>
      </c>
    </row>
    <row r="103" spans="1:14">
      <c r="A103" s="3440"/>
      <c r="B103" s="1141">
        <v>2</v>
      </c>
      <c r="C103" s="1142">
        <f>1.4198/C101</f>
        <v>0.7552127659574468</v>
      </c>
      <c r="D103" s="1142">
        <f>1.4198/D101</f>
        <v>0.7552127659574468</v>
      </c>
      <c r="E103" s="1142">
        <f>1.3372/E101</f>
        <v>0.71127659574468083</v>
      </c>
      <c r="F103" s="1142">
        <f>1.3372/F101</f>
        <v>0.71127659574468083</v>
      </c>
      <c r="G103" s="1142">
        <f>1.3372/G101</f>
        <v>0.71127659574468083</v>
      </c>
      <c r="H103" s="1142">
        <f>1.3372/H101</f>
        <v>0.71127659574468083</v>
      </c>
      <c r="I103" s="1142">
        <f>1.3372/I101</f>
        <v>0.71127659574468083</v>
      </c>
      <c r="J103" s="1142">
        <f>1.2799/J101</f>
        <v>0.68079787234042555</v>
      </c>
      <c r="K103" s="1142">
        <f>1.2799/K101</f>
        <v>0.68079787234042555</v>
      </c>
      <c r="L103" s="1142">
        <f>1.2799/L101</f>
        <v>0.68079787234042555</v>
      </c>
      <c r="M103" s="1142">
        <f>1.2799/M101</f>
        <v>0.68079787234042555</v>
      </c>
      <c r="N103" s="1142">
        <f>1.2799/N101</f>
        <v>0.68079787234042555</v>
      </c>
    </row>
    <row r="104" spans="1:14">
      <c r="A104" s="3440"/>
      <c r="B104" s="1141">
        <v>3</v>
      </c>
      <c r="C104" s="1142">
        <f>1.1594/C101</f>
        <v>0.61670212765957455</v>
      </c>
      <c r="D104" s="1142">
        <f>1.1594/D101</f>
        <v>0.61670212765957455</v>
      </c>
      <c r="E104" s="1142">
        <f>1.0788/E101</f>
        <v>0.57382978723404254</v>
      </c>
      <c r="F104" s="1142">
        <f>1.0788/F101</f>
        <v>0.57382978723404254</v>
      </c>
      <c r="G104" s="1142">
        <f>1.0788/G101</f>
        <v>0.57382978723404254</v>
      </c>
      <c r="H104" s="1142">
        <f>1.0788/H101</f>
        <v>0.57382978723404254</v>
      </c>
      <c r="I104" s="1142">
        <f>1.0788/I101</f>
        <v>0.57382978723404254</v>
      </c>
      <c r="J104" s="1142">
        <f>1.0072/J101</f>
        <v>0.53574468085106386</v>
      </c>
      <c r="K104" s="1142">
        <f>1.0072/K101</f>
        <v>0.53574468085106386</v>
      </c>
      <c r="L104" s="1142">
        <f>1.0072/L101</f>
        <v>0.53574468085106386</v>
      </c>
      <c r="M104" s="1142">
        <f>1.0072/M101</f>
        <v>0.53574468085106386</v>
      </c>
      <c r="N104" s="1142">
        <f>1.0072/N101</f>
        <v>0.53574468085106386</v>
      </c>
    </row>
    <row r="105" spans="1:14">
      <c r="A105" s="3440"/>
      <c r="B105" s="1141">
        <v>4</v>
      </c>
      <c r="C105" s="1142">
        <f>0.9622/C101</f>
        <v>0.51180851063829791</v>
      </c>
      <c r="D105" s="1142">
        <f>0.9622/D101</f>
        <v>0.51180851063829791</v>
      </c>
      <c r="E105" s="1142">
        <f>0.8656/E101</f>
        <v>0.46042553191489366</v>
      </c>
      <c r="F105" s="1142">
        <f>0.8656/F101</f>
        <v>0.46042553191489366</v>
      </c>
      <c r="G105" s="1142">
        <f>0.8656/G101</f>
        <v>0.46042553191489366</v>
      </c>
      <c r="H105" s="1142">
        <f>0.8656/H101</f>
        <v>0.46042553191489366</v>
      </c>
      <c r="I105" s="1142">
        <f>0.8656/I101</f>
        <v>0.46042553191489366</v>
      </c>
      <c r="J105" s="1142">
        <f>0.7525/J101</f>
        <v>0.40026595744680848</v>
      </c>
      <c r="K105" s="1142">
        <f>0.7525/K101</f>
        <v>0.40026595744680848</v>
      </c>
      <c r="L105" s="1142">
        <f>0.7525/L101</f>
        <v>0.40026595744680848</v>
      </c>
      <c r="M105" s="1142">
        <f>0.7525/M101</f>
        <v>0.40026595744680848</v>
      </c>
      <c r="N105" s="1142">
        <f>0.7525/N101</f>
        <v>0.40026595744680848</v>
      </c>
    </row>
    <row r="106" spans="1:14">
      <c r="A106" s="3440"/>
      <c r="B106" s="1141">
        <v>5</v>
      </c>
      <c r="C106" s="1142">
        <f>0.8417/C101</f>
        <v>0.44771276595744686</v>
      </c>
      <c r="D106" s="1142">
        <f>0.8417/D101</f>
        <v>0.44771276595744686</v>
      </c>
      <c r="E106" s="1142">
        <f>0.7371/E101</f>
        <v>0.39207446808510638</v>
      </c>
      <c r="F106" s="1142">
        <f>0.7371/F101</f>
        <v>0.39207446808510638</v>
      </c>
      <c r="G106" s="1142">
        <f>0.7371/G101</f>
        <v>0.39207446808510638</v>
      </c>
      <c r="H106" s="1142">
        <f>0.7371/H101</f>
        <v>0.39207446808510638</v>
      </c>
      <c r="I106" s="1142">
        <f>0.7371/I101</f>
        <v>0.39207446808510638</v>
      </c>
      <c r="J106" s="1142">
        <f>0.5659/J101</f>
        <v>0.30101063829787233</v>
      </c>
      <c r="K106" s="1142">
        <f>0.5659/K101</f>
        <v>0.30101063829787233</v>
      </c>
      <c r="L106" s="1142">
        <f>0.5659/L101</f>
        <v>0.30101063829787233</v>
      </c>
      <c r="M106" s="1142">
        <f>0.5659/M101</f>
        <v>0.30101063829787233</v>
      </c>
      <c r="N106" s="1142">
        <f>0.5659/N101</f>
        <v>0.30101063829787233</v>
      </c>
    </row>
    <row r="107" spans="1:14">
      <c r="A107" s="3440"/>
      <c r="B107" s="1141">
        <v>6</v>
      </c>
      <c r="C107" s="1142">
        <f>0.7608/C101</f>
        <v>0.40468085106382984</v>
      </c>
      <c r="D107" s="1142">
        <f>0.7608/D101</f>
        <v>0.40468085106382984</v>
      </c>
      <c r="E107" s="1142">
        <f>0.6482/E101</f>
        <v>0.34478723404255324</v>
      </c>
      <c r="F107" s="1142">
        <f>0.6482/F101</f>
        <v>0.34478723404255324</v>
      </c>
      <c r="G107" s="1142">
        <f>0.6482/G101</f>
        <v>0.34478723404255324</v>
      </c>
      <c r="H107" s="1142">
        <f>0.6482/H101</f>
        <v>0.34478723404255324</v>
      </c>
      <c r="I107" s="1142">
        <f>0.6482/I101</f>
        <v>0.34478723404255324</v>
      </c>
      <c r="J107" s="1142">
        <f>0.4525/J101</f>
        <v>0.24069148936170215</v>
      </c>
      <c r="K107" s="1142">
        <f>0.4525/K101</f>
        <v>0.24069148936170215</v>
      </c>
      <c r="L107" s="1142">
        <f>0.4525/L101</f>
        <v>0.24069148936170215</v>
      </c>
      <c r="M107" s="1142">
        <f>0.4525/M101</f>
        <v>0.24069148936170215</v>
      </c>
      <c r="N107" s="1142">
        <f>0.4525/N101</f>
        <v>0.24069148936170215</v>
      </c>
    </row>
    <row r="108" spans="1:14">
      <c r="A108" s="3440"/>
      <c r="B108" s="3442"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1"/>
      <c r="B109" s="3443"/>
      <c r="C109" s="1144">
        <f>(-0.163*(C108^2)-0.59*C108+7617)*(10^(-4))/C101</f>
        <v>0.40435361702127659</v>
      </c>
      <c r="D109" s="1144">
        <f>(-0.163*(D108^2)-0.59*D108+7617)*(10^(-4))/D101</f>
        <v>0.40435361702127659</v>
      </c>
      <c r="E109" s="1144">
        <f>(-0.161*(E108^2)-7.509*E108+6533)*(10^(-4))/E101</f>
        <v>0.34375659574468087</v>
      </c>
      <c r="F109" s="1144">
        <f>(-0.161*(F108^2)-7.509*F108+6533)*(10^(-4))/F101</f>
        <v>0.34375659574468087</v>
      </c>
      <c r="G109" s="1144">
        <f>(-0.161*(G108^2)-7.509*G108+6533)*(10^(-4))/G101</f>
        <v>0.34375659574468087</v>
      </c>
      <c r="H109" s="1144">
        <f>(-0.161*(H108^2)-7.509*H108+6533)*(10^(-4))/H101</f>
        <v>0.34375659574468087</v>
      </c>
      <c r="I109" s="1144">
        <f>(-0.161*(I108^2)-7.509*I108+6533)*(10^(-4))/I101</f>
        <v>0.34375659574468087</v>
      </c>
      <c r="J109" s="1144">
        <f>(-0.214*(J108^2)-21.991*J108+4665)*(10^(-4))/J101</f>
        <v>0.23805191489361704</v>
      </c>
      <c r="K109" s="1144">
        <f>(-0.214*(K108^2)-21.991*K108+4665)*(10^(-4))/K101</f>
        <v>0.23805191489361704</v>
      </c>
      <c r="L109" s="1144">
        <f>(-0.214*(L108^2)-21.991*L108+4665)*(10^(-4))/L101</f>
        <v>0.23805191489361704</v>
      </c>
      <c r="M109" s="1144">
        <f>(-0.214*(M108^2)-21.991*M108+4665)*(10^(-4))/M101</f>
        <v>0.23805191489361704</v>
      </c>
      <c r="N109" s="1144">
        <f>(-0.214*(N108^2)-21.991*N108+4665)*(10^(-4))/N101</f>
        <v>0.23805191489361704</v>
      </c>
    </row>
    <row r="110" spans="1:14">
      <c r="A110" s="3444" t="s">
        <v>1640</v>
      </c>
      <c r="B110" s="3444"/>
      <c r="C110" s="3444"/>
      <c r="D110" s="3444"/>
      <c r="E110" s="3444"/>
      <c r="F110" s="3444"/>
      <c r="G110" s="3444"/>
      <c r="H110" s="3444"/>
      <c r="I110" s="3444"/>
      <c r="J110" s="3444"/>
      <c r="K110" s="2446"/>
      <c r="L110" s="2446"/>
      <c r="M110" s="2446"/>
      <c r="N110" s="2446"/>
    </row>
    <row r="112" spans="1:14" ht="12.75" thickBot="1"/>
    <row r="113" spans="1:13" ht="25.5" thickBot="1">
      <c r="A113" s="1014" t="s">
        <v>896</v>
      </c>
      <c r="B113" s="2449">
        <f>G3</f>
        <v>1.88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0.91579999999999995</v>
      </c>
      <c r="C115" s="1028">
        <f>B115</f>
        <v>0.91579999999999995</v>
      </c>
      <c r="D115" s="1028">
        <f>ROUND(0.8331-0.0109*B113,4)</f>
        <v>0.81259999999999999</v>
      </c>
      <c r="E115" s="1028">
        <f>D115</f>
        <v>0.81259999999999999</v>
      </c>
      <c r="F115" s="1028">
        <f>E115</f>
        <v>0.81259999999999999</v>
      </c>
      <c r="G115" s="1028">
        <f>F115</f>
        <v>0.81259999999999999</v>
      </c>
      <c r="H115" s="1028">
        <f>G115</f>
        <v>0.81259999999999999</v>
      </c>
      <c r="I115" s="1028">
        <f>ROUND(0.689-0.0155*B113,4)</f>
        <v>0.65990000000000004</v>
      </c>
      <c r="J115" s="1028">
        <f t="shared" ref="J115:M118" si="33">I115</f>
        <v>0.65990000000000004</v>
      </c>
      <c r="K115" s="1028">
        <f t="shared" si="33"/>
        <v>0.65990000000000004</v>
      </c>
      <c r="L115" s="1028">
        <f t="shared" si="33"/>
        <v>0.65990000000000004</v>
      </c>
      <c r="M115" s="1029">
        <f t="shared" si="33"/>
        <v>0.65990000000000004</v>
      </c>
    </row>
    <row r="116" spans="1:13" ht="12.75">
      <c r="A116" s="1027" t="s">
        <v>901</v>
      </c>
      <c r="B116" s="1028">
        <f>ROUND(0.949-0.012*B113,4)</f>
        <v>0.9264</v>
      </c>
      <c r="C116" s="1028">
        <f>B116</f>
        <v>0.9264</v>
      </c>
      <c r="D116" s="1028">
        <f>ROUND(0.8567-0.013*B113,4)</f>
        <v>0.83230000000000004</v>
      </c>
      <c r="E116" s="1028">
        <f t="shared" ref="E116:H117" si="34">D116</f>
        <v>0.83230000000000004</v>
      </c>
      <c r="F116" s="1028">
        <f t="shared" si="34"/>
        <v>0.83230000000000004</v>
      </c>
      <c r="G116" s="1028">
        <f t="shared" si="34"/>
        <v>0.83230000000000004</v>
      </c>
      <c r="H116" s="1028">
        <f t="shared" si="34"/>
        <v>0.83230000000000004</v>
      </c>
      <c r="I116" s="1028">
        <f>ROUND(0.7694-0.014*B113,4)</f>
        <v>0.74309999999999998</v>
      </c>
      <c r="J116" s="1028">
        <f t="shared" si="33"/>
        <v>0.74309999999999998</v>
      </c>
      <c r="K116" s="1028">
        <f t="shared" si="33"/>
        <v>0.74309999999999998</v>
      </c>
      <c r="L116" s="1028">
        <f t="shared" si="33"/>
        <v>0.74309999999999998</v>
      </c>
      <c r="M116" s="1029">
        <f t="shared" si="33"/>
        <v>0.74309999999999998</v>
      </c>
    </row>
    <row r="117" spans="1:13" ht="12.75">
      <c r="A117" s="1030" t="s">
        <v>902</v>
      </c>
      <c r="B117" s="1028">
        <f>ROUND(0.8808-0.006*B113,4)</f>
        <v>0.86950000000000005</v>
      </c>
      <c r="C117" s="1028">
        <f>B117</f>
        <v>0.86950000000000005</v>
      </c>
      <c r="D117" s="1028">
        <f>ROUND(0.8748-0.008*B113,4)</f>
        <v>0.85980000000000001</v>
      </c>
      <c r="E117" s="1028">
        <f t="shared" si="34"/>
        <v>0.85980000000000001</v>
      </c>
      <c r="F117" s="1028">
        <f t="shared" si="34"/>
        <v>0.85980000000000001</v>
      </c>
      <c r="G117" s="1028">
        <f t="shared" si="34"/>
        <v>0.85980000000000001</v>
      </c>
      <c r="H117" s="1028">
        <f t="shared" si="34"/>
        <v>0.85980000000000001</v>
      </c>
      <c r="I117" s="1028">
        <f>ROUND(0.7412-0.0095*B113,4)</f>
        <v>0.72330000000000005</v>
      </c>
      <c r="J117" s="1028">
        <f t="shared" si="33"/>
        <v>0.72330000000000005</v>
      </c>
      <c r="K117" s="1028">
        <f t="shared" si="33"/>
        <v>0.72330000000000005</v>
      </c>
      <c r="L117" s="1028">
        <f t="shared" si="33"/>
        <v>0.72330000000000005</v>
      </c>
      <c r="M117" s="1029">
        <f t="shared" si="33"/>
        <v>0.72330000000000005</v>
      </c>
    </row>
    <row r="118" spans="1:13" ht="13.5" thickBot="1">
      <c r="A118" s="1031" t="s">
        <v>903</v>
      </c>
      <c r="B118" s="1032">
        <f>ROUND(0.7275-0.01*B113,4)</f>
        <v>0.7087</v>
      </c>
      <c r="C118" s="1032">
        <f>B118</f>
        <v>0.7087</v>
      </c>
      <c r="D118" s="1032">
        <f>ROUND(0.7043-0.012*B113,4)</f>
        <v>0.68169999999999997</v>
      </c>
      <c r="E118" s="1032">
        <f>D118</f>
        <v>0.68169999999999997</v>
      </c>
      <c r="F118" s="1032">
        <f>E118</f>
        <v>0.68169999999999997</v>
      </c>
      <c r="G118" s="1032">
        <f>ROUND(0.6299-0.0122*B113,4)</f>
        <v>0.60699999999999998</v>
      </c>
      <c r="H118" s="1032">
        <f>G118</f>
        <v>0.60699999999999998</v>
      </c>
      <c r="I118" s="1032">
        <f>ROUND(0.5667-0.0136*B113,4)</f>
        <v>0.54110000000000003</v>
      </c>
      <c r="J118" s="1032">
        <f t="shared" si="33"/>
        <v>0.54110000000000003</v>
      </c>
      <c r="K118" s="1032">
        <f t="shared" si="33"/>
        <v>0.54110000000000003</v>
      </c>
      <c r="L118" s="1032">
        <f t="shared" si="33"/>
        <v>0.54110000000000003</v>
      </c>
      <c r="M118" s="1033">
        <f t="shared" si="33"/>
        <v>0.54110000000000003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50" t="s">
        <v>1008</v>
      </c>
      <c r="B18" s="1152" t="s">
        <v>1447</v>
      </c>
      <c r="C18" s="1129" t="s">
        <v>1448</v>
      </c>
      <c r="D18" s="1130"/>
      <c r="E18" s="1152">
        <v>1</v>
      </c>
      <c r="F18" s="1131" t="s">
        <v>1449</v>
      </c>
      <c r="G18" s="1132"/>
      <c r="H18" s="1103"/>
      <c r="I18" s="1103"/>
    </row>
    <row r="19" spans="1:9" s="1598" customFormat="1" ht="19.5" customHeight="1">
      <c r="A19" s="3450"/>
      <c r="B19" s="3450" t="s">
        <v>1450</v>
      </c>
      <c r="C19" s="1129" t="s">
        <v>1451</v>
      </c>
      <c r="D19" s="1130"/>
      <c r="E19" s="1152">
        <v>0.9</v>
      </c>
      <c r="F19" s="1131" t="s">
        <v>1452</v>
      </c>
      <c r="G19" s="1132"/>
      <c r="H19" s="1103"/>
      <c r="I19" s="1103"/>
    </row>
    <row r="20" spans="1:9" s="1598" customFormat="1" ht="19.5" customHeight="1">
      <c r="A20" s="3450"/>
      <c r="B20" s="3450"/>
      <c r="C20" s="1129" t="s">
        <v>1453</v>
      </c>
      <c r="D20" s="1130"/>
      <c r="E20" s="1152">
        <v>1.1000000000000001</v>
      </c>
      <c r="F20" s="1131" t="s">
        <v>1454</v>
      </c>
      <c r="G20" s="1132"/>
      <c r="H20" s="1103"/>
      <c r="I20" s="1103"/>
    </row>
    <row r="21" spans="1:9" s="1598" customFormat="1" ht="19.5" customHeight="1">
      <c r="A21" s="3450"/>
      <c r="B21" s="3450"/>
      <c r="C21" s="1129" t="s">
        <v>1455</v>
      </c>
      <c r="D21" s="1130"/>
      <c r="E21" s="1152">
        <v>0.8</v>
      </c>
      <c r="F21" s="1131" t="s">
        <v>1456</v>
      </c>
      <c r="G21" s="1132"/>
      <c r="H21" s="1103"/>
      <c r="I21" s="1103"/>
    </row>
    <row r="22" spans="1:9" s="1598" customFormat="1" ht="19.5" customHeight="1">
      <c r="A22" s="3450"/>
      <c r="B22" s="3450"/>
      <c r="C22" s="1129" t="s">
        <v>1457</v>
      </c>
      <c r="D22" s="1130"/>
      <c r="E22" s="1152">
        <v>0.5</v>
      </c>
      <c r="F22" s="1131"/>
      <c r="G22" s="1132"/>
      <c r="H22" s="1103"/>
      <c r="I22" s="1103"/>
    </row>
    <row r="23" spans="1:9" s="1598" customFormat="1" ht="19.5" customHeight="1">
      <c r="A23" s="3450" t="s">
        <v>1030</v>
      </c>
      <c r="B23" s="1152" t="s">
        <v>1447</v>
      </c>
      <c r="C23" s="1129" t="s">
        <v>1458</v>
      </c>
      <c r="D23" s="1130"/>
      <c r="E23" s="1152">
        <v>1</v>
      </c>
      <c r="F23" s="1131" t="s">
        <v>1459</v>
      </c>
      <c r="G23" s="1132"/>
      <c r="H23" s="1103"/>
      <c r="I23" s="1103"/>
    </row>
    <row r="24" spans="1:9" s="1598" customFormat="1" ht="19.5" customHeight="1">
      <c r="A24" s="3450"/>
      <c r="B24" s="3450" t="s">
        <v>1450</v>
      </c>
      <c r="C24" s="1129" t="s">
        <v>1460</v>
      </c>
      <c r="D24" s="1130"/>
      <c r="E24" s="1152">
        <v>0.5</v>
      </c>
      <c r="F24" s="1131"/>
      <c r="G24" s="1132"/>
      <c r="H24" s="1103"/>
      <c r="I24" s="1103"/>
    </row>
    <row r="25" spans="1:9" s="1598" customFormat="1" ht="19.5" customHeight="1">
      <c r="A25" s="3450"/>
      <c r="B25" s="3450"/>
      <c r="C25" s="1129" t="s">
        <v>1461</v>
      </c>
      <c r="D25" s="1130"/>
      <c r="E25" s="1152">
        <v>1.1000000000000001</v>
      </c>
      <c r="F25" s="1131"/>
      <c r="G25" s="1132"/>
      <c r="H25" s="1103"/>
      <c r="I25" s="1103"/>
    </row>
    <row r="26" spans="1:9" s="1598" customFormat="1" ht="19.5" customHeight="1">
      <c r="A26" s="3450"/>
      <c r="B26" s="3450"/>
      <c r="C26" s="1129" t="s">
        <v>1462</v>
      </c>
      <c r="D26" s="1130"/>
      <c r="E26" s="1152">
        <v>1.1000000000000001</v>
      </c>
      <c r="F26" s="1131"/>
      <c r="G26" s="1132"/>
      <c r="H26" s="1103"/>
      <c r="I26" s="1103"/>
    </row>
    <row r="27" spans="1:9" s="1598" customFormat="1" ht="19.5" customHeight="1">
      <c r="A27" s="3450"/>
      <c r="B27" s="3450"/>
      <c r="C27" s="1129" t="s">
        <v>1463</v>
      </c>
      <c r="D27" s="1130"/>
      <c r="E27" s="1152">
        <v>0.9</v>
      </c>
      <c r="F27" s="1131" t="s">
        <v>1464</v>
      </c>
      <c r="G27" s="1132"/>
      <c r="H27" s="1103"/>
      <c r="I27" s="1103"/>
    </row>
    <row r="28" spans="1:9" s="1598" customFormat="1" ht="19.5" customHeight="1">
      <c r="A28" s="3450"/>
      <c r="B28" s="3450"/>
      <c r="C28" s="1129" t="s">
        <v>1465</v>
      </c>
      <c r="D28" s="1130"/>
      <c r="E28" s="1152">
        <v>0.9</v>
      </c>
      <c r="F28" s="1131" t="s">
        <v>1466</v>
      </c>
      <c r="G28" s="1132"/>
      <c r="H28" s="1103"/>
      <c r="I28" s="1103"/>
    </row>
    <row r="29" spans="1:9" s="1598" customFormat="1" ht="19.5" customHeight="1">
      <c r="A29" s="3450"/>
      <c r="B29" s="3450"/>
      <c r="C29" s="1129" t="s">
        <v>1467</v>
      </c>
      <c r="D29" s="1130"/>
      <c r="E29" s="1152">
        <v>0.9</v>
      </c>
      <c r="F29" s="1131" t="s">
        <v>1468</v>
      </c>
      <c r="G29" s="1132"/>
      <c r="H29" s="1103"/>
      <c r="I29" s="1103"/>
    </row>
    <row r="30" spans="1:9" s="1598" customFormat="1" ht="19.5" customHeight="1">
      <c r="A30" s="3450"/>
      <c r="B30" s="3450"/>
      <c r="C30" s="1129" t="s">
        <v>1469</v>
      </c>
      <c r="D30" s="1130"/>
      <c r="E30" s="1152">
        <v>0.9</v>
      </c>
      <c r="F30" s="1131" t="s">
        <v>1470</v>
      </c>
      <c r="G30" s="1132"/>
      <c r="H30" s="1103"/>
      <c r="I30" s="1103"/>
    </row>
    <row r="31" spans="1:9" s="1598" customFormat="1" ht="19.5" customHeight="1">
      <c r="A31" s="3450"/>
      <c r="B31" s="3450"/>
      <c r="C31" s="1129" t="s">
        <v>1471</v>
      </c>
      <c r="D31" s="1130"/>
      <c r="E31" s="1152">
        <v>0.8</v>
      </c>
      <c r="F31" s="1131" t="s">
        <v>1472</v>
      </c>
      <c r="G31" s="1132"/>
      <c r="H31" s="1103"/>
      <c r="I31" s="1103"/>
    </row>
    <row r="32" spans="1:9" s="1598" customFormat="1" ht="19.5" customHeight="1">
      <c r="A32" s="3450"/>
      <c r="B32" s="3450"/>
      <c r="C32" s="1129" t="s">
        <v>1473</v>
      </c>
      <c r="D32" s="1130"/>
      <c r="E32" s="1152">
        <v>0.8</v>
      </c>
      <c r="F32" s="1131" t="s">
        <v>1474</v>
      </c>
      <c r="G32" s="1132"/>
      <c r="H32" s="1103"/>
      <c r="I32" s="1103"/>
    </row>
    <row r="33" spans="1:9" s="1598" customFormat="1" ht="19.5" customHeight="1">
      <c r="A33" s="3450" t="s">
        <v>1475</v>
      </c>
      <c r="B33" s="1152" t="s">
        <v>1447</v>
      </c>
      <c r="C33" s="1129" t="s">
        <v>1476</v>
      </c>
      <c r="D33" s="1130"/>
      <c r="E33" s="1152">
        <v>1</v>
      </c>
      <c r="F33" s="1131" t="s">
        <v>1477</v>
      </c>
      <c r="G33" s="1132"/>
      <c r="H33" s="1103"/>
      <c r="I33" s="1103"/>
    </row>
    <row r="34" spans="1:9" s="1598" customFormat="1" ht="19.5" customHeight="1">
      <c r="A34" s="3450"/>
      <c r="B34" s="1152" t="s">
        <v>1450</v>
      </c>
      <c r="C34" s="1129" t="s">
        <v>1478</v>
      </c>
      <c r="D34" s="1130"/>
      <c r="E34" s="1152">
        <v>1.5</v>
      </c>
      <c r="F34" s="1131" t="s">
        <v>1479</v>
      </c>
      <c r="G34" s="1132"/>
      <c r="H34" s="1103"/>
      <c r="I34" s="1103"/>
    </row>
    <row r="35" spans="1:9" s="1598" customFormat="1" ht="19.5" customHeight="1">
      <c r="A35" s="3450" t="s">
        <v>1433</v>
      </c>
      <c r="B35" s="1152" t="s">
        <v>1447</v>
      </c>
      <c r="C35" s="1129" t="s">
        <v>1480</v>
      </c>
      <c r="D35" s="1130"/>
      <c r="E35" s="1152">
        <v>1</v>
      </c>
      <c r="F35" s="1131" t="s">
        <v>1481</v>
      </c>
      <c r="G35" s="1132"/>
      <c r="H35" s="1103"/>
      <c r="I35" s="1103"/>
    </row>
    <row r="36" spans="1:9" s="1598" customFormat="1" ht="19.5" customHeight="1">
      <c r="A36" s="3450"/>
      <c r="B36" s="3450" t="s">
        <v>1450</v>
      </c>
      <c r="C36" s="1129" t="s">
        <v>1482</v>
      </c>
      <c r="D36" s="1130"/>
      <c r="E36" s="1152">
        <v>1</v>
      </c>
      <c r="F36" s="1131" t="s">
        <v>1483</v>
      </c>
      <c r="G36" s="1132"/>
      <c r="H36" s="1103"/>
      <c r="I36" s="1103"/>
    </row>
    <row r="37" spans="1:9" s="1598" customFormat="1" ht="19.5" customHeight="1">
      <c r="A37" s="3450"/>
      <c r="B37" s="3450"/>
      <c r="C37" s="1129" t="s">
        <v>1484</v>
      </c>
      <c r="D37" s="1130"/>
      <c r="E37" s="1152">
        <v>1.5</v>
      </c>
      <c r="F37" s="1131" t="s">
        <v>1485</v>
      </c>
      <c r="G37" s="1132"/>
      <c r="H37" s="1103"/>
      <c r="I37" s="1103"/>
    </row>
    <row r="38" spans="1:9" s="1598" customFormat="1" ht="19.5" customHeight="1">
      <c r="A38" s="3450"/>
      <c r="B38" s="3450"/>
      <c r="C38" s="1129" t="s">
        <v>1486</v>
      </c>
      <c r="D38" s="1130"/>
      <c r="E38" s="1152">
        <v>1</v>
      </c>
      <c r="F38" s="1131" t="s">
        <v>1487</v>
      </c>
      <c r="G38" s="1132"/>
      <c r="H38" s="1103"/>
      <c r="I38" s="1103"/>
    </row>
    <row r="39" spans="1:9" s="1598" customFormat="1" ht="19.5" customHeight="1">
      <c r="A39" s="3450"/>
      <c r="B39" s="3450"/>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50" t="s">
        <v>1502</v>
      </c>
      <c r="C61" s="1066" t="s">
        <v>1503</v>
      </c>
      <c r="D61" s="1066" t="s">
        <v>1504</v>
      </c>
      <c r="E61" s="1137">
        <v>0.5</v>
      </c>
      <c r="F61" s="1152">
        <v>80</v>
      </c>
      <c r="H61" s="1103">
        <f>SUMIF(C59:C119,基准地价!C8,E59:E119)</f>
        <v>0</v>
      </c>
    </row>
    <row r="62" spans="1:8" s="1103" customFormat="1" ht="24">
      <c r="A62" s="1152">
        <v>2</v>
      </c>
      <c r="B62" s="3450"/>
      <c r="C62" s="1066" t="s">
        <v>1505</v>
      </c>
      <c r="D62" s="1066" t="s">
        <v>1506</v>
      </c>
      <c r="E62" s="1137">
        <v>0.5</v>
      </c>
      <c r="F62" s="1152">
        <v>80</v>
      </c>
    </row>
    <row r="63" spans="1:8" s="1103" customFormat="1" ht="36">
      <c r="A63" s="1152">
        <v>3</v>
      </c>
      <c r="B63" s="3450"/>
      <c r="C63" s="1066" t="s">
        <v>1507</v>
      </c>
      <c r="D63" s="1066" t="s">
        <v>1508</v>
      </c>
      <c r="E63" s="1137">
        <v>0.5</v>
      </c>
      <c r="F63" s="1152">
        <v>80</v>
      </c>
    </row>
    <row r="64" spans="1:8" s="1103" customFormat="1" ht="36">
      <c r="A64" s="1152">
        <v>4</v>
      </c>
      <c r="B64" s="3450"/>
      <c r="C64" s="1066" t="s">
        <v>1509</v>
      </c>
      <c r="D64" s="1066" t="s">
        <v>1510</v>
      </c>
      <c r="E64" s="1137">
        <v>0.4</v>
      </c>
      <c r="F64" s="1152">
        <v>60</v>
      </c>
    </row>
    <row r="65" spans="1:6" s="1103" customFormat="1" ht="36">
      <c r="A65" s="1152">
        <v>5</v>
      </c>
      <c r="B65" s="3450"/>
      <c r="C65" s="1066" t="s">
        <v>1511</v>
      </c>
      <c r="D65" s="1066" t="s">
        <v>1512</v>
      </c>
      <c r="E65" s="1137">
        <v>0.2</v>
      </c>
      <c r="F65" s="1152">
        <v>30</v>
      </c>
    </row>
    <row r="66" spans="1:6" s="1103" customFormat="1" ht="36">
      <c r="A66" s="1152">
        <v>6</v>
      </c>
      <c r="B66" s="3450"/>
      <c r="C66" s="1066" t="s">
        <v>1513</v>
      </c>
      <c r="D66" s="1066" t="s">
        <v>1514</v>
      </c>
      <c r="E66" s="1137">
        <v>0.3</v>
      </c>
      <c r="F66" s="1152">
        <v>50</v>
      </c>
    </row>
    <row r="67" spans="1:6" s="1103" customFormat="1" ht="36">
      <c r="A67" s="1152">
        <v>7</v>
      </c>
      <c r="B67" s="3450"/>
      <c r="C67" s="1066" t="s">
        <v>1515</v>
      </c>
      <c r="D67" s="1066" t="s">
        <v>1516</v>
      </c>
      <c r="E67" s="1137">
        <v>0.2</v>
      </c>
      <c r="F67" s="1152">
        <v>30</v>
      </c>
    </row>
    <row r="68" spans="1:6" s="1103" customFormat="1" ht="36">
      <c r="A68" s="1152">
        <v>8</v>
      </c>
      <c r="B68" s="3450"/>
      <c r="C68" s="1066" t="s">
        <v>1517</v>
      </c>
      <c r="D68" s="1066" t="s">
        <v>1518</v>
      </c>
      <c r="E68" s="1137">
        <v>0.2</v>
      </c>
      <c r="F68" s="1152">
        <v>30</v>
      </c>
    </row>
    <row r="69" spans="1:6" s="1103" customFormat="1" ht="36">
      <c r="A69" s="1152">
        <v>9</v>
      </c>
      <c r="B69" s="3450"/>
      <c r="C69" s="1066" t="s">
        <v>1519</v>
      </c>
      <c r="D69" s="1066" t="s">
        <v>1520</v>
      </c>
      <c r="E69" s="1137">
        <v>0.2</v>
      </c>
      <c r="F69" s="1152">
        <v>30</v>
      </c>
    </row>
    <row r="70" spans="1:6" s="1103" customFormat="1" ht="48">
      <c r="A70" s="1152">
        <v>10</v>
      </c>
      <c r="B70" s="3450"/>
      <c r="C70" s="1066" t="s">
        <v>1521</v>
      </c>
      <c r="D70" s="1066" t="s">
        <v>1522</v>
      </c>
      <c r="E70" s="1137">
        <v>0.2</v>
      </c>
      <c r="F70" s="1152">
        <v>30</v>
      </c>
    </row>
    <row r="71" spans="1:6" s="1103" customFormat="1" ht="48">
      <c r="A71" s="1152">
        <v>11</v>
      </c>
      <c r="B71" s="3450"/>
      <c r="C71" s="1066" t="s">
        <v>1523</v>
      </c>
      <c r="D71" s="1066" t="s">
        <v>1524</v>
      </c>
      <c r="E71" s="1137">
        <v>0.2</v>
      </c>
      <c r="F71" s="1152">
        <v>30</v>
      </c>
    </row>
    <row r="72" spans="1:6" s="1103" customFormat="1" ht="36">
      <c r="A72" s="1152">
        <v>12</v>
      </c>
      <c r="B72" s="3450"/>
      <c r="C72" s="1066" t="s">
        <v>1525</v>
      </c>
      <c r="D72" s="1066" t="s">
        <v>1526</v>
      </c>
      <c r="E72" s="1137">
        <v>0.5</v>
      </c>
      <c r="F72" s="1152">
        <v>80</v>
      </c>
    </row>
    <row r="73" spans="1:6" s="1103" customFormat="1" ht="24">
      <c r="A73" s="1152">
        <v>13</v>
      </c>
      <c r="B73" s="3450"/>
      <c r="C73" s="1066" t="s">
        <v>1527</v>
      </c>
      <c r="D73" s="1066" t="s">
        <v>1528</v>
      </c>
      <c r="E73" s="1137">
        <v>0.4</v>
      </c>
      <c r="F73" s="1152">
        <v>60</v>
      </c>
    </row>
    <row r="74" spans="1:6" s="1103" customFormat="1" ht="24">
      <c r="A74" s="1152">
        <v>14</v>
      </c>
      <c r="B74" s="3450"/>
      <c r="C74" s="1066" t="s">
        <v>1529</v>
      </c>
      <c r="D74" s="1066" t="s">
        <v>1530</v>
      </c>
      <c r="E74" s="1137">
        <v>0.2</v>
      </c>
      <c r="F74" s="1152">
        <v>30</v>
      </c>
    </row>
    <row r="75" spans="1:6" s="1103" customFormat="1" ht="24">
      <c r="A75" s="1152">
        <v>15</v>
      </c>
      <c r="B75" s="3450"/>
      <c r="C75" s="1066" t="s">
        <v>1531</v>
      </c>
      <c r="D75" s="1066" t="s">
        <v>1532</v>
      </c>
      <c r="E75" s="1137">
        <v>0.2</v>
      </c>
      <c r="F75" s="1152">
        <v>30</v>
      </c>
    </row>
    <row r="76" spans="1:6" s="1103" customFormat="1" ht="24">
      <c r="A76" s="1152">
        <v>16</v>
      </c>
      <c r="B76" s="3450" t="s">
        <v>1533</v>
      </c>
      <c r="C76" s="1066" t="s">
        <v>1534</v>
      </c>
      <c r="D76" s="1066" t="s">
        <v>1535</v>
      </c>
      <c r="E76" s="1137">
        <v>0.5</v>
      </c>
      <c r="F76" s="1152">
        <v>80</v>
      </c>
    </row>
    <row r="77" spans="1:6" s="1103" customFormat="1" ht="24">
      <c r="A77" s="1152">
        <v>17</v>
      </c>
      <c r="B77" s="3450"/>
      <c r="C77" s="1066" t="s">
        <v>1536</v>
      </c>
      <c r="D77" s="1066" t="s">
        <v>1537</v>
      </c>
      <c r="E77" s="1137">
        <v>0.5</v>
      </c>
      <c r="F77" s="1152">
        <v>80</v>
      </c>
    </row>
    <row r="78" spans="1:6" s="1103" customFormat="1" ht="24">
      <c r="A78" s="1152">
        <v>18</v>
      </c>
      <c r="B78" s="3450"/>
      <c r="C78" s="1066" t="s">
        <v>1538</v>
      </c>
      <c r="D78" s="1066" t="s">
        <v>1539</v>
      </c>
      <c r="E78" s="1137">
        <v>0.2</v>
      </c>
      <c r="F78" s="1152">
        <v>30</v>
      </c>
    </row>
    <row r="79" spans="1:6" s="1103" customFormat="1" ht="24">
      <c r="A79" s="1152">
        <v>19</v>
      </c>
      <c r="B79" s="3450"/>
      <c r="C79" s="1066" t="s">
        <v>1540</v>
      </c>
      <c r="D79" s="1066" t="s">
        <v>1541</v>
      </c>
      <c r="E79" s="1137">
        <v>0.5</v>
      </c>
      <c r="F79" s="1152">
        <v>80</v>
      </c>
    </row>
    <row r="80" spans="1:6" s="1103" customFormat="1" ht="36">
      <c r="A80" s="1152">
        <v>20</v>
      </c>
      <c r="B80" s="3450"/>
      <c r="C80" s="1066" t="s">
        <v>1542</v>
      </c>
      <c r="D80" s="1066" t="s">
        <v>1543</v>
      </c>
      <c r="E80" s="1137">
        <v>0.2</v>
      </c>
      <c r="F80" s="1152">
        <v>30</v>
      </c>
    </row>
    <row r="81" spans="1:6" s="1103" customFormat="1" ht="36">
      <c r="A81" s="1152">
        <v>21</v>
      </c>
      <c r="B81" s="3450"/>
      <c r="C81" s="1066" t="s">
        <v>1544</v>
      </c>
      <c r="D81" s="1066" t="s">
        <v>1545</v>
      </c>
      <c r="E81" s="1137">
        <v>0.2</v>
      </c>
      <c r="F81" s="1152">
        <v>30</v>
      </c>
    </row>
    <row r="82" spans="1:6" s="1103" customFormat="1" ht="48">
      <c r="A82" s="1152">
        <v>22</v>
      </c>
      <c r="B82" s="3450"/>
      <c r="C82" s="1066" t="s">
        <v>1546</v>
      </c>
      <c r="D82" s="1066" t="s">
        <v>1547</v>
      </c>
      <c r="E82" s="1137">
        <v>0.2</v>
      </c>
      <c r="F82" s="1152">
        <v>30</v>
      </c>
    </row>
    <row r="83" spans="1:6" s="1103" customFormat="1" ht="48">
      <c r="A83" s="1152">
        <v>23</v>
      </c>
      <c r="B83" s="3450"/>
      <c r="C83" s="1066" t="s">
        <v>1548</v>
      </c>
      <c r="D83" s="1066" t="s">
        <v>1549</v>
      </c>
      <c r="E83" s="1137">
        <v>0.2</v>
      </c>
      <c r="F83" s="1152">
        <v>30</v>
      </c>
    </row>
    <row r="84" spans="1:6" s="1103" customFormat="1" ht="36">
      <c r="A84" s="1152">
        <v>24</v>
      </c>
      <c r="B84" s="3450"/>
      <c r="C84" s="1066" t="s">
        <v>1550</v>
      </c>
      <c r="D84" s="1066" t="s">
        <v>1551</v>
      </c>
      <c r="E84" s="1137">
        <v>0.2</v>
      </c>
      <c r="F84" s="1152">
        <v>30</v>
      </c>
    </row>
    <row r="85" spans="1:6" s="1103" customFormat="1" ht="36">
      <c r="A85" s="1152">
        <v>25</v>
      </c>
      <c r="B85" s="3450"/>
      <c r="C85" s="1066" t="s">
        <v>1552</v>
      </c>
      <c r="D85" s="1066" t="s">
        <v>1553</v>
      </c>
      <c r="E85" s="1137">
        <v>0.5</v>
      </c>
      <c r="F85" s="1152">
        <v>80</v>
      </c>
    </row>
    <row r="86" spans="1:6" s="1103" customFormat="1" ht="36">
      <c r="A86" s="1152">
        <v>26</v>
      </c>
      <c r="B86" s="3450"/>
      <c r="C86" s="1066" t="s">
        <v>1554</v>
      </c>
      <c r="D86" s="1066" t="s">
        <v>1555</v>
      </c>
      <c r="E86" s="1137">
        <v>0.2</v>
      </c>
      <c r="F86" s="1152">
        <v>30</v>
      </c>
    </row>
    <row r="87" spans="1:6" s="1103" customFormat="1" ht="36">
      <c r="A87" s="1152">
        <v>27</v>
      </c>
      <c r="B87" s="3450"/>
      <c r="C87" s="1066" t="s">
        <v>1556</v>
      </c>
      <c r="D87" s="1066" t="s">
        <v>1557</v>
      </c>
      <c r="E87" s="1137">
        <v>0.2</v>
      </c>
      <c r="F87" s="1152">
        <v>30</v>
      </c>
    </row>
    <row r="88" spans="1:6" s="1103" customFormat="1" ht="36">
      <c r="A88" s="1152">
        <v>28</v>
      </c>
      <c r="B88" s="3450"/>
      <c r="C88" s="1066" t="s">
        <v>1558</v>
      </c>
      <c r="D88" s="1066" t="s">
        <v>1559</v>
      </c>
      <c r="E88" s="1137">
        <v>0.2</v>
      </c>
      <c r="F88" s="1152">
        <v>30</v>
      </c>
    </row>
    <row r="89" spans="1:6" s="1103" customFormat="1" ht="24">
      <c r="A89" s="1152">
        <v>29</v>
      </c>
      <c r="B89" s="3450"/>
      <c r="C89" s="1066" t="s">
        <v>1560</v>
      </c>
      <c r="D89" s="1066" t="s">
        <v>1561</v>
      </c>
      <c r="E89" s="1137">
        <v>0.2</v>
      </c>
      <c r="F89" s="1152">
        <v>30</v>
      </c>
    </row>
    <row r="90" spans="1:6" s="1103" customFormat="1" ht="24">
      <c r="A90" s="1152">
        <v>30</v>
      </c>
      <c r="B90" s="3450"/>
      <c r="C90" s="1066" t="s">
        <v>1562</v>
      </c>
      <c r="D90" s="1066" t="s">
        <v>1563</v>
      </c>
      <c r="E90" s="1137">
        <v>0.2</v>
      </c>
      <c r="F90" s="1152">
        <v>30</v>
      </c>
    </row>
    <row r="91" spans="1:6" s="1103" customFormat="1" ht="36">
      <c r="A91" s="1152">
        <v>31</v>
      </c>
      <c r="B91" s="3450"/>
      <c r="C91" s="1066" t="s">
        <v>1564</v>
      </c>
      <c r="D91" s="1066" t="s">
        <v>1565</v>
      </c>
      <c r="E91" s="1137">
        <v>0.2</v>
      </c>
      <c r="F91" s="1152">
        <v>30</v>
      </c>
    </row>
    <row r="92" spans="1:6" s="1103" customFormat="1" ht="24">
      <c r="A92" s="1152">
        <v>32</v>
      </c>
      <c r="B92" s="3450" t="s">
        <v>1566</v>
      </c>
      <c r="C92" s="1152" t="s">
        <v>1567</v>
      </c>
      <c r="D92" s="1066" t="s">
        <v>1568</v>
      </c>
      <c r="E92" s="1137">
        <v>0.2</v>
      </c>
      <c r="F92" s="1152">
        <v>30</v>
      </c>
    </row>
    <row r="93" spans="1:6" s="1103" customFormat="1" ht="36">
      <c r="A93" s="1152">
        <v>33</v>
      </c>
      <c r="B93" s="3450"/>
      <c r="C93" s="1152" t="s">
        <v>1569</v>
      </c>
      <c r="D93" s="1066" t="s">
        <v>1570</v>
      </c>
      <c r="E93" s="1137">
        <v>0.2</v>
      </c>
      <c r="F93" s="1152">
        <v>30</v>
      </c>
    </row>
    <row r="94" spans="1:6" s="1103" customFormat="1" ht="48">
      <c r="A94" s="1152">
        <v>34</v>
      </c>
      <c r="B94" s="3450"/>
      <c r="C94" s="1152" t="s">
        <v>1571</v>
      </c>
      <c r="D94" s="1066" t="s">
        <v>1572</v>
      </c>
      <c r="E94" s="1137">
        <v>0.2</v>
      </c>
      <c r="F94" s="1152">
        <v>30</v>
      </c>
    </row>
    <row r="95" spans="1:6" s="1103" customFormat="1" ht="36">
      <c r="A95" s="1152">
        <v>35</v>
      </c>
      <c r="B95" s="3450"/>
      <c r="C95" s="1152" t="s">
        <v>1573</v>
      </c>
      <c r="D95" s="1066" t="s">
        <v>1574</v>
      </c>
      <c r="E95" s="1137">
        <v>0.2</v>
      </c>
      <c r="F95" s="1152">
        <v>30</v>
      </c>
    </row>
    <row r="96" spans="1:6" s="1103" customFormat="1" ht="48">
      <c r="A96" s="1152">
        <v>36</v>
      </c>
      <c r="B96" s="3450"/>
      <c r="C96" s="1066" t="s">
        <v>1575</v>
      </c>
      <c r="D96" s="1066" t="s">
        <v>1576</v>
      </c>
      <c r="E96" s="1137">
        <v>0.2</v>
      </c>
      <c r="F96" s="1152">
        <v>30</v>
      </c>
    </row>
    <row r="97" spans="1:6" s="1103" customFormat="1" ht="36">
      <c r="A97" s="1152">
        <v>37</v>
      </c>
      <c r="B97" s="3450"/>
      <c r="C97" s="1152" t="s">
        <v>1577</v>
      </c>
      <c r="D97" s="1066" t="s">
        <v>1578</v>
      </c>
      <c r="E97" s="1137">
        <v>0.2</v>
      </c>
      <c r="F97" s="1152">
        <v>30</v>
      </c>
    </row>
    <row r="98" spans="1:6" s="1103" customFormat="1" ht="36">
      <c r="A98" s="1152">
        <v>38</v>
      </c>
      <c r="B98" s="3450"/>
      <c r="C98" s="1152" t="s">
        <v>1579</v>
      </c>
      <c r="D98" s="1066" t="s">
        <v>1580</v>
      </c>
      <c r="E98" s="1137">
        <v>0.2</v>
      </c>
      <c r="F98" s="1152">
        <v>30</v>
      </c>
    </row>
    <row r="99" spans="1:6" s="1103" customFormat="1" ht="36">
      <c r="A99" s="1152">
        <v>39</v>
      </c>
      <c r="B99" s="3450" t="s">
        <v>1581</v>
      </c>
      <c r="C99" s="1152" t="s">
        <v>1582</v>
      </c>
      <c r="D99" s="1066" t="s">
        <v>1583</v>
      </c>
      <c r="E99" s="1137">
        <v>0.3</v>
      </c>
      <c r="F99" s="1152">
        <v>50</v>
      </c>
    </row>
    <row r="100" spans="1:6" s="1103" customFormat="1" ht="24">
      <c r="A100" s="1152">
        <v>40</v>
      </c>
      <c r="B100" s="3450"/>
      <c r="C100" s="1152" t="s">
        <v>1584</v>
      </c>
      <c r="D100" s="1066" t="s">
        <v>1585</v>
      </c>
      <c r="E100" s="1137">
        <v>0.2</v>
      </c>
      <c r="F100" s="1152">
        <v>30</v>
      </c>
    </row>
    <row r="101" spans="1:6" s="1103" customFormat="1" ht="36">
      <c r="A101" s="1152">
        <v>41</v>
      </c>
      <c r="B101" s="3450"/>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50" t="s">
        <v>1596</v>
      </c>
      <c r="C105" s="1152" t="s">
        <v>1597</v>
      </c>
      <c r="D105" s="1066" t="s">
        <v>1598</v>
      </c>
      <c r="E105" s="1137">
        <v>0.2</v>
      </c>
      <c r="F105" s="1152">
        <v>30</v>
      </c>
    </row>
    <row r="106" spans="1:6" s="1103" customFormat="1" ht="36">
      <c r="A106" s="1152">
        <v>46</v>
      </c>
      <c r="B106" s="3450"/>
      <c r="C106" s="1152" t="s">
        <v>1599</v>
      </c>
      <c r="D106" s="1066" t="s">
        <v>1600</v>
      </c>
      <c r="E106" s="1137">
        <v>0.2</v>
      </c>
      <c r="F106" s="1152">
        <v>30</v>
      </c>
    </row>
    <row r="107" spans="1:6" s="1103" customFormat="1" ht="36">
      <c r="A107" s="1152">
        <v>47</v>
      </c>
      <c r="B107" s="3450" t="s">
        <v>1601</v>
      </c>
      <c r="C107" s="1152" t="s">
        <v>1602</v>
      </c>
      <c r="D107" s="1066" t="s">
        <v>1603</v>
      </c>
      <c r="E107" s="1137">
        <v>0.3</v>
      </c>
      <c r="F107" s="1152">
        <v>50</v>
      </c>
    </row>
    <row r="108" spans="1:6" s="1103" customFormat="1" ht="36">
      <c r="A108" s="1152">
        <v>48</v>
      </c>
      <c r="B108" s="3450"/>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50" t="s">
        <v>1612</v>
      </c>
      <c r="C111" s="1152" t="s">
        <v>1613</v>
      </c>
      <c r="D111" s="1066" t="s">
        <v>1614</v>
      </c>
      <c r="E111" s="1137">
        <v>0.2</v>
      </c>
      <c r="F111" s="1152">
        <v>30</v>
      </c>
    </row>
    <row r="112" spans="1:6" s="1103" customFormat="1" ht="24">
      <c r="A112" s="1152">
        <v>52</v>
      </c>
      <c r="B112" s="3450"/>
      <c r="C112" s="1152" t="s">
        <v>1615</v>
      </c>
      <c r="D112" s="1066" t="s">
        <v>1616</v>
      </c>
      <c r="E112" s="1137">
        <v>0.2</v>
      </c>
      <c r="F112" s="1152">
        <v>30</v>
      </c>
    </row>
    <row r="113" spans="1:14" s="1103" customFormat="1" ht="24">
      <c r="A113" s="1152">
        <v>53</v>
      </c>
      <c r="B113" s="3450"/>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50" t="s">
        <v>1625</v>
      </c>
      <c r="C116" s="1152" t="s">
        <v>1626</v>
      </c>
      <c r="D116" s="1066" t="s">
        <v>1627</v>
      </c>
      <c r="E116" s="1137">
        <v>0.2</v>
      </c>
      <c r="F116" s="1152">
        <v>30</v>
      </c>
    </row>
    <row r="117" spans="1:14" ht="36">
      <c r="A117" s="1152">
        <v>57</v>
      </c>
      <c r="B117" s="3450"/>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49" t="s">
        <v>1634</v>
      </c>
      <c r="B121" s="3449"/>
      <c r="C121" s="3449"/>
      <c r="D121" s="3449"/>
      <c r="E121" s="3449"/>
      <c r="F121" s="3449"/>
      <c r="G121" s="3449"/>
      <c r="H121" s="3449"/>
      <c r="I121" s="3449"/>
      <c r="J121" s="344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4" t="s">
        <v>1040</v>
      </c>
      <c r="B1" s="3454"/>
      <c r="C1" s="3454"/>
      <c r="D1" s="3454"/>
      <c r="E1" s="3454"/>
      <c r="F1" s="3454"/>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55" t="s">
        <v>1053</v>
      </c>
      <c r="B2" s="3455"/>
      <c r="C2" s="3455"/>
      <c r="D2" s="3455"/>
      <c r="E2" s="3455"/>
      <c r="F2" s="3455"/>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56"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7"/>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2421</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2422</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8" t="s">
        <v>2080</v>
      </c>
      <c r="B1" s="3458"/>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1097</v>
      </c>
      <c r="B6" s="1857" t="s">
        <v>2089</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2090</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2091</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2092</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2093</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2094</v>
      </c>
      <c r="C72" s="1867"/>
      <c r="D72" s="1867"/>
      <c r="E72" s="1867"/>
      <c r="F72" s="1859">
        <v>0.05</v>
      </c>
    </row>
    <row r="73" spans="1:6" ht="14.25" thickBot="1">
      <c r="A73" s="1853" t="s">
        <v>925</v>
      </c>
      <c r="B73" s="1857" t="s">
        <v>2095</v>
      </c>
      <c r="C73" s="1867"/>
      <c r="D73" s="1867"/>
      <c r="E73" s="1867"/>
      <c r="F73" s="1859">
        <v>0.05</v>
      </c>
    </row>
    <row r="74" spans="1:6" ht="14.25" thickBot="1">
      <c r="A74" s="1853" t="s">
        <v>925</v>
      </c>
      <c r="B74" s="1857" t="s">
        <v>2096</v>
      </c>
      <c r="C74" s="1867"/>
      <c r="D74" s="1867"/>
      <c r="E74" s="1867"/>
      <c r="F74" s="1859">
        <v>0.05</v>
      </c>
    </row>
    <row r="75" spans="1:6" ht="14.25" thickBot="1">
      <c r="A75" s="1861" t="s">
        <v>925</v>
      </c>
      <c r="B75" s="1868" t="s">
        <v>2097</v>
      </c>
      <c r="C75" s="1864"/>
      <c r="D75" s="1864"/>
      <c r="E75" s="1864"/>
      <c r="F75" s="1869">
        <v>0.05</v>
      </c>
    </row>
    <row r="76" spans="1:6" ht="14.25" thickBot="1">
      <c r="A76" s="1853" t="s">
        <v>1408</v>
      </c>
      <c r="B76" s="1854" t="s">
        <v>2098</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2099</v>
      </c>
      <c r="C102" s="1867"/>
      <c r="D102" s="1867"/>
      <c r="E102" s="1867"/>
      <c r="F102" s="1859">
        <v>0.05</v>
      </c>
    </row>
    <row r="103" spans="1:6" ht="24.75" thickBot="1">
      <c r="A103" s="1853" t="s">
        <v>1408</v>
      </c>
      <c r="B103" s="1857" t="s">
        <v>2100</v>
      </c>
      <c r="C103" s="1867"/>
      <c r="D103" s="1867"/>
      <c r="E103" s="1867"/>
      <c r="F103" s="1859">
        <v>0.05</v>
      </c>
    </row>
    <row r="104" spans="1:6" ht="14.25" thickBot="1">
      <c r="A104" s="1853" t="s">
        <v>1408</v>
      </c>
      <c r="B104" s="1857" t="s">
        <v>2101</v>
      </c>
      <c r="C104" s="1867"/>
      <c r="D104" s="1867"/>
      <c r="E104" s="1867"/>
      <c r="F104" s="1859">
        <v>0.05</v>
      </c>
    </row>
    <row r="105" spans="1:6" ht="14.25" thickBot="1">
      <c r="A105" s="1853" t="s">
        <v>1408</v>
      </c>
      <c r="B105" s="1857" t="s">
        <v>2102</v>
      </c>
      <c r="C105" s="1867"/>
      <c r="D105" s="1867"/>
      <c r="E105" s="1867"/>
      <c r="F105" s="1859">
        <v>0.05</v>
      </c>
    </row>
    <row r="106" spans="1:6" ht="14.25" thickBot="1">
      <c r="A106" s="1853" t="s">
        <v>1408</v>
      </c>
      <c r="B106" s="1857" t="s">
        <v>2103</v>
      </c>
      <c r="C106" s="1867"/>
      <c r="D106" s="1867"/>
      <c r="E106" s="1867"/>
      <c r="F106" s="1859">
        <v>0.05</v>
      </c>
    </row>
    <row r="107" spans="1:6" ht="24.75" thickBot="1">
      <c r="A107" s="1853" t="s">
        <v>1408</v>
      </c>
      <c r="B107" s="1857" t="s">
        <v>2104</v>
      </c>
      <c r="C107" s="1867"/>
      <c r="D107" s="1867"/>
      <c r="E107" s="1867"/>
      <c r="F107" s="1859">
        <v>0.05</v>
      </c>
    </row>
    <row r="108" spans="1:6" ht="24.75" thickBot="1">
      <c r="A108" s="1853" t="s">
        <v>1408</v>
      </c>
      <c r="B108" s="1857" t="s">
        <v>2105</v>
      </c>
      <c r="C108" s="1867"/>
      <c r="D108" s="1867"/>
      <c r="E108" s="1867"/>
      <c r="F108" s="1859">
        <v>0.05</v>
      </c>
    </row>
    <row r="109" spans="1:6" ht="24.75" thickBot="1">
      <c r="A109" s="1861" t="s">
        <v>1408</v>
      </c>
      <c r="B109" s="1868" t="s">
        <v>2106</v>
      </c>
      <c r="C109" s="1864"/>
      <c r="D109" s="1864"/>
      <c r="E109" s="1864"/>
      <c r="F109" s="1869">
        <v>0.05</v>
      </c>
    </row>
    <row r="110" spans="1:6" ht="14.25" thickBot="1">
      <c r="A110" s="1853" t="s">
        <v>1410</v>
      </c>
      <c r="B110" s="1854" t="s">
        <v>2107</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2108</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2109</v>
      </c>
      <c r="C138" s="1858">
        <v>0.105</v>
      </c>
      <c r="D138" s="1858">
        <v>0.125</v>
      </c>
      <c r="E138" s="1858">
        <v>0.112</v>
      </c>
      <c r="F138" s="1866"/>
    </row>
    <row r="139" spans="1:6" ht="14.25" thickBot="1">
      <c r="A139" s="1853" t="s">
        <v>1410</v>
      </c>
      <c r="B139" s="1857" t="s">
        <v>2110</v>
      </c>
      <c r="C139" s="1858">
        <v>0.127</v>
      </c>
      <c r="D139" s="1858">
        <v>0.127</v>
      </c>
      <c r="E139" s="1858">
        <v>0.122</v>
      </c>
      <c r="F139" s="1859">
        <v>0.13</v>
      </c>
    </row>
    <row r="140" spans="1:6" ht="14.25" thickBot="1">
      <c r="A140" s="1853" t="s">
        <v>1410</v>
      </c>
      <c r="B140" s="1857" t="s">
        <v>2111</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2112</v>
      </c>
      <c r="C144" s="1871">
        <v>0.126</v>
      </c>
      <c r="D144" s="1871">
        <v>0.126</v>
      </c>
      <c r="E144" s="1871">
        <v>0.121</v>
      </c>
      <c r="F144" s="1866"/>
    </row>
    <row r="145" spans="1:6" ht="14.25" thickBot="1">
      <c r="A145" s="1861" t="s">
        <v>1410</v>
      </c>
      <c r="B145" s="1872" t="s">
        <v>2113</v>
      </c>
      <c r="C145" s="1873"/>
      <c r="D145" s="1873"/>
      <c r="E145" s="1873"/>
      <c r="F145" s="1874">
        <v>0.05</v>
      </c>
    </row>
    <row r="146" spans="1:6" ht="24.75" thickBot="1">
      <c r="A146" s="1875" t="s">
        <v>1410</v>
      </c>
      <c r="B146" s="1860" t="s">
        <v>2114</v>
      </c>
      <c r="C146" s="1867"/>
      <c r="D146" s="1867"/>
      <c r="E146" s="1867"/>
      <c r="F146" s="1876">
        <v>0.05</v>
      </c>
    </row>
    <row r="147" spans="1:6" ht="24.75" thickBot="1">
      <c r="A147" s="1853" t="s">
        <v>1410</v>
      </c>
      <c r="B147" s="1857" t="s">
        <v>2115</v>
      </c>
      <c r="C147" s="1867"/>
      <c r="D147" s="1867"/>
      <c r="E147" s="1867"/>
      <c r="F147" s="1859">
        <v>0.05</v>
      </c>
    </row>
    <row r="148" spans="1:6" ht="24.75" thickBot="1">
      <c r="A148" s="1853" t="s">
        <v>1410</v>
      </c>
      <c r="B148" s="1857" t="s">
        <v>2116</v>
      </c>
      <c r="C148" s="1867"/>
      <c r="D148" s="1867"/>
      <c r="E148" s="1867"/>
      <c r="F148" s="1859">
        <v>0.05</v>
      </c>
    </row>
    <row r="149" spans="1:6" ht="24.75" thickBot="1">
      <c r="A149" s="1853" t="s">
        <v>1410</v>
      </c>
      <c r="B149" s="1857" t="s">
        <v>2117</v>
      </c>
      <c r="C149" s="1867"/>
      <c r="D149" s="1867"/>
      <c r="E149" s="1867"/>
      <c r="F149" s="1859">
        <v>0.05</v>
      </c>
    </row>
    <row r="150" spans="1:6" ht="24.75" thickBot="1">
      <c r="A150" s="1853" t="s">
        <v>1410</v>
      </c>
      <c r="B150" s="1857" t="s">
        <v>2118</v>
      </c>
      <c r="C150" s="1867"/>
      <c r="D150" s="1867"/>
      <c r="E150" s="1867"/>
      <c r="F150" s="1859">
        <v>0.05</v>
      </c>
    </row>
    <row r="151" spans="1:6" ht="24.75" thickBot="1">
      <c r="A151" s="1853" t="s">
        <v>1410</v>
      </c>
      <c r="B151" s="1857" t="s">
        <v>2119</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2120</v>
      </c>
      <c r="C153" s="1867"/>
      <c r="D153" s="1867"/>
      <c r="E153" s="1867"/>
      <c r="F153" s="1859">
        <v>0.05</v>
      </c>
    </row>
    <row r="154" spans="1:6" ht="14.25" thickBot="1">
      <c r="A154" s="1853" t="s">
        <v>1410</v>
      </c>
      <c r="B154" s="1857" t="s">
        <v>2121</v>
      </c>
      <c r="C154" s="1867"/>
      <c r="D154" s="1867"/>
      <c r="E154" s="1867"/>
      <c r="F154" s="1859">
        <v>0.05</v>
      </c>
    </row>
    <row r="155" spans="1:6" ht="24.75" thickBot="1">
      <c r="A155" s="1853" t="s">
        <v>1410</v>
      </c>
      <c r="B155" s="1857" t="s">
        <v>2122</v>
      </c>
      <c r="C155" s="1867"/>
      <c r="D155" s="1867"/>
      <c r="E155" s="1867"/>
      <c r="F155" s="1859">
        <v>0.05</v>
      </c>
    </row>
    <row r="156" spans="1:6" ht="24.75" thickBot="1">
      <c r="A156" s="1853" t="s">
        <v>1410</v>
      </c>
      <c r="B156" s="1857" t="s">
        <v>2123</v>
      </c>
      <c r="C156" s="1867"/>
      <c r="D156" s="1867"/>
      <c r="E156" s="1867"/>
      <c r="F156" s="1859">
        <v>0.05</v>
      </c>
    </row>
    <row r="157" spans="1:6" ht="14.25" thickBot="1">
      <c r="A157" s="1861" t="s">
        <v>1410</v>
      </c>
      <c r="B157" s="1868" t="s">
        <v>2124</v>
      </c>
      <c r="C157" s="1864"/>
      <c r="D157" s="1864"/>
      <c r="E157" s="1864"/>
      <c r="F157" s="1869">
        <v>0.05</v>
      </c>
    </row>
    <row r="158" spans="1:6" ht="14.25" thickBot="1">
      <c r="A158" s="1853" t="s">
        <v>1412</v>
      </c>
      <c r="B158" s="1854" t="s">
        <v>2125</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2126</v>
      </c>
      <c r="C171" s="1858">
        <v>0.127</v>
      </c>
      <c r="D171" s="1858">
        <v>0.126</v>
      </c>
      <c r="E171" s="1858">
        <v>0.126</v>
      </c>
      <c r="F171" s="1859">
        <v>0.11799999999999999</v>
      </c>
    </row>
    <row r="172" spans="1:6" ht="14.25" thickBot="1">
      <c r="A172" s="1853" t="s">
        <v>1412</v>
      </c>
      <c r="B172" s="1857" t="s">
        <v>2127</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2128</v>
      </c>
      <c r="C174" s="1858">
        <v>0.13</v>
      </c>
      <c r="D174" s="1858">
        <v>0.13</v>
      </c>
      <c r="E174" s="1858">
        <v>0.13</v>
      </c>
      <c r="F174" s="1859">
        <v>0.13</v>
      </c>
    </row>
    <row r="175" spans="1:6" ht="14.25" thickBot="1">
      <c r="A175" s="1853" t="s">
        <v>1412</v>
      </c>
      <c r="B175" s="1857" t="s">
        <v>2129</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2130</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2131</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2132</v>
      </c>
      <c r="C185" s="1858">
        <v>0.127</v>
      </c>
      <c r="D185" s="1858">
        <v>0.127</v>
      </c>
      <c r="E185" s="1858">
        <v>0.128</v>
      </c>
      <c r="F185" s="1859">
        <v>0.13</v>
      </c>
    </row>
    <row r="186" spans="1:6" ht="24.75" thickBot="1">
      <c r="A186" s="1853" t="s">
        <v>1412</v>
      </c>
      <c r="B186" s="1857" t="s">
        <v>2133</v>
      </c>
      <c r="C186" s="1867"/>
      <c r="D186" s="1867"/>
      <c r="E186" s="1867"/>
      <c r="F186" s="1859">
        <v>0.05</v>
      </c>
    </row>
    <row r="187" spans="1:6" ht="14.25" thickBot="1">
      <c r="A187" s="1853" t="s">
        <v>1412</v>
      </c>
      <c r="B187" s="1857" t="s">
        <v>2134</v>
      </c>
      <c r="C187" s="1867"/>
      <c r="D187" s="1867"/>
      <c r="E187" s="1867"/>
      <c r="F187" s="1859">
        <v>0.05</v>
      </c>
    </row>
    <row r="188" spans="1:6" ht="14.25" thickBot="1">
      <c r="A188" s="1853" t="s">
        <v>1412</v>
      </c>
      <c r="B188" s="1857" t="s">
        <v>2135</v>
      </c>
      <c r="C188" s="1867"/>
      <c r="D188" s="1867"/>
      <c r="E188" s="1867"/>
      <c r="F188" s="1859">
        <v>0.05</v>
      </c>
    </row>
    <row r="189" spans="1:6" ht="24.75" thickBot="1">
      <c r="A189" s="1853" t="s">
        <v>1412</v>
      </c>
      <c r="B189" s="1857" t="s">
        <v>2136</v>
      </c>
      <c r="C189" s="1867"/>
      <c r="D189" s="1867"/>
      <c r="E189" s="1867"/>
      <c r="F189" s="1859">
        <v>0.05</v>
      </c>
    </row>
    <row r="190" spans="1:6" ht="24.75" thickBot="1">
      <c r="A190" s="1853" t="s">
        <v>1412</v>
      </c>
      <c r="B190" s="1857" t="s">
        <v>2137</v>
      </c>
      <c r="C190" s="1867"/>
      <c r="D190" s="1867"/>
      <c r="E190" s="1867"/>
      <c r="F190" s="1859">
        <v>0.05</v>
      </c>
    </row>
    <row r="191" spans="1:6" ht="24.75" thickBot="1">
      <c r="A191" s="1853" t="s">
        <v>1412</v>
      </c>
      <c r="B191" s="1857" t="s">
        <v>2138</v>
      </c>
      <c r="C191" s="1867"/>
      <c r="D191" s="1867"/>
      <c r="E191" s="1867"/>
      <c r="F191" s="1859">
        <v>0.05</v>
      </c>
    </row>
    <row r="192" spans="1:6" ht="24.75" thickBot="1">
      <c r="A192" s="1853" t="s">
        <v>1412</v>
      </c>
      <c r="B192" s="1857" t="s">
        <v>2139</v>
      </c>
      <c r="C192" s="1867"/>
      <c r="D192" s="1867"/>
      <c r="E192" s="1867"/>
      <c r="F192" s="1859">
        <v>0.05</v>
      </c>
    </row>
    <row r="193" spans="1:6" ht="24.75" thickBot="1">
      <c r="A193" s="1853" t="s">
        <v>1412</v>
      </c>
      <c r="B193" s="1857" t="s">
        <v>2140</v>
      </c>
      <c r="C193" s="1867"/>
      <c r="D193" s="1867"/>
      <c r="E193" s="1867"/>
      <c r="F193" s="1859">
        <v>0.05</v>
      </c>
    </row>
    <row r="194" spans="1:6" ht="24.75" thickBot="1">
      <c r="A194" s="1853" t="s">
        <v>1412</v>
      </c>
      <c r="B194" s="1857" t="s">
        <v>2141</v>
      </c>
      <c r="C194" s="1867"/>
      <c r="D194" s="1867"/>
      <c r="E194" s="1867"/>
      <c r="F194" s="1859">
        <v>0.05</v>
      </c>
    </row>
    <row r="195" spans="1:6" ht="14.25" thickBot="1">
      <c r="A195" s="1853" t="s">
        <v>1412</v>
      </c>
      <c r="B195" s="1857" t="s">
        <v>2142</v>
      </c>
      <c r="C195" s="1867"/>
      <c r="D195" s="1867"/>
      <c r="E195" s="1867"/>
      <c r="F195" s="1859">
        <v>0.05</v>
      </c>
    </row>
    <row r="196" spans="1:6" ht="24.75" thickBot="1">
      <c r="A196" s="1853" t="s">
        <v>1412</v>
      </c>
      <c r="B196" s="1857" t="s">
        <v>2143</v>
      </c>
      <c r="C196" s="1867"/>
      <c r="D196" s="1867"/>
      <c r="E196" s="1867"/>
      <c r="F196" s="1859">
        <v>0.05</v>
      </c>
    </row>
    <row r="197" spans="1:6" ht="24.75" thickBot="1">
      <c r="A197" s="1853" t="s">
        <v>1412</v>
      </c>
      <c r="B197" s="1857" t="s">
        <v>2144</v>
      </c>
      <c r="C197" s="1867"/>
      <c r="D197" s="1867"/>
      <c r="E197" s="1867"/>
      <c r="F197" s="1859">
        <v>0.05</v>
      </c>
    </row>
    <row r="198" spans="1:6" ht="24.75" thickBot="1">
      <c r="A198" s="1853" t="s">
        <v>1412</v>
      </c>
      <c r="B198" s="1857" t="s">
        <v>2145</v>
      </c>
      <c r="C198" s="1867"/>
      <c r="D198" s="1867"/>
      <c r="E198" s="1867"/>
      <c r="F198" s="1859">
        <v>0.05</v>
      </c>
    </row>
    <row r="199" spans="1:6" ht="24.75" thickBot="1">
      <c r="A199" s="1853" t="s">
        <v>1412</v>
      </c>
      <c r="B199" s="1857" t="s">
        <v>2146</v>
      </c>
      <c r="C199" s="1867"/>
      <c r="D199" s="1867"/>
      <c r="E199" s="1867"/>
      <c r="F199" s="1859">
        <v>0.05</v>
      </c>
    </row>
    <row r="200" spans="1:6" ht="24.75" thickBot="1">
      <c r="A200" s="1853" t="s">
        <v>1412</v>
      </c>
      <c r="B200" s="1857" t="s">
        <v>2147</v>
      </c>
      <c r="C200" s="1867"/>
      <c r="D200" s="1867"/>
      <c r="E200" s="1867"/>
      <c r="F200" s="1859">
        <v>0.05</v>
      </c>
    </row>
    <row r="201" spans="1:6" ht="24.75" thickBot="1">
      <c r="A201" s="1853" t="s">
        <v>1412</v>
      </c>
      <c r="B201" s="1857" t="s">
        <v>2148</v>
      </c>
      <c r="C201" s="1867"/>
      <c r="D201" s="1867"/>
      <c r="E201" s="1867"/>
      <c r="F201" s="1859">
        <v>0.05</v>
      </c>
    </row>
    <row r="202" spans="1:6" ht="24.75" thickBot="1">
      <c r="A202" s="1853" t="s">
        <v>1412</v>
      </c>
      <c r="B202" s="1857" t="s">
        <v>2149</v>
      </c>
      <c r="C202" s="1867"/>
      <c r="D202" s="1867"/>
      <c r="E202" s="1867"/>
      <c r="F202" s="1859">
        <v>0.05</v>
      </c>
    </row>
    <row r="203" spans="1:6" ht="24.75" thickBot="1">
      <c r="A203" s="1853" t="s">
        <v>1412</v>
      </c>
      <c r="B203" s="1857" t="s">
        <v>2150</v>
      </c>
      <c r="C203" s="1867"/>
      <c r="D203" s="1867"/>
      <c r="E203" s="1867"/>
      <c r="F203" s="1859">
        <v>0.05</v>
      </c>
    </row>
    <row r="204" spans="1:6" ht="14.25" thickBot="1">
      <c r="A204" s="1853" t="s">
        <v>1412</v>
      </c>
      <c r="B204" s="1857" t="s">
        <v>2151</v>
      </c>
      <c r="C204" s="1867"/>
      <c r="D204" s="1867"/>
      <c r="E204" s="1867"/>
      <c r="F204" s="1859">
        <v>0.05</v>
      </c>
    </row>
    <row r="205" spans="1:6" ht="14.25" thickBot="1">
      <c r="A205" s="1861" t="s">
        <v>1412</v>
      </c>
      <c r="B205" s="1868" t="s">
        <v>2152</v>
      </c>
      <c r="C205" s="1864"/>
      <c r="D205" s="1864"/>
      <c r="E205" s="1864"/>
      <c r="F205" s="1869">
        <v>0.05</v>
      </c>
    </row>
    <row r="206" spans="1:6" ht="14.25" thickBot="1">
      <c r="A206" s="1853" t="s">
        <v>1414</v>
      </c>
      <c r="B206" s="1854" t="s">
        <v>2153</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2154</v>
      </c>
      <c r="C210" s="1858">
        <v>0.15</v>
      </c>
      <c r="D210" s="1858">
        <v>0.15</v>
      </c>
      <c r="E210" s="1858">
        <v>0.15</v>
      </c>
      <c r="F210" s="1859">
        <v>0.13800000000000001</v>
      </c>
    </row>
    <row r="211" spans="1:6" ht="14.25" thickBot="1">
      <c r="A211" s="1853" t="s">
        <v>1414</v>
      </c>
      <c r="B211" s="1857" t="s">
        <v>2155</v>
      </c>
      <c r="C211" s="1858">
        <v>0.13700000000000001</v>
      </c>
      <c r="D211" s="1858">
        <v>0.13500000000000001</v>
      </c>
      <c r="E211" s="1858">
        <v>0.13600000000000001</v>
      </c>
      <c r="F211" s="1859">
        <v>0.1</v>
      </c>
    </row>
    <row r="212" spans="1:6" ht="14.25" thickBot="1">
      <c r="A212" s="1853" t="s">
        <v>1414</v>
      </c>
      <c r="B212" s="1857" t="s">
        <v>2156</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2157</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2158</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2159</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2160</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2161</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2162</v>
      </c>
      <c r="C231" s="1858">
        <v>0.128</v>
      </c>
      <c r="D231" s="1858">
        <v>0.125</v>
      </c>
      <c r="E231" s="1858">
        <v>0.13200000000000001</v>
      </c>
      <c r="F231" s="1866"/>
    </row>
    <row r="232" spans="1:6" ht="14.25" thickBot="1">
      <c r="A232" s="1853" t="s">
        <v>1414</v>
      </c>
      <c r="B232" s="1857" t="s">
        <v>2163</v>
      </c>
      <c r="C232" s="1858">
        <v>0.14499999999999999</v>
      </c>
      <c r="D232" s="1858">
        <v>0.14399999999999999</v>
      </c>
      <c r="E232" s="1858">
        <v>0.14599999999999999</v>
      </c>
      <c r="F232" s="1859">
        <v>0.13800000000000001</v>
      </c>
    </row>
    <row r="233" spans="1:6" ht="14.25" thickBot="1">
      <c r="A233" s="1853" t="s">
        <v>1414</v>
      </c>
      <c r="B233" s="1857" t="s">
        <v>2164</v>
      </c>
      <c r="C233" s="1858">
        <v>0.14499999999999999</v>
      </c>
      <c r="D233" s="1858">
        <v>0.14299999999999999</v>
      </c>
      <c r="E233" s="1858">
        <v>0.14199999999999999</v>
      </c>
      <c r="F233" s="1866"/>
    </row>
    <row r="234" spans="1:6" ht="14.25" thickBot="1">
      <c r="A234" s="1853" t="s">
        <v>1414</v>
      </c>
      <c r="B234" s="1857" t="s">
        <v>2165</v>
      </c>
      <c r="C234" s="1858">
        <v>0.14000000000000001</v>
      </c>
      <c r="D234" s="1858">
        <v>0.14000000000000001</v>
      </c>
      <c r="E234" s="1858">
        <v>0.14399999999999999</v>
      </c>
      <c r="F234" s="1866"/>
    </row>
    <row r="235" spans="1:6" ht="14.25" thickBot="1">
      <c r="A235" s="1853" t="s">
        <v>1414</v>
      </c>
      <c r="B235" s="1857" t="s">
        <v>2166</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2167</v>
      </c>
      <c r="C237" s="1867"/>
      <c r="D237" s="1867"/>
      <c r="E237" s="1867"/>
      <c r="F237" s="1859">
        <v>0.05</v>
      </c>
    </row>
    <row r="238" spans="1:6" ht="24.75" thickBot="1">
      <c r="A238" s="1853" t="s">
        <v>1414</v>
      </c>
      <c r="B238" s="1857" t="s">
        <v>2168</v>
      </c>
      <c r="C238" s="1867"/>
      <c r="D238" s="1867"/>
      <c r="E238" s="1867"/>
      <c r="F238" s="1859">
        <v>0.05</v>
      </c>
    </row>
    <row r="239" spans="1:6" ht="24.75" thickBot="1">
      <c r="A239" s="1853" t="s">
        <v>1414</v>
      </c>
      <c r="B239" s="1857" t="s">
        <v>2169</v>
      </c>
      <c r="C239" s="1867"/>
      <c r="D239" s="1867"/>
      <c r="E239" s="1867"/>
      <c r="F239" s="1859">
        <v>0.05</v>
      </c>
    </row>
    <row r="240" spans="1:6" ht="24.75" thickBot="1">
      <c r="A240" s="1853" t="s">
        <v>1414</v>
      </c>
      <c r="B240" s="1857" t="s">
        <v>2170</v>
      </c>
      <c r="C240" s="1867"/>
      <c r="D240" s="1867"/>
      <c r="E240" s="1867"/>
      <c r="F240" s="1859">
        <v>0.05</v>
      </c>
    </row>
    <row r="241" spans="1:6" ht="24.75" thickBot="1">
      <c r="A241" s="1853" t="s">
        <v>1414</v>
      </c>
      <c r="B241" s="1857" t="s">
        <v>2171</v>
      </c>
      <c r="C241" s="1867"/>
      <c r="D241" s="1867"/>
      <c r="E241" s="1867"/>
      <c r="F241" s="1859">
        <v>0.05</v>
      </c>
    </row>
    <row r="242" spans="1:6" ht="24.75" thickBot="1">
      <c r="A242" s="1853" t="s">
        <v>1414</v>
      </c>
      <c r="B242" s="1857" t="s">
        <v>2172</v>
      </c>
      <c r="C242" s="1867"/>
      <c r="D242" s="1867"/>
      <c r="E242" s="1867"/>
      <c r="F242" s="1859">
        <v>0.05</v>
      </c>
    </row>
    <row r="243" spans="1:6" ht="24.75" thickBot="1">
      <c r="A243" s="1853" t="s">
        <v>1414</v>
      </c>
      <c r="B243" s="1857" t="s">
        <v>2173</v>
      </c>
      <c r="C243" s="1867"/>
      <c r="D243" s="1867"/>
      <c r="E243" s="1867"/>
      <c r="F243" s="1859">
        <v>0.05</v>
      </c>
    </row>
    <row r="244" spans="1:6" ht="24.75" thickBot="1">
      <c r="A244" s="1861" t="s">
        <v>1414</v>
      </c>
      <c r="B244" s="1868" t="s">
        <v>2174</v>
      </c>
      <c r="C244" s="1864"/>
      <c r="D244" s="1864"/>
      <c r="E244" s="1864"/>
      <c r="F244" s="1869">
        <v>0.05</v>
      </c>
    </row>
    <row r="245" spans="1:6" ht="14.25" thickBot="1">
      <c r="A245" s="1853" t="s">
        <v>1416</v>
      </c>
      <c r="B245" s="1854" t="s">
        <v>2175</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2176</v>
      </c>
      <c r="C247" s="1858">
        <v>0.15</v>
      </c>
      <c r="D247" s="1858">
        <v>0.15</v>
      </c>
      <c r="E247" s="1858">
        <v>0.15</v>
      </c>
      <c r="F247" s="1859">
        <v>0.15</v>
      </c>
    </row>
    <row r="248" spans="1:6" ht="14.25" thickBot="1">
      <c r="A248" s="1853" t="s">
        <v>1416</v>
      </c>
      <c r="B248" s="1857" t="s">
        <v>2177</v>
      </c>
      <c r="C248" s="1858">
        <v>0.15</v>
      </c>
      <c r="D248" s="1858">
        <v>0.15</v>
      </c>
      <c r="E248" s="1858">
        <v>0.15</v>
      </c>
      <c r="F248" s="1859">
        <v>0.14000000000000001</v>
      </c>
    </row>
    <row r="249" spans="1:6" ht="14.25" thickBot="1">
      <c r="A249" s="1853" t="s">
        <v>1416</v>
      </c>
      <c r="B249" s="1857" t="s">
        <v>2178</v>
      </c>
      <c r="C249" s="1858">
        <v>0.15</v>
      </c>
      <c r="D249" s="1858">
        <v>0.14899999999999999</v>
      </c>
      <c r="E249" s="1858">
        <v>0.15</v>
      </c>
      <c r="F249" s="1859">
        <v>0.1</v>
      </c>
    </row>
    <row r="250" spans="1:6" ht="14.25" thickBot="1">
      <c r="A250" s="1853" t="s">
        <v>1416</v>
      </c>
      <c r="B250" s="1857" t="s">
        <v>2179</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2180</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2181</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2182</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2183</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2184</v>
      </c>
      <c r="C273" s="1858">
        <v>0.14199999999999999</v>
      </c>
      <c r="D273" s="1858">
        <v>0.14299999999999999</v>
      </c>
      <c r="E273" s="1858">
        <v>0.15</v>
      </c>
      <c r="F273" s="1859">
        <v>0.1</v>
      </c>
    </row>
    <row r="274" spans="1:6" ht="14.25" thickBot="1">
      <c r="A274" s="1853" t="s">
        <v>1416</v>
      </c>
      <c r="B274" s="1857" t="s">
        <v>2185</v>
      </c>
      <c r="C274" s="1858">
        <v>0.14799999999999999</v>
      </c>
      <c r="D274" s="1858">
        <v>0.14799999999999999</v>
      </c>
      <c r="E274" s="1858">
        <v>0.15</v>
      </c>
      <c r="F274" s="1859">
        <v>6.7000000000000004E-2</v>
      </c>
    </row>
    <row r="275" spans="1:6" ht="14.25" thickBot="1">
      <c r="A275" s="1853" t="s">
        <v>1416</v>
      </c>
      <c r="B275" s="1857" t="s">
        <v>2186</v>
      </c>
      <c r="C275" s="1858">
        <v>0.15</v>
      </c>
      <c r="D275" s="1858">
        <v>0.15</v>
      </c>
      <c r="E275" s="1858">
        <v>0.15</v>
      </c>
      <c r="F275" s="1859">
        <v>0.15</v>
      </c>
    </row>
    <row r="276" spans="1:6" ht="14.25" thickBot="1">
      <c r="A276" s="1853" t="s">
        <v>1416</v>
      </c>
      <c r="B276" s="1857" t="s">
        <v>2187</v>
      </c>
      <c r="C276" s="1858">
        <v>0.14499999999999999</v>
      </c>
      <c r="D276" s="1858">
        <v>0.14299999999999999</v>
      </c>
      <c r="E276" s="1858">
        <v>0.15</v>
      </c>
      <c r="F276" s="1859">
        <v>5.8999999999999997E-2</v>
      </c>
    </row>
    <row r="277" spans="1:6" ht="14.25" thickBot="1">
      <c r="A277" s="1853" t="s">
        <v>1416</v>
      </c>
      <c r="B277" s="1857" t="s">
        <v>2188</v>
      </c>
      <c r="C277" s="1858">
        <v>0.15</v>
      </c>
      <c r="D277" s="1858">
        <v>0.15</v>
      </c>
      <c r="E277" s="1858">
        <v>0.15</v>
      </c>
      <c r="F277" s="1859">
        <v>0.121</v>
      </c>
    </row>
    <row r="278" spans="1:6" ht="14.25" thickBot="1">
      <c r="A278" s="1853" t="s">
        <v>1416</v>
      </c>
      <c r="B278" s="1857" t="s">
        <v>2189</v>
      </c>
      <c r="C278" s="1858">
        <v>0.15</v>
      </c>
      <c r="D278" s="1858">
        <v>0.15</v>
      </c>
      <c r="E278" s="1858">
        <v>0.15</v>
      </c>
      <c r="F278" s="1859">
        <v>0.13800000000000001</v>
      </c>
    </row>
    <row r="279" spans="1:6" ht="24.75" thickBot="1">
      <c r="A279" s="1853" t="s">
        <v>1416</v>
      </c>
      <c r="B279" s="1857" t="s">
        <v>2190</v>
      </c>
      <c r="C279" s="1867"/>
      <c r="D279" s="1867"/>
      <c r="E279" s="1867"/>
      <c r="F279" s="1859">
        <v>0.05</v>
      </c>
    </row>
    <row r="280" spans="1:6" ht="24.75" thickBot="1">
      <c r="A280" s="1853" t="s">
        <v>1416</v>
      </c>
      <c r="B280" s="1857" t="s">
        <v>2191</v>
      </c>
      <c r="C280" s="1867"/>
      <c r="D280" s="1867"/>
      <c r="E280" s="1867"/>
      <c r="F280" s="1859">
        <v>0.05</v>
      </c>
    </row>
    <row r="281" spans="1:6" ht="24.75" thickBot="1">
      <c r="A281" s="1853" t="s">
        <v>1416</v>
      </c>
      <c r="B281" s="1857" t="s">
        <v>2192</v>
      </c>
      <c r="C281" s="1867"/>
      <c r="D281" s="1867"/>
      <c r="E281" s="1867"/>
      <c r="F281" s="1859">
        <v>0.05</v>
      </c>
    </row>
    <row r="282" spans="1:6" ht="24.75" thickBot="1">
      <c r="A282" s="1853" t="s">
        <v>1416</v>
      </c>
      <c r="B282" s="1857" t="s">
        <v>2193</v>
      </c>
      <c r="C282" s="1867"/>
      <c r="D282" s="1867"/>
      <c r="E282" s="1867"/>
      <c r="F282" s="1859">
        <v>0.05</v>
      </c>
    </row>
    <row r="283" spans="1:6" ht="24.75" thickBot="1">
      <c r="A283" s="1853" t="s">
        <v>1416</v>
      </c>
      <c r="B283" s="1857" t="s">
        <v>2194</v>
      </c>
      <c r="C283" s="1867"/>
      <c r="D283" s="1867"/>
      <c r="E283" s="1867"/>
      <c r="F283" s="1859">
        <v>0.05</v>
      </c>
    </row>
    <row r="284" spans="1:6" ht="24.75" thickBot="1">
      <c r="A284" s="1853" t="s">
        <v>1416</v>
      </c>
      <c r="B284" s="1857" t="s">
        <v>2195</v>
      </c>
      <c r="C284" s="1867"/>
      <c r="D284" s="1867"/>
      <c r="E284" s="1867"/>
      <c r="F284" s="1859">
        <v>0.05</v>
      </c>
    </row>
    <row r="285" spans="1:6" ht="24.75" thickBot="1">
      <c r="A285" s="1853" t="s">
        <v>1416</v>
      </c>
      <c r="B285" s="1857" t="s">
        <v>2196</v>
      </c>
      <c r="C285" s="1867"/>
      <c r="D285" s="1867"/>
      <c r="E285" s="1867"/>
      <c r="F285" s="1859">
        <v>0.05</v>
      </c>
    </row>
    <row r="286" spans="1:6" ht="24.75" thickBot="1">
      <c r="A286" s="1853" t="s">
        <v>1416</v>
      </c>
      <c r="B286" s="1857" t="s">
        <v>2197</v>
      </c>
      <c r="C286" s="1867"/>
      <c r="D286" s="1867"/>
      <c r="E286" s="1867"/>
      <c r="F286" s="1859">
        <v>0.05</v>
      </c>
    </row>
    <row r="287" spans="1:6" ht="24.75" thickBot="1">
      <c r="A287" s="1853" t="s">
        <v>1416</v>
      </c>
      <c r="B287" s="1857" t="s">
        <v>2198</v>
      </c>
      <c r="C287" s="1867"/>
      <c r="D287" s="1867"/>
      <c r="E287" s="1867"/>
      <c r="F287" s="1859">
        <v>0.05</v>
      </c>
    </row>
    <row r="288" spans="1:6" ht="24.75" thickBot="1">
      <c r="A288" s="1853" t="s">
        <v>1416</v>
      </c>
      <c r="B288" s="1857" t="s">
        <v>2199</v>
      </c>
      <c r="C288" s="1867"/>
      <c r="D288" s="1867"/>
      <c r="E288" s="1867"/>
      <c r="F288" s="1859">
        <v>0.05</v>
      </c>
    </row>
    <row r="289" spans="1:6" ht="24.75" thickBot="1">
      <c r="A289" s="1861" t="s">
        <v>1416</v>
      </c>
      <c r="B289" s="1868" t="s">
        <v>2200</v>
      </c>
      <c r="C289" s="1864"/>
      <c r="D289" s="1864"/>
      <c r="E289" s="1864"/>
      <c r="F289" s="1869">
        <v>0.05</v>
      </c>
    </row>
    <row r="290" spans="1:6" ht="14.25" thickBot="1">
      <c r="A290" s="1853" t="s">
        <v>1420</v>
      </c>
      <c r="B290" s="1854" t="s">
        <v>2201</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2202</v>
      </c>
      <c r="C292" s="1858">
        <v>0.15</v>
      </c>
      <c r="D292" s="1858">
        <v>0.15</v>
      </c>
      <c r="E292" s="1858">
        <v>0.15</v>
      </c>
      <c r="F292" s="1859">
        <v>0.14699999999999999</v>
      </c>
    </row>
    <row r="293" spans="1:6" ht="14.25" thickBot="1">
      <c r="A293" s="1853" t="s">
        <v>1420</v>
      </c>
      <c r="B293" s="1857" t="s">
        <v>2203</v>
      </c>
      <c r="C293" s="1867"/>
      <c r="D293" s="1867"/>
      <c r="E293" s="1867"/>
      <c r="F293" s="1859">
        <v>0.1</v>
      </c>
    </row>
    <row r="294" spans="1:6" ht="14.25" thickBot="1">
      <c r="A294" s="1853" t="s">
        <v>1420</v>
      </c>
      <c r="B294" s="1857" t="s">
        <v>2204</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2205</v>
      </c>
      <c r="C296" s="1858">
        <v>0.15</v>
      </c>
      <c r="D296" s="1858">
        <v>0.15</v>
      </c>
      <c r="E296" s="1858">
        <v>0.15</v>
      </c>
      <c r="F296" s="1859">
        <v>0.15</v>
      </c>
    </row>
    <row r="297" spans="1:6" ht="14.25" thickBot="1">
      <c r="A297" s="1853" t="s">
        <v>1420</v>
      </c>
      <c r="B297" s="1857" t="s">
        <v>2206</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2207</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2208</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2209</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2210</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2211</v>
      </c>
      <c r="C310" s="1858">
        <v>0.15</v>
      </c>
      <c r="D310" s="1858">
        <v>0.15</v>
      </c>
      <c r="E310" s="1858">
        <v>0.15</v>
      </c>
      <c r="F310" s="1859">
        <v>0.13700000000000001</v>
      </c>
    </row>
    <row r="311" spans="1:6" ht="14.25" thickBot="1">
      <c r="A311" s="1853" t="s">
        <v>1420</v>
      </c>
      <c r="B311" s="1857" t="s">
        <v>2212</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2213</v>
      </c>
      <c r="C313" s="1858">
        <v>0.15</v>
      </c>
      <c r="D313" s="1858">
        <v>0.15</v>
      </c>
      <c r="E313" s="1858">
        <v>0.15</v>
      </c>
      <c r="F313" s="1859">
        <v>0.15</v>
      </c>
    </row>
    <row r="314" spans="1:6" ht="24.75" thickBot="1">
      <c r="A314" s="1853" t="s">
        <v>1420</v>
      </c>
      <c r="B314" s="1857" t="s">
        <v>2214</v>
      </c>
      <c r="C314" s="1867"/>
      <c r="D314" s="1867"/>
      <c r="E314" s="1867"/>
      <c r="F314" s="1859">
        <v>0.05</v>
      </c>
    </row>
    <row r="315" spans="1:6" ht="24.75" thickBot="1">
      <c r="A315" s="1853" t="s">
        <v>1420</v>
      </c>
      <c r="B315" s="1857" t="s">
        <v>2215</v>
      </c>
      <c r="C315" s="1867"/>
      <c r="D315" s="1867"/>
      <c r="E315" s="1867"/>
      <c r="F315" s="1859">
        <v>0.05</v>
      </c>
    </row>
    <row r="316" spans="1:6" ht="24.75" thickBot="1">
      <c r="A316" s="1861" t="s">
        <v>1420</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1108</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1177</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1197</v>
      </c>
      <c r="C328" s="1858">
        <v>0.15</v>
      </c>
      <c r="D328" s="1858">
        <v>0.15</v>
      </c>
      <c r="E328" s="1858">
        <v>0.15</v>
      </c>
      <c r="F328" s="1859">
        <v>0.14099999999999999</v>
      </c>
    </row>
    <row r="329" spans="1:6" ht="14.25" thickBot="1">
      <c r="A329" s="1853" t="s">
        <v>2217</v>
      </c>
      <c r="B329" s="1857" t="s">
        <v>1207</v>
      </c>
      <c r="C329" s="1858">
        <v>0.15</v>
      </c>
      <c r="D329" s="1858">
        <v>0.15</v>
      </c>
      <c r="E329" s="1858">
        <v>0.15</v>
      </c>
      <c r="F329" s="1859">
        <v>0.15</v>
      </c>
    </row>
    <row r="330" spans="1:6" ht="14.25" thickBot="1">
      <c r="A330" s="1853" t="s">
        <v>2217</v>
      </c>
      <c r="B330" s="1857" t="s">
        <v>1217</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1237</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1257</v>
      </c>
      <c r="C334" s="1858">
        <v>0.15</v>
      </c>
      <c r="D334" s="1858">
        <v>0.15</v>
      </c>
      <c r="E334" s="1858">
        <v>0.15</v>
      </c>
      <c r="F334" s="1859">
        <v>0.15</v>
      </c>
    </row>
    <row r="335" spans="1:6" ht="14.25" thickBot="1">
      <c r="A335" s="1853" t="s">
        <v>2217</v>
      </c>
      <c r="B335" s="1857" t="s">
        <v>1267</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1285</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2935</v>
      </c>
      <c r="B1" s="3100"/>
      <c r="C1" s="3100"/>
      <c r="D1" s="3100"/>
      <c r="E1" s="3100"/>
      <c r="F1" s="3100"/>
    </row>
    <row r="2" spans="1:6" ht="14.25">
      <c r="A2" s="3101" t="s">
        <v>2930</v>
      </c>
      <c r="B2" s="3102" t="e">
        <f ca="1">SUMIF(B7:B14,"&lt;&gt;#ref!",B7:B14)</f>
        <v>#DIV/0!</v>
      </c>
      <c r="C2" s="3101" t="s">
        <v>2931</v>
      </c>
      <c r="D2" s="3100"/>
      <c r="E2" s="3100"/>
      <c r="F2" s="3100"/>
    </row>
    <row r="3" spans="1:6" ht="14.25">
      <c r="A3" s="3101" t="s">
        <v>2964</v>
      </c>
      <c r="B3" s="3102" t="e">
        <f ca="1">ROUND(B2*10000/E3,0)</f>
        <v>#DIV/0!</v>
      </c>
      <c r="C3" s="3101" t="s">
        <v>2079</v>
      </c>
      <c r="D3" s="3101" t="s">
        <v>2932</v>
      </c>
      <c r="E3" s="3102">
        <f ca="1">SUMIF(E7:E14,"&lt;&gt;#ref!",E7:E14)</f>
        <v>0</v>
      </c>
      <c r="F3" s="3100"/>
    </row>
    <row r="4" spans="1:6" ht="14.25">
      <c r="A4" s="3101" t="s">
        <v>2939</v>
      </c>
      <c r="B4" s="3102" t="e">
        <f ca="1">ROUND(B2*10000/E4,0)</f>
        <v>#DIV/0!</v>
      </c>
      <c r="C4" s="3101" t="s">
        <v>2079</v>
      </c>
      <c r="D4" s="3101" t="s">
        <v>2940</v>
      </c>
      <c r="E4" s="3102">
        <f ca="1">SUMIF(F7:F14,"&lt;&gt;#ref!",F7:F14)</f>
        <v>0</v>
      </c>
      <c r="F4" s="3100"/>
    </row>
    <row r="5" spans="1:6" ht="14.25">
      <c r="A5" s="3103"/>
      <c r="B5" s="1879"/>
      <c r="C5" s="1879"/>
      <c r="D5" s="1879"/>
      <c r="E5" s="1879"/>
      <c r="F5" s="3100"/>
    </row>
    <row r="6" spans="1:6" ht="28.5">
      <c r="A6" s="3104" t="s">
        <v>2936</v>
      </c>
      <c r="B6" s="3101" t="s">
        <v>2933</v>
      </c>
      <c r="C6" s="3102"/>
      <c r="D6" s="1879"/>
      <c r="E6" s="3101" t="s">
        <v>2934</v>
      </c>
      <c r="F6" s="3101" t="s">
        <v>2938</v>
      </c>
    </row>
    <row r="7" spans="1:6" ht="14.25">
      <c r="A7" s="258" t="s">
        <v>2937</v>
      </c>
      <c r="B7" s="3105" t="e">
        <f ca="1">SUMIF(INDIRECT("'"&amp;A7&amp;"'"&amp;"!A:A"),"总价",INDIRECT("'"&amp;A7&amp;"'"&amp;"!B:B"))</f>
        <v>#DIV/0!</v>
      </c>
      <c r="C7" s="3101" t="s">
        <v>2931</v>
      </c>
      <c r="D7" s="1879"/>
      <c r="E7" s="3106">
        <f ca="1">SUMIF(INDIRECT("'"&amp;A7&amp;"'"&amp;"!C:C"),"建筑面积",INDIRECT("'"&amp;A7&amp;"'"&amp;"!D:D"))</f>
        <v>0</v>
      </c>
      <c r="F7" s="3106">
        <f ca="1">SUMIF(INDIRECT("'"&amp;A7&amp;"'"&amp;"!E:E"),"土地面积",INDIRECT("'"&amp;A7&amp;"'"&amp;"!F:F"))</f>
        <v>0</v>
      </c>
    </row>
    <row r="8" spans="1:6" ht="14.25">
      <c r="A8" s="258"/>
      <c r="B8" s="3105" t="e">
        <f t="shared" ref="B8:B14" ca="1" si="0">SUMIF(INDIRECT("'"&amp;A8&amp;"'"&amp;"!A:A"),"总价",INDIRECT("'"&amp;A8&amp;"'"&amp;"!B:B"))</f>
        <v>#REF!</v>
      </c>
      <c r="C8" s="3101" t="s">
        <v>2931</v>
      </c>
      <c r="D8" s="1879"/>
      <c r="E8" s="3106" t="e">
        <f t="shared" ref="E8:E14" ca="1" si="1">SUMIF(INDIRECT("'"&amp;A8&amp;"'"&amp;"!C:C"),"建筑面积",INDIRECT("'"&amp;A8&amp;"'"&amp;"!D:D"))</f>
        <v>#REF!</v>
      </c>
      <c r="F8" s="3106" t="e">
        <f t="shared" ref="F8:F14" ca="1" si="2">SUMIF(INDIRECT("'"&amp;A8&amp;"'"&amp;"!E:E"),"土地面积",INDIRECT("'"&amp;A8&amp;"'"&amp;"!F:F"))</f>
        <v>#REF!</v>
      </c>
    </row>
    <row r="9" spans="1:6" ht="14.25">
      <c r="A9" s="258"/>
      <c r="B9" s="3105" t="e">
        <f t="shared" ca="1" si="0"/>
        <v>#REF!</v>
      </c>
      <c r="C9" s="3101" t="s">
        <v>2931</v>
      </c>
      <c r="D9" s="1879"/>
      <c r="E9" s="3106" t="e">
        <f t="shared" ca="1" si="1"/>
        <v>#REF!</v>
      </c>
      <c r="F9" s="3106" t="e">
        <f t="shared" ca="1" si="2"/>
        <v>#REF!</v>
      </c>
    </row>
    <row r="10" spans="1:6" ht="14.25">
      <c r="A10" s="258"/>
      <c r="B10" s="3105" t="e">
        <f t="shared" ca="1" si="0"/>
        <v>#REF!</v>
      </c>
      <c r="C10" s="3101" t="s">
        <v>2931</v>
      </c>
      <c r="D10" s="1879"/>
      <c r="E10" s="3106" t="e">
        <f t="shared" ca="1" si="1"/>
        <v>#REF!</v>
      </c>
      <c r="F10" s="3106" t="e">
        <f t="shared" ca="1" si="2"/>
        <v>#REF!</v>
      </c>
    </row>
    <row r="11" spans="1:6" ht="14.25">
      <c r="A11" s="258"/>
      <c r="B11" s="3105" t="e">
        <f t="shared" ca="1" si="0"/>
        <v>#REF!</v>
      </c>
      <c r="C11" s="3101" t="s">
        <v>2931</v>
      </c>
      <c r="D11" s="1879"/>
      <c r="E11" s="3106" t="e">
        <f t="shared" ca="1" si="1"/>
        <v>#REF!</v>
      </c>
      <c r="F11" s="3106" t="e">
        <f t="shared" ca="1" si="2"/>
        <v>#REF!</v>
      </c>
    </row>
    <row r="12" spans="1:6" ht="14.25">
      <c r="A12" s="258"/>
      <c r="B12" s="3105" t="e">
        <f t="shared" ca="1" si="0"/>
        <v>#REF!</v>
      </c>
      <c r="C12" s="3101" t="s">
        <v>2931</v>
      </c>
      <c r="D12" s="1879"/>
      <c r="E12" s="3106" t="e">
        <f t="shared" ca="1" si="1"/>
        <v>#REF!</v>
      </c>
      <c r="F12" s="3106" t="e">
        <f t="shared" ca="1" si="2"/>
        <v>#REF!</v>
      </c>
    </row>
    <row r="13" spans="1:6" ht="14.25">
      <c r="A13" s="258"/>
      <c r="B13" s="3105" t="e">
        <f t="shared" ca="1" si="0"/>
        <v>#REF!</v>
      </c>
      <c r="C13" s="3101" t="s">
        <v>2931</v>
      </c>
      <c r="D13" s="1879"/>
      <c r="E13" s="3106" t="e">
        <f t="shared" ca="1" si="1"/>
        <v>#REF!</v>
      </c>
      <c r="F13" s="3106" t="e">
        <f t="shared" ca="1" si="2"/>
        <v>#REF!</v>
      </c>
    </row>
    <row r="14" spans="1:6" ht="14.25">
      <c r="A14" s="3099"/>
      <c r="B14" s="3105" t="e">
        <f t="shared" ca="1" si="0"/>
        <v>#REF!</v>
      </c>
      <c r="C14" s="3101" t="s">
        <v>2931</v>
      </c>
      <c r="D14" s="1879"/>
      <c r="E14" s="3106" t="e">
        <f t="shared" ca="1" si="1"/>
        <v>#REF!</v>
      </c>
      <c r="F14" s="310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85" t="s">
        <v>2373</v>
      </c>
      <c r="F1" s="2386">
        <f ca="1">J54</f>
        <v>-3</v>
      </c>
      <c r="G1" s="772">
        <f>MATCH(C1,'数据-取费表'!A6:A16,0)+5</f>
        <v>8</v>
      </c>
      <c r="H1" s="1348"/>
      <c r="I1" s="2049"/>
      <c r="J1" s="2049"/>
      <c r="K1" s="2050"/>
      <c r="L1" s="2049"/>
      <c r="M1" s="2049"/>
      <c r="N1" s="2051"/>
      <c r="O1" s="2051"/>
      <c r="P1" s="2051"/>
      <c r="Q1" s="2051"/>
      <c r="R1" s="2051"/>
      <c r="S1" s="2051"/>
      <c r="T1" s="2051"/>
      <c r="U1" s="2051"/>
      <c r="V1" s="2051"/>
      <c r="W1" s="2051"/>
      <c r="X1" s="2051"/>
      <c r="Y1" s="2051"/>
    </row>
    <row r="2" spans="1:25" ht="18" customHeight="1">
      <c r="A2" s="1643" t="s">
        <v>629</v>
      </c>
      <c r="B2" s="773">
        <f ca="1">IF(ISERROR(C45+J31),0,C45+J31)</f>
        <v>0</v>
      </c>
      <c r="C2" s="1349"/>
      <c r="D2" s="2053"/>
      <c r="E2" s="2054"/>
      <c r="F2" s="2054"/>
      <c r="G2" s="1589"/>
      <c r="H2" s="1361"/>
      <c r="I2" s="2055"/>
      <c r="J2" s="2055"/>
      <c r="K2" s="2056"/>
      <c r="L2" s="2055"/>
      <c r="M2" s="2055"/>
    </row>
    <row r="3" spans="1:25" ht="18" customHeight="1">
      <c r="A3" s="1644" t="s">
        <v>1687</v>
      </c>
      <c r="B3" s="1390">
        <f ca="1">ROUND(B2*10000/'数据-汇总表'!E3,0)</f>
        <v>0</v>
      </c>
      <c r="C3" s="1349"/>
      <c r="D3" s="2053"/>
      <c r="E3" s="2054"/>
      <c r="F3" s="2054"/>
      <c r="G3" s="1589"/>
      <c r="H3" s="774" t="s">
        <v>695</v>
      </c>
      <c r="I3" s="2055"/>
      <c r="J3" s="2055"/>
      <c r="K3" s="2056"/>
      <c r="L3" s="2055"/>
      <c r="M3" s="2055"/>
    </row>
    <row r="4" spans="1:25" ht="18" customHeight="1">
      <c r="A4" s="1645" t="s">
        <v>696</v>
      </c>
      <c r="B4" s="1350">
        <f ca="1">ROUND(B2*10000/'数据-汇总表'!D3,0)</f>
        <v>0</v>
      </c>
      <c r="C4" s="426"/>
      <c r="D4" s="2053"/>
      <c r="E4" s="2054"/>
      <c r="F4" s="2054"/>
      <c r="G4" s="1589"/>
      <c r="H4" s="774"/>
      <c r="I4" s="2055"/>
      <c r="J4" s="2055"/>
      <c r="K4" s="2056"/>
      <c r="L4" s="2055"/>
      <c r="M4" s="2055"/>
    </row>
    <row r="5" spans="1:25" ht="18" customHeight="1" thickBot="1">
      <c r="A5" s="1646"/>
      <c r="B5" s="428">
        <f ca="1">ROUND(B2/('数据-汇总表'!D3/666.67),0)</f>
        <v>0</v>
      </c>
      <c r="C5" s="429" t="s">
        <v>697</v>
      </c>
      <c r="D5" s="2053"/>
      <c r="E5" s="2054"/>
      <c r="F5" s="2054"/>
      <c r="G5" s="1589"/>
      <c r="H5" s="774"/>
      <c r="I5" s="2055"/>
      <c r="J5" s="2055"/>
      <c r="K5" s="2056"/>
      <c r="L5" s="2055"/>
      <c r="M5" s="2055"/>
    </row>
    <row r="6" spans="1:25" ht="18" customHeight="1">
      <c r="A6" s="1827" t="s">
        <v>698</v>
      </c>
      <c r="B6" s="1819" t="s">
        <v>699</v>
      </c>
      <c r="C6" s="1819" t="s">
        <v>632</v>
      </c>
      <c r="D6" s="1819" t="s">
        <v>633</v>
      </c>
      <c r="E6" s="777" t="s">
        <v>634</v>
      </c>
      <c r="F6" s="778"/>
      <c r="G6" s="1591"/>
      <c r="H6" s="1827" t="s">
        <v>630</v>
      </c>
      <c r="I6" s="1819" t="s">
        <v>631</v>
      </c>
      <c r="J6" s="1819" t="s">
        <v>632</v>
      </c>
      <c r="K6" s="1819" t="s">
        <v>633</v>
      </c>
      <c r="L6" s="777" t="s">
        <v>634</v>
      </c>
      <c r="M6" s="778"/>
    </row>
    <row r="7" spans="1:25" ht="18" customHeight="1">
      <c r="A7" s="779">
        <v>1</v>
      </c>
      <c r="B7" s="780" t="s">
        <v>2457</v>
      </c>
      <c r="C7" s="53">
        <f ca="1">C8+C12+C14</f>
        <v>0</v>
      </c>
      <c r="D7" s="2494" t="s">
        <v>2460</v>
      </c>
      <c r="E7" s="2488"/>
      <c r="F7" s="2489"/>
      <c r="G7" s="1591"/>
      <c r="H7" s="779">
        <v>1</v>
      </c>
      <c r="I7" s="780" t="s">
        <v>2457</v>
      </c>
      <c r="J7" s="53">
        <f ca="1">J8+J12+J14</f>
        <v>0</v>
      </c>
      <c r="K7" s="2494" t="s">
        <v>2460</v>
      </c>
      <c r="L7" s="2488"/>
      <c r="M7" s="2489"/>
    </row>
    <row r="8" spans="1:25" ht="18" customHeight="1">
      <c r="A8" s="1829" t="s">
        <v>1825</v>
      </c>
      <c r="B8" s="3460" t="s">
        <v>2462</v>
      </c>
      <c r="C8" s="1824">
        <f ca="1">ROUND(F8*F10*F9*(1-F11)/10000,0)</f>
        <v>0</v>
      </c>
      <c r="D8" s="1821" t="s">
        <v>2533</v>
      </c>
      <c r="E8" s="61" t="s">
        <v>637</v>
      </c>
      <c r="F8" s="783">
        <f ca="1">INDIRECT("'数据-取费表'!u"&amp;$G$1)</f>
        <v>0</v>
      </c>
      <c r="G8" s="1591"/>
      <c r="H8" s="2502" t="s">
        <v>1825</v>
      </c>
      <c r="I8" s="3460" t="s">
        <v>2462</v>
      </c>
      <c r="J8" s="781">
        <f ca="1">ROUND(M8*M10*M9*(1-M11)/10000,0)</f>
        <v>0</v>
      </c>
      <c r="K8" s="339" t="s">
        <v>2533</v>
      </c>
      <c r="L8" s="782" t="s">
        <v>1739</v>
      </c>
      <c r="M8" s="783">
        <f ca="1">INDIRECT("'数据-取费表'!z"&amp;$G$1)</f>
        <v>0</v>
      </c>
    </row>
    <row r="9" spans="1:25" ht="18" customHeight="1">
      <c r="A9" s="2498"/>
      <c r="B9" s="3461"/>
      <c r="C9" s="1825"/>
      <c r="D9" s="1822"/>
      <c r="E9" s="61" t="s">
        <v>638</v>
      </c>
      <c r="F9" s="783">
        <f ca="1">IF(INDIRECT("'数据-取费表'!ah"&amp;$G$1)="",INDIRECT("'数据-取费表'!k"&amp;$G$1),INDIRECT("'数据-取费表'!ah"&amp;$G$1))</f>
        <v>0</v>
      </c>
      <c r="G9" s="1591"/>
      <c r="H9" s="2487"/>
      <c r="I9" s="3461"/>
      <c r="J9" s="786"/>
      <c r="K9" s="787"/>
      <c r="L9" s="782" t="s">
        <v>1740</v>
      </c>
      <c r="M9" s="783">
        <f ca="1">F9</f>
        <v>0</v>
      </c>
    </row>
    <row r="10" spans="1:25" ht="18" customHeight="1">
      <c r="A10" s="2491"/>
      <c r="B10" s="3462"/>
      <c r="C10" s="1825"/>
      <c r="D10" s="1822"/>
      <c r="E10" s="61" t="s">
        <v>639</v>
      </c>
      <c r="F10" s="783">
        <f ca="1">INDIRECT("'数据-取费表'!ai"&amp;$G$1)</f>
        <v>0</v>
      </c>
      <c r="G10" s="1591"/>
      <c r="H10" s="2487"/>
      <c r="I10" s="3462"/>
      <c r="J10" s="786"/>
      <c r="K10" s="787"/>
      <c r="L10" s="782" t="s">
        <v>1741</v>
      </c>
      <c r="M10" s="783">
        <f ca="1">INDIRECT("'数据-取费表'!ai"&amp;$G$1)</f>
        <v>0</v>
      </c>
    </row>
    <row r="11" spans="1:25" ht="18" customHeight="1">
      <c r="A11" s="784"/>
      <c r="B11" s="3463"/>
      <c r="C11" s="1825"/>
      <c r="D11" s="1822"/>
      <c r="E11" s="61" t="s">
        <v>640</v>
      </c>
      <c r="F11" s="792">
        <f ca="1">INDIRECT("'数据-取费表'!w"&amp;$G$1)</f>
        <v>0</v>
      </c>
      <c r="G11" s="1591"/>
      <c r="H11" s="2503"/>
      <c r="I11" s="3462"/>
      <c r="J11" s="786"/>
      <c r="K11" s="787"/>
      <c r="L11" s="793" t="s">
        <v>1742</v>
      </c>
      <c r="M11" s="794">
        <f ca="1">INDIRECT("'数据-取费表'!ab"&amp;$G$1)</f>
        <v>0</v>
      </c>
    </row>
    <row r="12" spans="1:25" ht="18" customHeight="1">
      <c r="A12" s="1829" t="s">
        <v>1826</v>
      </c>
      <c r="B12" s="2492" t="s">
        <v>2458</v>
      </c>
      <c r="C12" s="797">
        <f ca="1">ROUND(IF(F12="押一",C8/12*F13,IF(F12="押二",C8/12*2*F13,IF(F12="押三",C8/12*3*F13,C13*F13))),0)</f>
        <v>0</v>
      </c>
      <c r="D12" s="2499" t="s">
        <v>2960</v>
      </c>
      <c r="E12" s="2496" t="s">
        <v>2463</v>
      </c>
      <c r="F12" s="2619"/>
      <c r="G12" s="1591"/>
      <c r="H12" s="2559" t="s">
        <v>1826</v>
      </c>
      <c r="I12" s="2564" t="s">
        <v>2458</v>
      </c>
      <c r="J12" s="781">
        <f ca="1">ROUND(IF(M12="押一",J8/12*M13,IF(M12="押二",J8/12*2*M13,IF(M12="押三",J8/12*3*M13,J13*M13))),0)</f>
        <v>0</v>
      </c>
      <c r="K12" s="2499" t="s">
        <v>2960</v>
      </c>
      <c r="L12" s="2496" t="s">
        <v>2463</v>
      </c>
      <c r="M12" s="2619"/>
    </row>
    <row r="13" spans="1:25" ht="18" customHeight="1">
      <c r="A13" s="788"/>
      <c r="B13" s="2493" t="s">
        <v>2572</v>
      </c>
      <c r="C13" s="2497"/>
      <c r="D13" s="787"/>
      <c r="E13" s="2496" t="s">
        <v>2455</v>
      </c>
      <c r="F13" s="794">
        <f ca="1">'数据-取费表'!B39</f>
        <v>1.4999999999999999E-2</v>
      </c>
      <c r="G13" s="1591"/>
      <c r="H13" s="2560"/>
      <c r="I13" s="2493" t="s">
        <v>2572</v>
      </c>
      <c r="J13" s="2497"/>
      <c r="K13" s="2561"/>
      <c r="L13" s="2496" t="s">
        <v>2455</v>
      </c>
      <c r="M13" s="2490">
        <f ca="1">'数据-取费表'!B39</f>
        <v>1.4999999999999999E-2</v>
      </c>
    </row>
    <row r="14" spans="1:25" ht="18" customHeight="1" thickBot="1">
      <c r="A14" s="2535" t="s">
        <v>2466</v>
      </c>
      <c r="B14" s="2536" t="s">
        <v>2459</v>
      </c>
      <c r="C14" s="2537"/>
      <c r="D14" s="2538"/>
      <c r="E14" s="2539"/>
      <c r="F14" s="2540"/>
      <c r="G14" s="1591"/>
      <c r="H14" s="2549" t="s">
        <v>2466</v>
      </c>
      <c r="I14" s="2562" t="s">
        <v>2459</v>
      </c>
      <c r="J14" s="2563"/>
      <c r="K14" s="2538"/>
      <c r="L14" s="2539"/>
      <c r="M14" s="2552"/>
    </row>
    <row r="15" spans="1:25" ht="18" customHeight="1" thickTop="1">
      <c r="A15" s="1828" t="s">
        <v>1875</v>
      </c>
      <c r="B15" s="1826" t="s">
        <v>641</v>
      </c>
      <c r="C15" s="790">
        <f ca="1">ROUND(C31*F15,0)</f>
        <v>0</v>
      </c>
      <c r="D15" s="1833" t="s">
        <v>642</v>
      </c>
      <c r="E15" s="793" t="s">
        <v>643</v>
      </c>
      <c r="F15" s="798">
        <f ca="1">INDIRECT("'数据-取费表'!y"&amp;$G$1)</f>
        <v>0</v>
      </c>
      <c r="G15" s="1591"/>
      <c r="H15" s="1828" t="s">
        <v>1827</v>
      </c>
      <c r="I15" s="1826" t="s">
        <v>644</v>
      </c>
      <c r="J15" s="1818">
        <f ca="1">ROUND(J16*J17,0)</f>
        <v>0</v>
      </c>
      <c r="K15" s="1820" t="s">
        <v>642</v>
      </c>
      <c r="L15" s="799"/>
      <c r="M15" s="800"/>
    </row>
    <row r="16" spans="1:25" ht="18" customHeight="1">
      <c r="A16" s="801" t="s">
        <v>1876</v>
      </c>
      <c r="B16" s="782" t="s">
        <v>645</v>
      </c>
      <c r="C16" s="802">
        <f ca="1">INDIRECT("'数据-取费表'!m"&amp;$G$1)+INDIRECT("'数据-取费表'!t"&amp;$G$1)</f>
        <v>0</v>
      </c>
      <c r="D16" s="1977" t="s">
        <v>646</v>
      </c>
      <c r="E16" s="1978"/>
      <c r="F16" s="803"/>
      <c r="G16" s="1591"/>
      <c r="H16" s="801" t="s">
        <v>2070</v>
      </c>
      <c r="I16" s="2229" t="s">
        <v>2824</v>
      </c>
      <c r="J16" s="53">
        <f ca="1">C31</f>
        <v>0</v>
      </c>
      <c r="K16" s="26"/>
      <c r="L16" s="799"/>
      <c r="M16" s="800"/>
    </row>
    <row r="17" spans="1:25" s="2062" customFormat="1" ht="18" customHeight="1">
      <c r="A17" s="801" t="s">
        <v>1850</v>
      </c>
      <c r="B17" s="782" t="s">
        <v>647</v>
      </c>
      <c r="C17" s="53">
        <f ca="1">ROUND(C16*F17,0)</f>
        <v>0</v>
      </c>
      <c r="D17" s="804" t="s">
        <v>648</v>
      </c>
      <c r="E17" s="804" t="s">
        <v>649</v>
      </c>
      <c r="F17" s="805">
        <f>'数据-取费表'!B33</f>
        <v>0.03</v>
      </c>
      <c r="G17" s="1592"/>
      <c r="H17" s="801" t="s">
        <v>2071</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6" t="s">
        <v>652</v>
      </c>
      <c r="L18" s="1980"/>
      <c r="M18" s="56"/>
    </row>
    <row r="19" spans="1:25" s="2062" customFormat="1" ht="18" customHeight="1">
      <c r="A19" s="801" t="s">
        <v>1852</v>
      </c>
      <c r="B19" s="782" t="s">
        <v>653</v>
      </c>
      <c r="C19" s="53">
        <f ca="1">ROUND(F19*(INDIRECT("'数据-取费表'!k"&amp;$G$1)+INDIRECT("'数据-取费表'!S"&amp;$G$1))/10000,0)</f>
        <v>0</v>
      </c>
      <c r="D19" s="782" t="s">
        <v>654</v>
      </c>
      <c r="E19" s="782" t="s">
        <v>655</v>
      </c>
      <c r="F19" s="56">
        <f>'数据-取费表'!B35</f>
        <v>200</v>
      </c>
      <c r="G19" s="1592"/>
      <c r="H19" s="801" t="s">
        <v>2070</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3">
        <f ca="1">ROUND(C16*F20,0)</f>
        <v>0</v>
      </c>
      <c r="D20" s="782" t="s">
        <v>648</v>
      </c>
      <c r="E20" s="782" t="s">
        <v>649</v>
      </c>
      <c r="F20" s="807">
        <f>'数据-取费表'!B36</f>
        <v>1.4999999999999999E-2</v>
      </c>
      <c r="G20" s="1592"/>
      <c r="H20" s="801" t="s">
        <v>1832</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1877</v>
      </c>
      <c r="B21" s="782" t="s">
        <v>662</v>
      </c>
      <c r="C21" s="53">
        <f ca="1">SUM(C16:C20)</f>
        <v>0</v>
      </c>
      <c r="D21" s="259" t="s">
        <v>663</v>
      </c>
      <c r="E21" s="1980"/>
      <c r="F21" s="56"/>
      <c r="G21" s="1591"/>
      <c r="H21" s="1829" t="s">
        <v>1850</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3">
        <f ca="1">ROUND(C21*F22,0)</f>
        <v>0</v>
      </c>
      <c r="D22" s="810" t="s">
        <v>667</v>
      </c>
      <c r="E22" s="782" t="s">
        <v>649</v>
      </c>
      <c r="F22" s="807">
        <f>'数据-取费表'!B37</f>
        <v>0.02</v>
      </c>
      <c r="G22" s="1592"/>
      <c r="H22" s="1831" t="s">
        <v>1851</v>
      </c>
      <c r="I22" s="1821" t="s">
        <v>668</v>
      </c>
      <c r="J22" s="54">
        <f ca="1">ROUND(M22*M23/10000,0)</f>
        <v>0</v>
      </c>
      <c r="K22" s="812" t="s">
        <v>669</v>
      </c>
      <c r="L22" s="782" t="s">
        <v>670</v>
      </c>
      <c r="M22" s="638">
        <f>'数据-取费表'!B52</f>
        <v>3</v>
      </c>
      <c r="N22" s="2061"/>
      <c r="O22" s="2061"/>
      <c r="P22" s="2061"/>
      <c r="Q22" s="2061"/>
      <c r="R22" s="2061"/>
      <c r="S22" s="2061"/>
      <c r="T22" s="2061"/>
      <c r="U22" s="2061"/>
      <c r="V22" s="2061"/>
      <c r="W22" s="2061"/>
      <c r="X22" s="2061"/>
      <c r="Y22" s="2061"/>
    </row>
    <row r="23" spans="1:25" s="2062" customFormat="1" ht="18" customHeight="1">
      <c r="A23" s="801" t="s">
        <v>1879</v>
      </c>
      <c r="B23" s="782" t="s">
        <v>671</v>
      </c>
      <c r="C23" s="53" t="s">
        <v>1</v>
      </c>
      <c r="D23" s="810" t="s">
        <v>672</v>
      </c>
      <c r="E23" s="782" t="s">
        <v>673</v>
      </c>
      <c r="F23" s="807">
        <f>'数据-取费表'!B38</f>
        <v>0.02</v>
      </c>
      <c r="G23" s="1592"/>
      <c r="H23" s="1832"/>
      <c r="I23" s="1823"/>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3"/>
      <c r="D24" s="2570" t="str">
        <f>IF(F25&lt;=1,"单利计息。","复利计息。")&amp;"建造成本、管理费用、销售费用产生的利息。"</f>
        <v>复利计息。建造成本、管理费用、销售费用产生的利息。</v>
      </c>
      <c r="E24" s="1980"/>
      <c r="F24" s="56"/>
      <c r="G24" s="1591"/>
      <c r="H24" s="1830" t="s">
        <v>2071</v>
      </c>
      <c r="I24" s="782" t="s">
        <v>676</v>
      </c>
      <c r="J24" s="53">
        <f ca="1">ROUND(J16*M24,0)</f>
        <v>0</v>
      </c>
      <c r="K24" s="1975" t="s">
        <v>677</v>
      </c>
      <c r="L24" s="782" t="s">
        <v>649</v>
      </c>
      <c r="M24" s="815">
        <f ca="1">INDIRECT("'数据-取费表'!Ak"&amp;$G$1)</f>
        <v>0</v>
      </c>
    </row>
    <row r="25" spans="1:25" s="2062" customFormat="1" ht="18" customHeight="1">
      <c r="A25" s="801" t="s">
        <v>1876</v>
      </c>
      <c r="B25" s="782" t="s">
        <v>2436</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3</v>
      </c>
      <c r="G25" s="1592"/>
      <c r="H25" s="801" t="s">
        <v>1879</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3">
        <f ca="1">ROUND(IF('数据-取费表'!B22&lt;=1,F23*F26*F25/2,F23*(POWER((1+F26),F25/2)-1)),4)</f>
        <v>1.4E-3</v>
      </c>
      <c r="D26" s="2569" t="str">
        <f>IF(F25&lt;=1,"销售费用×利率×(建设周期÷2)","销售费用×((1+利率)^(建设周期÷2)-1)")</f>
        <v>销售费用×((1+利率)^(建设周期÷2)-1)</v>
      </c>
      <c r="E26" s="782" t="s">
        <v>682</v>
      </c>
      <c r="F26" s="817">
        <f ca="1">'数据-取费表'!B40</f>
        <v>4.7500000000000001E-2</v>
      </c>
      <c r="G26" s="1592"/>
      <c r="H26" s="801" t="s">
        <v>1880</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3"/>
      <c r="D27" s="259" t="s">
        <v>685</v>
      </c>
      <c r="E27" s="1980"/>
      <c r="F27" s="56"/>
      <c r="G27" s="1591"/>
      <c r="H27" s="795" t="s">
        <v>1829</v>
      </c>
      <c r="I27" s="3009" t="s">
        <v>2821</v>
      </c>
      <c r="J27" s="797">
        <f ca="1">J7-J18</f>
        <v>0</v>
      </c>
      <c r="K27" s="1977" t="s">
        <v>700</v>
      </c>
      <c r="L27" s="1979"/>
      <c r="M27" s="818"/>
    </row>
    <row r="28" spans="1:25" ht="18" customHeight="1">
      <c r="A28" s="801" t="s">
        <v>1876</v>
      </c>
      <c r="B28" s="782" t="s">
        <v>2437</v>
      </c>
      <c r="C28" s="53">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1"/>
      <c r="H29" s="784"/>
      <c r="I29" s="785"/>
      <c r="J29" s="786"/>
      <c r="K29" s="819" t="s">
        <v>707</v>
      </c>
      <c r="L29" s="782" t="s">
        <v>708</v>
      </c>
      <c r="M29" s="820">
        <f ca="1">INDIRECT("'数据-取费表'!ag"&amp;$G$1)</f>
        <v>0</v>
      </c>
    </row>
    <row r="30" spans="1:25" s="2062" customFormat="1" ht="18" customHeight="1">
      <c r="A30" s="801" t="s">
        <v>1883</v>
      </c>
      <c r="B30" s="782" t="s">
        <v>687</v>
      </c>
      <c r="C30" s="53">
        <f>ROUND(F30/(1+'数据-取费表'!C42),4)</f>
        <v>5.2400000000000002E-2</v>
      </c>
      <c r="D30" s="810" t="s">
        <v>709</v>
      </c>
      <c r="E30" s="782" t="s">
        <v>649</v>
      </c>
      <c r="F30" s="807">
        <f>'数据-取费表'!B41</f>
        <v>5.5000000000000007E-2</v>
      </c>
      <c r="G30" s="1592"/>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2822</v>
      </c>
      <c r="C31" s="2542">
        <f ca="1">ROUND((C21+C22+C25+C28)/(1-F23-C26-C29-C30),0)</f>
        <v>0</v>
      </c>
      <c r="D31" s="2543"/>
      <c r="E31" s="2544"/>
      <c r="F31" s="2545"/>
      <c r="G31" s="1592"/>
      <c r="H31" s="821" t="s">
        <v>1873</v>
      </c>
      <c r="I31" s="3010" t="s">
        <v>2823</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8" t="s">
        <v>7</v>
      </c>
      <c r="B32" s="1826" t="s">
        <v>689</v>
      </c>
      <c r="C32" s="790">
        <f ca="1">ROUND(C33+C38+C39+C40,0)</f>
        <v>0</v>
      </c>
      <c r="D32" s="1820" t="s">
        <v>652</v>
      </c>
      <c r="E32" s="2485"/>
      <c r="F32" s="2489"/>
      <c r="G32" s="2060"/>
      <c r="H32" s="2063"/>
      <c r="I32" s="2064"/>
      <c r="J32" s="2065"/>
      <c r="K32" s="2066"/>
      <c r="L32" s="2067"/>
      <c r="M32" s="2068"/>
    </row>
    <row r="33" spans="1:18" ht="18" customHeight="1">
      <c r="A33" s="801" t="s">
        <v>1877</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4">
        <f ca="1">ROUND(F36*F37/10000,1)</f>
        <v>0</v>
      </c>
      <c r="D36" s="812" t="s">
        <v>669</v>
      </c>
      <c r="E36" s="782" t="s">
        <v>670</v>
      </c>
      <c r="F36" s="638">
        <f>'数据-取费表'!B52</f>
        <v>3</v>
      </c>
      <c r="G36" s="2060"/>
      <c r="H36" s="2063"/>
      <c r="I36" s="3459"/>
      <c r="J36" s="2077"/>
      <c r="K36" s="2078"/>
      <c r="L36" s="2077"/>
      <c r="M36" s="2077"/>
    </row>
    <row r="37" spans="1:18" ht="18" customHeight="1">
      <c r="A37" s="813"/>
      <c r="B37" s="791"/>
      <c r="C37" s="69"/>
      <c r="D37" s="814"/>
      <c r="E37" s="782" t="s">
        <v>674</v>
      </c>
      <c r="F37" s="783">
        <f ca="1">INDIRECT("'数据-取费表'!r"&amp;$G$1)</f>
        <v>0</v>
      </c>
      <c r="G37" s="2060"/>
      <c r="H37" s="2063"/>
      <c r="I37" s="3459"/>
      <c r="J37" s="2075"/>
      <c r="K37" s="2076"/>
      <c r="L37" s="2075"/>
      <c r="M37" s="2075"/>
    </row>
    <row r="38" spans="1:18" ht="18" customHeight="1">
      <c r="A38" s="801" t="s">
        <v>1878</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8">
        <v>4</v>
      </c>
      <c r="B41" s="1826" t="s">
        <v>692</v>
      </c>
      <c r="C41" s="1351"/>
      <c r="D41" s="1352"/>
      <c r="E41" s="1352"/>
      <c r="F41" s="1353"/>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4" t="s">
        <v>712</v>
      </c>
      <c r="E43" s="3117" t="s">
        <v>2948</v>
      </c>
      <c r="F43" s="3118">
        <f ca="1">INDIRECT("'数据-取费表'!j"&amp;$G$1)</f>
        <v>0</v>
      </c>
      <c r="G43" s="2060"/>
      <c r="H43" s="2060"/>
      <c r="I43" s="2060"/>
      <c r="J43" s="2060"/>
      <c r="K43" s="2081"/>
      <c r="L43" s="2060"/>
      <c r="M43" s="2060"/>
    </row>
    <row r="44" spans="1:18" ht="18" customHeight="1">
      <c r="A44" s="801" t="s">
        <v>1879</v>
      </c>
      <c r="B44" s="833" t="s">
        <v>713</v>
      </c>
      <c r="C44" s="1355">
        <f ca="1">C42-C43</f>
        <v>0</v>
      </c>
      <c r="D44" s="461" t="s">
        <v>714</v>
      </c>
      <c r="E44" s="462"/>
      <c r="F44" s="463"/>
      <c r="G44" s="2060"/>
      <c r="H44" s="2060"/>
      <c r="I44" s="2060"/>
      <c r="J44" s="2060"/>
      <c r="K44" s="2081"/>
      <c r="L44" s="2060"/>
      <c r="M44" s="2060"/>
    </row>
    <row r="45" spans="1:18" ht="18" customHeight="1">
      <c r="A45" s="801" t="s">
        <v>1880</v>
      </c>
      <c r="B45" s="1354" t="s">
        <v>715</v>
      </c>
      <c r="C45" s="3034">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19" t="s">
        <v>2951</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3155" t="str">
        <f ca="1">IF(M48="住宅",0,IF(L49&gt;J52,L61,J61))</f>
        <v>0</v>
      </c>
      <c r="O47" s="2392" t="s">
        <v>2409</v>
      </c>
      <c r="P47" s="1591"/>
      <c r="Q47" s="1603"/>
      <c r="R47" s="1591"/>
    </row>
    <row r="48" spans="1:18" s="2057" customFormat="1" ht="18" customHeight="1" thickBot="1">
      <c r="A48" s="2082"/>
      <c r="C48" s="2085"/>
      <c r="D48" s="2086"/>
      <c r="E48" s="2086"/>
      <c r="F48" s="2087"/>
      <c r="G48" s="2088"/>
      <c r="I48" s="3145" t="s">
        <v>2343</v>
      </c>
      <c r="J48" s="2379"/>
      <c r="K48" s="3152" t="s">
        <v>2348</v>
      </c>
      <c r="L48" s="3156">
        <f ca="1">INDIRECT("'数据-取费表'!d"&amp;$G$1)</f>
        <v>0</v>
      </c>
      <c r="M48" s="3116" t="str">
        <f>IF(ISNUMBER(FIND("住宅",C1)),"住宅","非住宅")</f>
        <v>非住宅</v>
      </c>
      <c r="O48" s="2393" t="s">
        <v>2374</v>
      </c>
      <c r="P48" s="2394" t="s">
        <v>2375</v>
      </c>
      <c r="Q48" s="2395" t="s">
        <v>2376</v>
      </c>
      <c r="R48" s="2394" t="s">
        <v>2377</v>
      </c>
    </row>
    <row r="49" spans="1:18" s="2057" customFormat="1" ht="18" customHeight="1" thickBot="1">
      <c r="A49" s="2082"/>
      <c r="D49" s="2089"/>
      <c r="E49" s="2090"/>
      <c r="F49" s="2087"/>
      <c r="G49" s="2088"/>
      <c r="H49" s="2091"/>
      <c r="I49" s="3121" t="s">
        <v>2344</v>
      </c>
      <c r="J49" s="2380"/>
      <c r="K49" s="3153" t="s">
        <v>2350</v>
      </c>
      <c r="L49" s="1906">
        <f ca="1">INDIRECT("'数据-取费表'!f"&amp;$G$1)</f>
        <v>0</v>
      </c>
      <c r="O49" s="2396" t="s">
        <v>2378</v>
      </c>
      <c r="P49" s="2397" t="s">
        <v>2404</v>
      </c>
      <c r="Q49" s="2398">
        <f ca="1">C41+J31</f>
        <v>0</v>
      </c>
      <c r="R49" s="2397" t="s">
        <v>2379</v>
      </c>
    </row>
    <row r="50" spans="1:18" s="2057" customFormat="1" ht="18" customHeight="1" thickBot="1">
      <c r="A50" s="2082"/>
      <c r="D50" s="2092"/>
      <c r="E50" s="2092"/>
      <c r="F50" s="2086"/>
      <c r="G50" s="2093"/>
      <c r="H50" s="2091"/>
      <c r="I50" s="3121" t="s">
        <v>2345</v>
      </c>
      <c r="J50" s="2381"/>
      <c r="K50" s="3154" t="s">
        <v>2351</v>
      </c>
      <c r="L50" s="2382"/>
      <c r="O50" s="2396" t="s">
        <v>2380</v>
      </c>
      <c r="P50" s="2397" t="s">
        <v>2405</v>
      </c>
      <c r="Q50" s="2398" t="str">
        <f ca="1">J61</f>
        <v>0</v>
      </c>
      <c r="R50" s="2397" t="s">
        <v>2381</v>
      </c>
    </row>
    <row r="51" spans="1:18" s="2057" customFormat="1" ht="18" customHeight="1" thickBot="1">
      <c r="A51" s="2094"/>
      <c r="D51" s="2092"/>
      <c r="E51" s="2092"/>
      <c r="F51" s="2083"/>
      <c r="H51" s="2091"/>
      <c r="I51" s="3121" t="s">
        <v>2346</v>
      </c>
      <c r="J51" s="3149">
        <f>SUMPRODUCT((I64:I66=J48)*(J63:L63=J49)*(J64:L66))</f>
        <v>0</v>
      </c>
      <c r="K51" s="3154" t="s">
        <v>2352</v>
      </c>
      <c r="L51" s="2382"/>
      <c r="O51" s="2399" t="s">
        <v>2382</v>
      </c>
      <c r="P51" s="2397" t="s">
        <v>2406</v>
      </c>
      <c r="Q51" s="2398">
        <f ca="1">C31</f>
        <v>0</v>
      </c>
      <c r="R51" s="2397" t="s">
        <v>2379</v>
      </c>
    </row>
    <row r="52" spans="1:18" s="2057" customFormat="1" ht="18" customHeight="1" thickBot="1">
      <c r="A52" s="2094"/>
      <c r="F52" s="2083"/>
      <c r="I52" s="3146" t="s">
        <v>2347</v>
      </c>
      <c r="J52" s="3150">
        <f>IF(J50="",J51,J50+J51-YEAR('数据-取费表'!B3))</f>
        <v>0</v>
      </c>
      <c r="K52" s="3121" t="s">
        <v>2353</v>
      </c>
      <c r="L52" s="3157">
        <f ca="1">ROUND(-PV(INDIRECT("'数据-取费表'!h"&amp;$G$1),L49,(C40-C14*J36),0),0)</f>
        <v>0</v>
      </c>
      <c r="O52" s="2399" t="s">
        <v>2383</v>
      </c>
      <c r="P52" s="2397" t="s">
        <v>2384</v>
      </c>
      <c r="Q52" s="2400" t="e">
        <f ca="1">J59</f>
        <v>#VALUE!</v>
      </c>
      <c r="R52" s="2401"/>
    </row>
    <row r="53" spans="1:18" s="2057" customFormat="1" ht="18" customHeight="1" thickBot="1">
      <c r="A53" s="2094"/>
      <c r="F53" s="2083"/>
      <c r="I53" s="3147" t="s">
        <v>2420</v>
      </c>
      <c r="J53" s="2383"/>
      <c r="K53" s="3147" t="s">
        <v>2419</v>
      </c>
      <c r="L53" s="2383"/>
      <c r="O53" s="2399" t="s">
        <v>2385</v>
      </c>
      <c r="P53" s="2397" t="s">
        <v>2386</v>
      </c>
      <c r="Q53" s="2400">
        <f>J53</f>
        <v>0</v>
      </c>
      <c r="R53" s="2401"/>
    </row>
    <row r="54" spans="1:18" s="2057" customFormat="1" ht="29.25" thickBot="1">
      <c r="A54" s="2094"/>
      <c r="I54" s="3148" t="s">
        <v>2965</v>
      </c>
      <c r="J54" s="3151">
        <f ca="1">IF(M48="住宅",MAX(J52,L49-'数据-取费表'!B20),MIN(J52,L49-'数据-取费表'!B20))</f>
        <v>-3</v>
      </c>
      <c r="K54" s="3464"/>
      <c r="L54" s="3465"/>
      <c r="O54" s="2399" t="s">
        <v>2387</v>
      </c>
      <c r="P54" s="2397" t="s">
        <v>2388</v>
      </c>
      <c r="Q54" s="2398">
        <f ca="1">J54</f>
        <v>-3</v>
      </c>
      <c r="R54" s="2397" t="s">
        <v>2389</v>
      </c>
    </row>
    <row r="55" spans="1:18" s="2057" customFormat="1" ht="18" customHeight="1" thickBot="1">
      <c r="A55" s="2094"/>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6" t="s">
        <v>2390</v>
      </c>
      <c r="P55" s="2397" t="s">
        <v>2407</v>
      </c>
      <c r="Q55" s="2398">
        <f ca="1">Q49+Q50</f>
        <v>0</v>
      </c>
      <c r="R55" s="2401" t="s">
        <v>2391</v>
      </c>
    </row>
    <row r="56" spans="1:18" s="2057" customFormat="1" ht="16.5" thickBot="1">
      <c r="A56" s="2094"/>
      <c r="B56" s="2095"/>
      <c r="C56" s="2095"/>
      <c r="I56" s="3160" t="s">
        <v>2354</v>
      </c>
      <c r="J56" s="3096" t="e">
        <f ca="1">ROUND(IF(J48="钢混",J58/J51,1-(1-2%)*(J51-J58)/J51),3)</f>
        <v>#VALUE!</v>
      </c>
      <c r="K56" s="3161" t="s">
        <v>2355</v>
      </c>
      <c r="L56" s="2384"/>
      <c r="O56" s="2402" t="s">
        <v>2410</v>
      </c>
      <c r="P56" s="1591"/>
      <c r="Q56" s="1603"/>
      <c r="R56" s="1591"/>
    </row>
    <row r="57" spans="1:18" s="2057" customFormat="1" ht="43.5" thickBot="1">
      <c r="A57" s="2094"/>
      <c r="B57" s="2095"/>
      <c r="C57" s="2095"/>
      <c r="I57" s="3162" t="s">
        <v>2356</v>
      </c>
      <c r="J57" s="3172" t="s">
        <v>1679</v>
      </c>
      <c r="K57" s="3121" t="s">
        <v>2361</v>
      </c>
      <c r="L57" s="1906">
        <f ca="1">IF(L49&lt;J52,"——",L49-J52)</f>
        <v>0</v>
      </c>
      <c r="O57" s="2393" t="s">
        <v>2374</v>
      </c>
      <c r="P57" s="2394" t="s">
        <v>2375</v>
      </c>
      <c r="Q57" s="2395" t="s">
        <v>2376</v>
      </c>
      <c r="R57" s="2394" t="s">
        <v>2377</v>
      </c>
    </row>
    <row r="58" spans="1:18" s="2057" customFormat="1" ht="29.25" thickBot="1">
      <c r="A58" s="2094"/>
      <c r="B58" s="2095"/>
      <c r="C58" s="2095"/>
      <c r="I58" s="3163" t="s">
        <v>2357</v>
      </c>
      <c r="J58" s="3164" t="str">
        <f ca="1">IF(OR(M48="住宅",J52&lt;L49,J57="是"),"——",J52-L49)</f>
        <v>——</v>
      </c>
      <c r="K58" s="3121" t="s">
        <v>2362</v>
      </c>
      <c r="L58" s="1906">
        <f ca="1">IF(L49&lt;J52,"——",IF(L56="比较法",L50,IF(L56="基准地价",L51,L52)))</f>
        <v>0</v>
      </c>
      <c r="O58" s="2396" t="s">
        <v>2378</v>
      </c>
      <c r="P58" s="2397" t="s">
        <v>2404</v>
      </c>
      <c r="Q58" s="2398">
        <f ca="1">C41+J31</f>
        <v>0</v>
      </c>
      <c r="R58" s="2397" t="s">
        <v>2379</v>
      </c>
    </row>
    <row r="59" spans="1:18" s="2057" customFormat="1" ht="29.25" thickBot="1">
      <c r="A59" s="2094"/>
      <c r="B59" s="2095"/>
      <c r="C59" s="2095"/>
      <c r="I59" s="3163" t="s">
        <v>2358</v>
      </c>
      <c r="J59" s="3097" t="e">
        <f ca="1">IF(J56&lt;0.4,0.4,J56)</f>
        <v>#VALUE!</v>
      </c>
      <c r="K59" s="3121" t="s">
        <v>2363</v>
      </c>
      <c r="L59" s="1906">
        <f ca="1">IF(ISERROR(POWER(1+L53,L48-L49)*(POWER(1+L53,L49)-1)/(POWER(1+L53,L48)-1)),0,POWER(1+L53,L48-L49)*(POWER(1+L53,L49)-1)/(POWER(1+L53,L48)-1))</f>
        <v>0</v>
      </c>
      <c r="O59" s="2396" t="s">
        <v>2380</v>
      </c>
      <c r="P59" s="2397" t="s">
        <v>2411</v>
      </c>
      <c r="Q59" s="2398" t="e">
        <f ca="1">L61</f>
        <v>#DIV/0!</v>
      </c>
      <c r="R59" s="2401" t="s">
        <v>2413</v>
      </c>
    </row>
    <row r="60" spans="1:18" s="2057" customFormat="1" ht="29.25" thickBot="1">
      <c r="A60" s="2094"/>
      <c r="B60" s="2095"/>
      <c r="C60" s="2095"/>
      <c r="I60" s="3163" t="s">
        <v>2359</v>
      </c>
      <c r="J60" s="3164" t="str">
        <f ca="1">IF(OR(M48="住宅",J52&lt;L49,J57="是"),"——",ROUND(C30*J59,0))</f>
        <v>——</v>
      </c>
      <c r="K60" s="3121" t="s">
        <v>2364</v>
      </c>
      <c r="L60" s="1906">
        <f ca="1">IF(ISERROR(POWER(1+L53,L48-J52)*(POWER(1+L53,J52)-1)/(POWER(1+L53,L48)-1)),0,POWER(1+L53,L48-J52)*(POWER(1+L53,J52)-1)/(POWER(1+L53,L48)-1))</f>
        <v>0</v>
      </c>
      <c r="O60" s="2399" t="s">
        <v>2382</v>
      </c>
      <c r="P60" s="2397" t="s">
        <v>2412</v>
      </c>
      <c r="Q60" s="2398">
        <f>IF(L56="比较法",L50,IF(L56="基准地价",L51,0))</f>
        <v>0</v>
      </c>
      <c r="R60" s="2397" t="s">
        <v>2379</v>
      </c>
    </row>
    <row r="61" spans="1:18" s="2057" customFormat="1" ht="15.75" thickBot="1">
      <c r="A61" s="2094"/>
      <c r="B61" s="2095"/>
      <c r="C61" s="2095"/>
      <c r="I61" s="3165" t="s">
        <v>2360</v>
      </c>
      <c r="J61" s="3166" t="str">
        <f ca="1">IF(OR(M48="住宅",J52&lt;L49,J57="是"),"0",ROUND(J60/(1+J53)^J54,0))</f>
        <v>0</v>
      </c>
      <c r="K61" s="3167" t="s">
        <v>2365</v>
      </c>
      <c r="L61" s="3166" t="e">
        <f ca="1">IF(OR(M48="住宅",L49&lt;J52),0,ROUND(L58*(L59/L60-1),0))</f>
        <v>#DIV/0!</v>
      </c>
      <c r="O61" s="2399" t="s">
        <v>2383</v>
      </c>
      <c r="P61" s="2397" t="s">
        <v>2392</v>
      </c>
      <c r="Q61" s="2400">
        <f>L53</f>
        <v>0</v>
      </c>
      <c r="R61" s="2401"/>
    </row>
    <row r="62" spans="1:18" s="2057" customFormat="1" ht="20.25" thickBot="1">
      <c r="A62" s="2094"/>
      <c r="B62" s="2095"/>
      <c r="C62" s="2095"/>
      <c r="K62" s="2084"/>
      <c r="O62" s="2399" t="s">
        <v>2385</v>
      </c>
      <c r="P62" s="2397" t="s">
        <v>2393</v>
      </c>
      <c r="Q62" s="2398">
        <f ca="1">L59</f>
        <v>0</v>
      </c>
      <c r="R62" s="2401" t="s">
        <v>2394</v>
      </c>
    </row>
    <row r="63" spans="1:18" s="2057" customFormat="1" ht="20.25" thickBot="1">
      <c r="A63" s="2094"/>
      <c r="B63" s="2095"/>
      <c r="C63" s="2095"/>
      <c r="I63" s="3168" t="s">
        <v>2366</v>
      </c>
      <c r="J63" s="3169" t="s">
        <v>2367</v>
      </c>
      <c r="K63" s="3169" t="s">
        <v>2368</v>
      </c>
      <c r="L63" s="3169" t="s">
        <v>2349</v>
      </c>
      <c r="M63" s="3170" t="s">
        <v>2928</v>
      </c>
      <c r="O63" s="2399" t="s">
        <v>2387</v>
      </c>
      <c r="P63" s="2397" t="s">
        <v>2395</v>
      </c>
      <c r="Q63" s="2398">
        <f ca="1">L60</f>
        <v>0</v>
      </c>
      <c r="R63" s="2401" t="s">
        <v>2396</v>
      </c>
    </row>
    <row r="64" spans="1:18" s="2057" customFormat="1" ht="15.75" thickBot="1">
      <c r="A64" s="2094"/>
      <c r="B64" s="2095"/>
      <c r="C64" s="2095"/>
      <c r="I64" s="3168" t="s">
        <v>2369</v>
      </c>
      <c r="J64" s="3169">
        <v>70</v>
      </c>
      <c r="K64" s="3169">
        <v>50</v>
      </c>
      <c r="L64" s="3169">
        <v>80</v>
      </c>
      <c r="M64" s="3171">
        <v>0.02</v>
      </c>
      <c r="O64" s="2396" t="s">
        <v>2390</v>
      </c>
      <c r="P64" s="2397" t="s">
        <v>2407</v>
      </c>
      <c r="Q64" s="2398" t="e">
        <f ca="1">Q58+Q59</f>
        <v>#DIV/0!</v>
      </c>
      <c r="R64" s="2401" t="s">
        <v>2391</v>
      </c>
    </row>
    <row r="65" spans="1:18" s="2057" customFormat="1" ht="16.5" thickBot="1">
      <c r="A65" s="2094"/>
      <c r="B65" s="2095"/>
      <c r="C65" s="2095"/>
      <c r="I65" s="3168" t="s">
        <v>2370</v>
      </c>
      <c r="J65" s="3169">
        <v>50</v>
      </c>
      <c r="K65" s="3169">
        <v>35</v>
      </c>
      <c r="L65" s="3169">
        <v>60</v>
      </c>
      <c r="M65" s="844">
        <v>0</v>
      </c>
      <c r="O65" s="2402" t="s">
        <v>2414</v>
      </c>
      <c r="P65" s="1591"/>
      <c r="Q65" s="1603"/>
      <c r="R65" s="1591"/>
    </row>
    <row r="66" spans="1:18" s="2057" customFormat="1" ht="15.75" thickBot="1">
      <c r="A66" s="2094"/>
      <c r="B66" s="2095"/>
      <c r="C66" s="2095"/>
      <c r="I66" s="3168" t="s">
        <v>2371</v>
      </c>
      <c r="J66" s="3169">
        <v>40</v>
      </c>
      <c r="K66" s="3169">
        <v>30</v>
      </c>
      <c r="L66" s="3169">
        <v>50</v>
      </c>
      <c r="M66" s="3171">
        <v>0.02</v>
      </c>
      <c r="O66" s="2393" t="s">
        <v>2374</v>
      </c>
      <c r="P66" s="2394" t="s">
        <v>2375</v>
      </c>
      <c r="Q66" s="2395" t="s">
        <v>2376</v>
      </c>
      <c r="R66" s="2394" t="s">
        <v>2377</v>
      </c>
    </row>
    <row r="67" spans="1:18" s="2057" customFormat="1" ht="15.75" thickBot="1">
      <c r="A67" s="2094"/>
      <c r="B67" s="2095"/>
      <c r="C67" s="2095"/>
      <c r="K67" s="2084"/>
      <c r="O67" s="2396" t="s">
        <v>2378</v>
      </c>
      <c r="P67" s="2397" t="s">
        <v>2404</v>
      </c>
      <c r="Q67" s="2398">
        <f ca="1">C41+J31</f>
        <v>0</v>
      </c>
      <c r="R67" s="2397" t="s">
        <v>2379</v>
      </c>
    </row>
    <row r="68" spans="1:18" s="2057" customFormat="1" ht="20.25" thickBot="1">
      <c r="A68" s="2094"/>
      <c r="B68" s="2095"/>
      <c r="C68" s="2095"/>
      <c r="K68" s="2084"/>
      <c r="O68" s="2396" t="s">
        <v>2380</v>
      </c>
      <c r="P68" s="2397" t="s">
        <v>2411</v>
      </c>
      <c r="Q68" s="2398" t="e">
        <f ca="1">L61</f>
        <v>#DIV/0!</v>
      </c>
      <c r="R68" s="2401" t="s">
        <v>2413</v>
      </c>
    </row>
    <row r="69" spans="1:18" s="2057" customFormat="1" ht="21.75" thickBot="1">
      <c r="A69" s="2094"/>
      <c r="B69" s="2095"/>
      <c r="C69" s="2095"/>
      <c r="K69" s="2084"/>
      <c r="O69" s="2399" t="s">
        <v>2382</v>
      </c>
      <c r="P69" s="2397" t="s">
        <v>2412</v>
      </c>
      <c r="Q69" s="2403">
        <f ca="1">L52</f>
        <v>0</v>
      </c>
      <c r="R69" s="2404" t="s">
        <v>2415</v>
      </c>
    </row>
    <row r="70" spans="1:18" s="2057" customFormat="1" ht="20.25" thickBot="1">
      <c r="A70" s="2094"/>
      <c r="B70" s="2095"/>
      <c r="C70" s="2095"/>
      <c r="K70" s="2084"/>
      <c r="O70" s="2399" t="s">
        <v>2383</v>
      </c>
      <c r="P70" s="2405" t="s">
        <v>2397</v>
      </c>
      <c r="Q70" s="2398">
        <f ca="1">ROUND(Q71-Q72*Q73,0)</f>
        <v>0</v>
      </c>
      <c r="R70" s="2401"/>
    </row>
    <row r="71" spans="1:18" s="2057" customFormat="1" ht="15.75" thickBot="1">
      <c r="A71" s="2094"/>
      <c r="B71" s="2095"/>
      <c r="C71" s="2095"/>
      <c r="K71" s="2084"/>
      <c r="O71" s="2399" t="s">
        <v>2398</v>
      </c>
      <c r="P71" s="2405" t="s">
        <v>2399</v>
      </c>
      <c r="Q71" s="2398">
        <f ca="1">C42</f>
        <v>0</v>
      </c>
      <c r="R71" s="2397" t="s">
        <v>2379</v>
      </c>
    </row>
    <row r="72" spans="1:18" s="2057" customFormat="1" ht="15.75" thickBot="1">
      <c r="A72" s="2094"/>
      <c r="B72" s="2095"/>
      <c r="C72" s="2095"/>
      <c r="K72" s="2084"/>
      <c r="O72" s="2399" t="s">
        <v>2400</v>
      </c>
      <c r="P72" s="2405" t="s">
        <v>2401</v>
      </c>
      <c r="Q72" s="2398">
        <f ca="1">C15</f>
        <v>0</v>
      </c>
      <c r="R72" s="2397" t="s">
        <v>2379</v>
      </c>
    </row>
    <row r="73" spans="1:18" s="2057" customFormat="1" ht="15.75" thickBot="1">
      <c r="A73" s="2094"/>
      <c r="B73" s="2095"/>
      <c r="C73" s="2095"/>
      <c r="K73" s="2084"/>
      <c r="O73" s="2399" t="s">
        <v>2402</v>
      </c>
      <c r="P73" s="2405" t="s">
        <v>2403</v>
      </c>
      <c r="Q73" s="2400">
        <f ca="1">F43</f>
        <v>0</v>
      </c>
      <c r="R73" s="2401"/>
    </row>
    <row r="74" spans="1:18" s="2057" customFormat="1" ht="15.75" thickBot="1">
      <c r="A74" s="2094"/>
      <c r="B74" s="2095"/>
      <c r="C74" s="2095"/>
      <c r="K74" s="2084"/>
      <c r="O74" s="2399" t="s">
        <v>2385</v>
      </c>
      <c r="P74" s="2397" t="s">
        <v>2392</v>
      </c>
      <c r="Q74" s="2400">
        <f>L53</f>
        <v>0</v>
      </c>
      <c r="R74" s="2401"/>
    </row>
    <row r="75" spans="1:18" s="2057" customFormat="1" ht="20.25" thickBot="1">
      <c r="A75" s="2094"/>
      <c r="B75" s="2095"/>
      <c r="C75" s="2095"/>
      <c r="K75" s="2084"/>
      <c r="O75" s="2399" t="s">
        <v>2387</v>
      </c>
      <c r="P75" s="2397" t="s">
        <v>2393</v>
      </c>
      <c r="Q75" s="2398">
        <f ca="1">L59</f>
        <v>0</v>
      </c>
      <c r="R75" s="2401" t="s">
        <v>2394</v>
      </c>
    </row>
    <row r="76" spans="1:18" s="2057" customFormat="1" ht="20.25" thickBot="1">
      <c r="A76" s="2094"/>
      <c r="B76" s="2095"/>
      <c r="C76" s="2095"/>
      <c r="K76" s="2084"/>
      <c r="O76" s="2399" t="s">
        <v>2416</v>
      </c>
      <c r="P76" s="2397" t="s">
        <v>2395</v>
      </c>
      <c r="Q76" s="2398">
        <f ca="1">L60</f>
        <v>0</v>
      </c>
      <c r="R76" s="2401" t="s">
        <v>2396</v>
      </c>
    </row>
    <row r="77" spans="1:18" s="2057" customFormat="1" ht="15.75" thickBot="1">
      <c r="A77" s="2094"/>
      <c r="B77" s="2095"/>
      <c r="C77" s="2095"/>
      <c r="K77" s="2084"/>
      <c r="O77" s="2396" t="s">
        <v>2390</v>
      </c>
      <c r="P77" s="2397" t="s">
        <v>2407</v>
      </c>
      <c r="Q77" s="2398" t="e">
        <f ca="1">Q67+Q68</f>
        <v>#DIV/0!</v>
      </c>
      <c r="R77" s="2401"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72" t="s">
        <v>2575</v>
      </c>
      <c r="C1" s="3472"/>
      <c r="D1" s="3472"/>
      <c r="E1" s="3472"/>
      <c r="F1" s="3472"/>
      <c r="G1" s="3471" t="s">
        <v>2576</v>
      </c>
      <c r="H1" s="3471"/>
      <c r="I1" s="3471"/>
      <c r="J1" s="3471"/>
      <c r="K1" s="3471"/>
      <c r="L1" s="3471"/>
      <c r="N1" s="3471" t="s">
        <v>2577</v>
      </c>
      <c r="O1" s="3471"/>
      <c r="P1" s="3471"/>
      <c r="Q1" s="3471"/>
      <c r="R1" s="2652"/>
      <c r="S1" s="3471" t="s">
        <v>2578</v>
      </c>
      <c r="T1" s="3471"/>
      <c r="U1" s="3471"/>
      <c r="V1" s="3471"/>
      <c r="X1" s="3470" t="s">
        <v>2638</v>
      </c>
      <c r="Y1" s="3471"/>
      <c r="Z1" s="3471"/>
      <c r="AA1" s="3471"/>
      <c r="AB1" s="3471"/>
      <c r="AD1" s="3470" t="s">
        <v>2642</v>
      </c>
      <c r="AE1" s="3471"/>
      <c r="AF1" s="3471"/>
      <c r="AG1" s="3471"/>
      <c r="AH1" s="3471"/>
    </row>
    <row r="2" spans="1:34" s="2754" customFormat="1" ht="14.25" thickBot="1">
      <c r="B2" s="2762" t="s">
        <v>2579</v>
      </c>
      <c r="C2" s="2762" t="s">
        <v>2640</v>
      </c>
      <c r="D2" s="2755" t="s">
        <v>1645</v>
      </c>
      <c r="E2" s="2755" t="s">
        <v>1952</v>
      </c>
      <c r="F2" s="2762" t="s">
        <v>2641</v>
      </c>
      <c r="G2" s="2758"/>
      <c r="H2" s="2757"/>
      <c r="I2" s="2762" t="s">
        <v>2942</v>
      </c>
      <c r="J2" s="2755" t="s">
        <v>2944</v>
      </c>
      <c r="K2" s="2755" t="s">
        <v>2945</v>
      </c>
      <c r="L2" s="2762" t="s">
        <v>2946</v>
      </c>
      <c r="N2" s="2762" t="s">
        <v>2579</v>
      </c>
      <c r="O2" s="2755" t="s">
        <v>2943</v>
      </c>
      <c r="P2" s="2755" t="s">
        <v>1952</v>
      </c>
      <c r="Q2" s="2762" t="s">
        <v>2641</v>
      </c>
      <c r="R2" s="2756"/>
      <c r="S2" s="2762" t="s">
        <v>2579</v>
      </c>
      <c r="T2" s="2755" t="s">
        <v>2943</v>
      </c>
      <c r="U2" s="2755" t="s">
        <v>1952</v>
      </c>
      <c r="V2" s="2762" t="s">
        <v>2641</v>
      </c>
      <c r="X2" s="2762" t="s">
        <v>2579</v>
      </c>
      <c r="Y2" s="2762" t="s">
        <v>2640</v>
      </c>
      <c r="Z2" s="2755" t="s">
        <v>1645</v>
      </c>
      <c r="AA2" s="2755" t="s">
        <v>1952</v>
      </c>
      <c r="AB2" s="2762" t="s">
        <v>2641</v>
      </c>
      <c r="AD2" s="2762" t="s">
        <v>2579</v>
      </c>
      <c r="AE2" s="2762" t="s">
        <v>2640</v>
      </c>
      <c r="AF2" s="2755" t="s">
        <v>1645</v>
      </c>
      <c r="AG2" s="2755" t="s">
        <v>1952</v>
      </c>
      <c r="AH2" s="2762" t="s">
        <v>2641</v>
      </c>
    </row>
    <row r="3" spans="1:34" s="3129" customFormat="1" ht="14.25">
      <c r="A3" s="3141" t="s">
        <v>2955</v>
      </c>
      <c r="B3" s="3130"/>
      <c r="C3" s="3130"/>
      <c r="D3" s="3131"/>
      <c r="E3" s="3131"/>
      <c r="F3" s="3130"/>
      <c r="G3" s="3132"/>
      <c r="H3" s="3133"/>
      <c r="I3" s="3140">
        <f>ROUND(AVERAGE($I8:$I23),2)</f>
        <v>2.4500000000000002</v>
      </c>
      <c r="J3" s="3140">
        <f>ROUND(AVERAGE($J8:$J23),2)</f>
        <v>1.65</v>
      </c>
      <c r="K3" s="3140">
        <f>ROUND(AVERAGE($K8:$K23),2)</f>
        <v>2.71</v>
      </c>
      <c r="L3" s="3140">
        <f>ROUND(AVERAGE($L8:$L23),2)</f>
        <v>1.39</v>
      </c>
      <c r="N3" s="3132"/>
      <c r="O3" s="3134"/>
      <c r="P3" s="3134"/>
      <c r="Q3" s="3134"/>
      <c r="R3" s="3134"/>
      <c r="S3" s="3132"/>
      <c r="T3" s="3134"/>
      <c r="U3" s="3134"/>
      <c r="V3" s="3134"/>
      <c r="W3" s="3137"/>
      <c r="X3" s="3135">
        <f>ROUND(SUMPRODUCT(PRODUCT(1+N3:N$22)),4)</f>
        <v>1.4733000000000001</v>
      </c>
      <c r="Y3" s="3135">
        <f>ROUND(SUMPRODUCT(PRODUCT(1+O3:O$22)),4)</f>
        <v>1.3052999999999999</v>
      </c>
      <c r="Z3" s="3135">
        <f t="shared" ref="Z3:Z20" si="0">Y3</f>
        <v>1.3052999999999999</v>
      </c>
      <c r="AA3" s="3135">
        <f>ROUND(SUMPRODUCT(PRODUCT(1+P3:P$22)),4)</f>
        <v>1.5306999999999999</v>
      </c>
      <c r="AB3" s="3135">
        <f>ROUND(SUMPRODUCT(PRODUCT(1+Q3:Q$22)),4)</f>
        <v>1.2863</v>
      </c>
      <c r="AD3" s="3136">
        <f>ROUND(AVERAGE(I3:I$23)/100,4)</f>
        <v>2.24E-2</v>
      </c>
      <c r="AE3" s="3136">
        <f>ROUND(AVERAGE(J3:J$23)/100,4)</f>
        <v>1.54E-2</v>
      </c>
      <c r="AF3" s="3136">
        <f t="shared" ref="AF3:AF21" si="1">AE3</f>
        <v>1.54E-2</v>
      </c>
      <c r="AG3" s="3136">
        <f>ROUND(AVERAGE(K3:K$23)/100,4)</f>
        <v>2.47E-2</v>
      </c>
      <c r="AH3" s="3136">
        <f>ROUND(AVERAGE(L3:L$23)/100,4)</f>
        <v>1.41E-2</v>
      </c>
    </row>
    <row r="4" spans="1:34" s="2747" customFormat="1" ht="14.25">
      <c r="B4" s="2748"/>
      <c r="C4" s="2748"/>
      <c r="D4" s="2749"/>
      <c r="E4" s="2749"/>
      <c r="F4" s="2748"/>
      <c r="G4" s="2753"/>
      <c r="H4" s="2750"/>
      <c r="I4" s="3122"/>
      <c r="J4" s="3122"/>
      <c r="K4" s="3122"/>
      <c r="L4" s="3122"/>
      <c r="N4" s="2753"/>
      <c r="O4" s="2751"/>
      <c r="P4" s="2751"/>
      <c r="Q4" s="2751"/>
      <c r="R4" s="2751"/>
      <c r="S4" s="2753"/>
      <c r="T4" s="2751"/>
      <c r="U4" s="2751"/>
      <c r="V4" s="2751"/>
      <c r="W4" s="3138"/>
      <c r="X4" s="2752"/>
      <c r="Y4" s="2752"/>
      <c r="Z4" s="2752"/>
      <c r="AA4" s="2752"/>
      <c r="AB4" s="2752"/>
      <c r="AD4" s="2672"/>
      <c r="AE4" s="2672"/>
      <c r="AF4" s="2672"/>
      <c r="AG4" s="2672"/>
      <c r="AH4" s="2672"/>
    </row>
    <row r="5" spans="1:34" s="3110" customFormat="1">
      <c r="A5" s="3108" t="s">
        <v>2966</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09">
        <v>3</v>
      </c>
      <c r="I5" s="3123">
        <v>1.49</v>
      </c>
      <c r="J5" s="3123">
        <v>0.96</v>
      </c>
      <c r="K5" s="3123">
        <v>1.58</v>
      </c>
      <c r="L5" s="3123">
        <v>2.44</v>
      </c>
      <c r="N5" s="2760">
        <f t="shared" ref="N5" si="6">I5/100</f>
        <v>1.49E-2</v>
      </c>
      <c r="O5" s="2760">
        <f t="shared" ref="O5" si="7">J5/100</f>
        <v>9.5999999999999992E-3</v>
      </c>
      <c r="P5" s="2760">
        <f t="shared" ref="P5" si="8">K5/100</f>
        <v>1.5800000000000002E-2</v>
      </c>
      <c r="Q5" s="2760">
        <f t="shared" ref="Q5" si="9">L5/100</f>
        <v>2.4399999999999998E-2</v>
      </c>
      <c r="R5" s="3111"/>
      <c r="S5" s="3112"/>
      <c r="T5" s="3111"/>
      <c r="U5" s="3111"/>
      <c r="V5" s="3111"/>
      <c r="W5" s="3139" t="s">
        <v>2956</v>
      </c>
      <c r="X5" s="3113">
        <f>ROUND(SUMPRODUCT(PRODUCT(1+N5:N$22)),4)</f>
        <v>1.4733000000000001</v>
      </c>
      <c r="Y5" s="3113">
        <f>ROUND(SUMPRODUCT(PRODUCT(1+O5:O$22)),4)</f>
        <v>1.3052999999999999</v>
      </c>
      <c r="Z5" s="3113">
        <f t="shared" ref="Z5" si="10">Y5</f>
        <v>1.3052999999999999</v>
      </c>
      <c r="AA5" s="3113">
        <f>ROUND(SUMPRODUCT(PRODUCT(1+P5:P$22)),4)</f>
        <v>1.5306999999999999</v>
      </c>
      <c r="AB5" s="3113">
        <f>ROUND(SUMPRODUCT(PRODUCT(1+Q5:Q$22)),4)</f>
        <v>1.2863</v>
      </c>
      <c r="AD5" s="3114">
        <f>ROUND(AVERAGE(I5:I$23)/100,4)</f>
        <v>2.23E-2</v>
      </c>
      <c r="AE5" s="3114">
        <f>ROUND(AVERAGE(J5:J$23)/100,4)</f>
        <v>1.54E-2</v>
      </c>
      <c r="AF5" s="3114">
        <f t="shared" ref="AF5" si="11">AE5</f>
        <v>1.54E-2</v>
      </c>
      <c r="AG5" s="3114">
        <f>ROUND(AVERAGE(K5:K$23)/100,4)</f>
        <v>2.4500000000000001E-2</v>
      </c>
      <c r="AH5" s="3114">
        <f>ROUND(AVERAGE(L5:L$23)/100,4)</f>
        <v>1.41E-2</v>
      </c>
    </row>
    <row r="6" spans="1:34" s="2759" customFormat="1" ht="13.5" thickBot="1">
      <c r="A6" s="2653" t="s">
        <v>2967</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28"/>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2962</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28"/>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2953</v>
      </c>
      <c r="B8" s="3143">
        <v>439</v>
      </c>
      <c r="C8" s="3143">
        <v>327</v>
      </c>
      <c r="D8" s="3143">
        <f t="shared" si="23"/>
        <v>327</v>
      </c>
      <c r="E8" s="3143">
        <v>627</v>
      </c>
      <c r="F8" s="3144">
        <v>283</v>
      </c>
      <c r="G8" s="3126">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2957</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28"/>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2580</v>
      </c>
      <c r="B10" s="2667">
        <f t="shared" si="35"/>
        <v>419.31181600000002</v>
      </c>
      <c r="C10" s="2667">
        <f t="shared" si="35"/>
        <v>313.95436800000004</v>
      </c>
      <c r="D10" s="2667">
        <f t="shared" si="23"/>
        <v>313.95436800000004</v>
      </c>
      <c r="E10" s="2667">
        <f t="shared" si="36"/>
        <v>596.63028431999999</v>
      </c>
      <c r="F10" s="2667">
        <f t="shared" si="36"/>
        <v>274.74220703999998</v>
      </c>
      <c r="G10" s="3127"/>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2581</v>
      </c>
      <c r="B11" s="2667">
        <f t="shared" si="35"/>
        <v>405.524</v>
      </c>
      <c r="C11" s="2667">
        <f t="shared" si="35"/>
        <v>307.79840000000002</v>
      </c>
      <c r="D11" s="2667">
        <f t="shared" si="23"/>
        <v>307.79840000000002</v>
      </c>
      <c r="E11" s="2667">
        <f t="shared" si="36"/>
        <v>574.67759999999998</v>
      </c>
      <c r="F11" s="2667">
        <f t="shared" si="36"/>
        <v>270.20280000000002</v>
      </c>
      <c r="G11" s="3128"/>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469">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67"/>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467"/>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468"/>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466">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67"/>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467"/>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468"/>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466">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67"/>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467"/>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468"/>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2639</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2582</v>
      </c>
      <c r="B24" s="2659">
        <v>299</v>
      </c>
      <c r="C24" s="2659">
        <v>252</v>
      </c>
      <c r="D24" s="2659">
        <f t="shared" si="45"/>
        <v>252</v>
      </c>
      <c r="E24" s="2659">
        <v>409</v>
      </c>
      <c r="F24" s="2660">
        <v>227</v>
      </c>
      <c r="G24" s="3473">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2583</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74"/>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2584</v>
      </c>
      <c r="B26" s="2667">
        <f t="shared" si="54"/>
        <v>288.2649053828776</v>
      </c>
      <c r="C26" s="2667">
        <f t="shared" si="54"/>
        <v>243.64564425013293</v>
      </c>
      <c r="D26" s="2667">
        <f t="shared" si="45"/>
        <v>243.64564425013293</v>
      </c>
      <c r="E26" s="2667">
        <f t="shared" si="55"/>
        <v>393.31080825986544</v>
      </c>
      <c r="F26" s="2667">
        <f t="shared" si="55"/>
        <v>223.07903790551154</v>
      </c>
      <c r="G26" s="3474"/>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2585</v>
      </c>
      <c r="B27" s="2667">
        <f t="shared" si="54"/>
        <v>282.50186729015837</v>
      </c>
      <c r="C27" s="2667">
        <f t="shared" si="54"/>
        <v>238.09796174155468</v>
      </c>
      <c r="D27" s="2667">
        <f t="shared" si="45"/>
        <v>238.09796174155468</v>
      </c>
      <c r="E27" s="2667">
        <f t="shared" si="55"/>
        <v>385.33438646014054</v>
      </c>
      <c r="F27" s="2667">
        <f t="shared" si="55"/>
        <v>221.55034055567739</v>
      </c>
      <c r="G27" s="3475"/>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2586</v>
      </c>
      <c r="B28" s="2697">
        <v>278</v>
      </c>
      <c r="C28" s="2697">
        <v>234</v>
      </c>
      <c r="D28" s="2697">
        <f t="shared" si="45"/>
        <v>234</v>
      </c>
      <c r="E28" s="2697">
        <v>379</v>
      </c>
      <c r="F28" s="2698">
        <v>220</v>
      </c>
      <c r="G28" s="3466">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2587</v>
      </c>
      <c r="B29" s="2667">
        <f>B28/(1+N28)</f>
        <v>275.49301357645425</v>
      </c>
      <c r="C29" s="2667">
        <f>C28/(1+O28)</f>
        <v>232.41954707985698</v>
      </c>
      <c r="D29" s="2667">
        <f t="shared" si="45"/>
        <v>232.41954707985698</v>
      </c>
      <c r="E29" s="2667">
        <f t="shared" ref="E29:F31" si="56">E28/(1+P28)</f>
        <v>375.32184591008121</v>
      </c>
      <c r="F29" s="2667">
        <f t="shared" si="56"/>
        <v>218.03766105054513</v>
      </c>
      <c r="G29" s="3467"/>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2588</v>
      </c>
      <c r="B30" s="2667">
        <f>B29/(1+N29)</f>
        <v>275.24529281292263</v>
      </c>
      <c r="C30" s="2667">
        <f>C29/(1+O29)</f>
        <v>231.74747938962707</v>
      </c>
      <c r="D30" s="2667">
        <f t="shared" si="45"/>
        <v>231.74747938962707</v>
      </c>
      <c r="E30" s="2667">
        <f t="shared" si="56"/>
        <v>375.35938184826603</v>
      </c>
      <c r="F30" s="2667">
        <f t="shared" si="56"/>
        <v>216.78033510692495</v>
      </c>
      <c r="G30" s="3467"/>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2589</v>
      </c>
      <c r="B31" s="2667">
        <f>B30/(1+N30)</f>
        <v>275.19025476197027</v>
      </c>
      <c r="C31" s="2699">
        <v>232</v>
      </c>
      <c r="D31" s="2699">
        <f t="shared" si="45"/>
        <v>232</v>
      </c>
      <c r="E31" s="2667">
        <f t="shared" si="56"/>
        <v>375.65990977608692</v>
      </c>
      <c r="F31" s="2667">
        <f t="shared" si="56"/>
        <v>214.12518283971252</v>
      </c>
      <c r="G31" s="3468"/>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2590</v>
      </c>
      <c r="B32" s="2659">
        <v>275</v>
      </c>
      <c r="C32" s="2659">
        <v>232</v>
      </c>
      <c r="D32" s="2659">
        <f t="shared" si="45"/>
        <v>232</v>
      </c>
      <c r="E32" s="2659">
        <v>376</v>
      </c>
      <c r="F32" s="2660">
        <v>213</v>
      </c>
      <c r="G32" s="3466">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2591</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67">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2592</v>
      </c>
      <c r="B34" s="2667">
        <f t="shared" si="57"/>
        <v>275.19335084830601</v>
      </c>
      <c r="C34" s="2667">
        <f t="shared" si="57"/>
        <v>230.18088050139744</v>
      </c>
      <c r="D34" s="2667">
        <f t="shared" si="45"/>
        <v>230.18088050139744</v>
      </c>
      <c r="E34" s="2667">
        <f t="shared" si="58"/>
        <v>377.58482925212331</v>
      </c>
      <c r="F34" s="2667">
        <f t="shared" si="58"/>
        <v>210.90687997847917</v>
      </c>
      <c r="G34" s="3467">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2593</v>
      </c>
      <c r="B35" s="2667">
        <f t="shared" si="57"/>
        <v>276.29854502841971</v>
      </c>
      <c r="C35" s="2667">
        <f t="shared" si="57"/>
        <v>229.79023709833027</v>
      </c>
      <c r="D35" s="2667">
        <f t="shared" si="45"/>
        <v>229.79023709833027</v>
      </c>
      <c r="E35" s="2667">
        <f t="shared" si="58"/>
        <v>379.78759731655936</v>
      </c>
      <c r="F35" s="2667">
        <f t="shared" si="58"/>
        <v>211.32953905659235</v>
      </c>
      <c r="G35" s="3468">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2594</v>
      </c>
      <c r="B36" s="2659">
        <v>269</v>
      </c>
      <c r="C36" s="2659">
        <v>221</v>
      </c>
      <c r="D36" s="2659">
        <f t="shared" si="45"/>
        <v>221</v>
      </c>
      <c r="E36" s="2659">
        <v>373</v>
      </c>
      <c r="F36" s="2660">
        <v>196</v>
      </c>
      <c r="G36" s="3466">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2595</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67">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2596</v>
      </c>
      <c r="B38" s="2667">
        <f t="shared" si="59"/>
        <v>242.95398227588385</v>
      </c>
      <c r="C38" s="2667">
        <f t="shared" si="59"/>
        <v>199.59137053614126</v>
      </c>
      <c r="D38" s="2667">
        <f t="shared" si="45"/>
        <v>199.59137053614126</v>
      </c>
      <c r="E38" s="2667">
        <f t="shared" si="60"/>
        <v>335.92189522342125</v>
      </c>
      <c r="F38" s="2667">
        <f t="shared" si="60"/>
        <v>183.10139991109489</v>
      </c>
      <c r="G38" s="3467">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2597</v>
      </c>
      <c r="B39" s="2667">
        <f t="shared" si="59"/>
        <v>232.06990378821649</v>
      </c>
      <c r="C39" s="2667">
        <f t="shared" si="59"/>
        <v>192.74878854286936</v>
      </c>
      <c r="D39" s="2667">
        <f t="shared" si="45"/>
        <v>192.74878854286936</v>
      </c>
      <c r="E39" s="2667">
        <f t="shared" si="60"/>
        <v>319.71247284992984</v>
      </c>
      <c r="F39" s="2667">
        <f t="shared" si="60"/>
        <v>175.67053622862409</v>
      </c>
      <c r="G39" s="3468">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2598</v>
      </c>
      <c r="B40" s="2659">
        <v>220</v>
      </c>
      <c r="C40" s="2659">
        <v>187</v>
      </c>
      <c r="D40" s="2659">
        <f t="shared" si="45"/>
        <v>187</v>
      </c>
      <c r="E40" s="2659">
        <v>301</v>
      </c>
      <c r="F40" s="2660">
        <v>168</v>
      </c>
      <c r="G40" s="3466">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2599</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67">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2600</v>
      </c>
      <c r="B42" s="2667">
        <f t="shared" si="61"/>
        <v>210.630522469011</v>
      </c>
      <c r="C42" s="2667">
        <f t="shared" si="61"/>
        <v>181.69567812247232</v>
      </c>
      <c r="D42" s="2667">
        <f t="shared" si="45"/>
        <v>181.69567812247232</v>
      </c>
      <c r="E42" s="2667">
        <f t="shared" si="62"/>
        <v>286.13517466736738</v>
      </c>
      <c r="F42" s="2667">
        <f t="shared" si="62"/>
        <v>165.47535084591149</v>
      </c>
      <c r="G42" s="3467">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2601</v>
      </c>
      <c r="B43" s="2667">
        <f t="shared" si="61"/>
        <v>208.83454537875372</v>
      </c>
      <c r="C43" s="2667">
        <f t="shared" si="61"/>
        <v>183.77230517090351</v>
      </c>
      <c r="D43" s="2667">
        <f t="shared" si="45"/>
        <v>183.77230517090351</v>
      </c>
      <c r="E43" s="2667">
        <f t="shared" si="62"/>
        <v>281.10342338870947</v>
      </c>
      <c r="F43" s="2667">
        <f t="shared" si="62"/>
        <v>168.97309388942256</v>
      </c>
      <c r="G43" s="3468">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2602</v>
      </c>
      <c r="B44" s="2697">
        <v>214</v>
      </c>
      <c r="C44" s="2697">
        <v>188</v>
      </c>
      <c r="D44" s="2697">
        <f t="shared" si="45"/>
        <v>188</v>
      </c>
      <c r="E44" s="2697">
        <v>289</v>
      </c>
      <c r="F44" s="2698">
        <v>166</v>
      </c>
      <c r="G44" s="3466">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2603</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67">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2604</v>
      </c>
      <c r="B46" s="2667">
        <f t="shared" si="63"/>
        <v>206.31694671589116</v>
      </c>
      <c r="C46" s="2667">
        <f t="shared" si="63"/>
        <v>183.61041121036101</v>
      </c>
      <c r="D46" s="2667">
        <f t="shared" si="45"/>
        <v>183.61041121036101</v>
      </c>
      <c r="E46" s="2667">
        <f t="shared" si="64"/>
        <v>276.66850301795557</v>
      </c>
      <c r="F46" s="2667">
        <f t="shared" si="64"/>
        <v>165.1360938278614</v>
      </c>
      <c r="G46" s="3467">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2605</v>
      </c>
      <c r="B47" s="2700">
        <f t="shared" si="63"/>
        <v>196.62341248059772</v>
      </c>
      <c r="C47" s="2700">
        <f t="shared" si="63"/>
        <v>170.99125648199012</v>
      </c>
      <c r="D47" s="2700">
        <f t="shared" si="45"/>
        <v>170.99125648199012</v>
      </c>
      <c r="E47" s="2700">
        <f t="shared" si="64"/>
        <v>266.07857570490052</v>
      </c>
      <c r="F47" s="2700">
        <f t="shared" si="64"/>
        <v>154.53499328828505</v>
      </c>
      <c r="G47" s="3468">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2606</v>
      </c>
      <c r="B48" s="2659">
        <v>188</v>
      </c>
      <c r="C48" s="2659">
        <v>165</v>
      </c>
      <c r="D48" s="2659">
        <f t="shared" si="45"/>
        <v>165</v>
      </c>
      <c r="E48" s="2659">
        <v>254</v>
      </c>
      <c r="F48" s="2660">
        <v>148</v>
      </c>
      <c r="G48" s="3466">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2607</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67">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2608</v>
      </c>
      <c r="B50" s="2667">
        <f t="shared" si="67"/>
        <v>168.82017748715555</v>
      </c>
      <c r="C50" s="2667">
        <f t="shared" si="67"/>
        <v>148.06267029972753</v>
      </c>
      <c r="D50" s="2667">
        <f t="shared" si="45"/>
        <v>148.06267029972753</v>
      </c>
      <c r="E50" s="2667">
        <f t="shared" si="68"/>
        <v>216.46288379323747</v>
      </c>
      <c r="F50" s="2667">
        <f t="shared" si="68"/>
        <v>134.23529411764704</v>
      </c>
      <c r="G50" s="3467">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2609</v>
      </c>
      <c r="B51" s="2667">
        <f t="shared" si="67"/>
        <v>163.84913591779542</v>
      </c>
      <c r="C51" s="2667">
        <f t="shared" si="67"/>
        <v>145.0283378746594</v>
      </c>
      <c r="D51" s="2667">
        <f t="shared" si="45"/>
        <v>145.0283378746594</v>
      </c>
      <c r="E51" s="2667">
        <f t="shared" si="68"/>
        <v>204.95180722891567</v>
      </c>
      <c r="F51" s="2667">
        <f t="shared" si="68"/>
        <v>125.95920303605313</v>
      </c>
      <c r="G51" s="3468">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2610</v>
      </c>
      <c r="B52" s="2681">
        <v>159</v>
      </c>
      <c r="C52" s="2681">
        <v>141</v>
      </c>
      <c r="D52" s="2681">
        <f t="shared" si="45"/>
        <v>141</v>
      </c>
      <c r="E52" s="2681">
        <v>195</v>
      </c>
      <c r="F52" s="2682">
        <v>122</v>
      </c>
      <c r="G52" s="3466">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2611</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67">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2612</v>
      </c>
      <c r="B54" s="2667">
        <f t="shared" si="71"/>
        <v>146.57412060301507</v>
      </c>
      <c r="C54" s="2667">
        <f t="shared" si="71"/>
        <v>136.46831955922866</v>
      </c>
      <c r="D54" s="2667">
        <f t="shared" si="45"/>
        <v>136.46831955922866</v>
      </c>
      <c r="E54" s="2667">
        <f t="shared" si="72"/>
        <v>166.73864894795128</v>
      </c>
      <c r="F54" s="2667">
        <f t="shared" si="72"/>
        <v>115.05882352941177</v>
      </c>
      <c r="G54" s="3467">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2613</v>
      </c>
      <c r="B55" s="2667">
        <f t="shared" si="71"/>
        <v>144.04145728643215</v>
      </c>
      <c r="C55" s="2667">
        <f t="shared" si="71"/>
        <v>136.12396694214877</v>
      </c>
      <c r="D55" s="2667">
        <f t="shared" si="45"/>
        <v>136.12396694214877</v>
      </c>
      <c r="E55" s="2667">
        <f t="shared" si="72"/>
        <v>158.32225913621264</v>
      </c>
      <c r="F55" s="2667">
        <f t="shared" si="72"/>
        <v>114.04278074866311</v>
      </c>
      <c r="G55" s="3468">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2614</v>
      </c>
      <c r="B56" s="2681">
        <v>138</v>
      </c>
      <c r="C56" s="2681">
        <v>131</v>
      </c>
      <c r="D56" s="2681">
        <f t="shared" si="45"/>
        <v>131</v>
      </c>
      <c r="E56" s="2681">
        <v>155</v>
      </c>
      <c r="F56" s="2682">
        <v>114</v>
      </c>
      <c r="G56" s="3466">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2615</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67">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2616</v>
      </c>
      <c r="B58" s="2667">
        <f t="shared" si="75"/>
        <v>124.29032258064517</v>
      </c>
      <c r="C58" s="2667">
        <f t="shared" si="75"/>
        <v>123.8968609865471</v>
      </c>
      <c r="D58" s="2667">
        <f t="shared" si="45"/>
        <v>123.8968609865471</v>
      </c>
      <c r="E58" s="2667">
        <f t="shared" si="76"/>
        <v>138.00507614213197</v>
      </c>
      <c r="F58" s="2667">
        <f t="shared" si="76"/>
        <v>107.96106557377048</v>
      </c>
      <c r="G58" s="3467">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2617</v>
      </c>
      <c r="B59" s="2667">
        <f t="shared" si="75"/>
        <v>122.57204301075269</v>
      </c>
      <c r="C59" s="2667">
        <f t="shared" si="75"/>
        <v>123.4932735426009</v>
      </c>
      <c r="D59" s="2667">
        <f t="shared" si="45"/>
        <v>123.4932735426009</v>
      </c>
      <c r="E59" s="2667">
        <f t="shared" si="76"/>
        <v>129.82233502538071</v>
      </c>
      <c r="F59" s="2667">
        <f t="shared" si="76"/>
        <v>107.39446721311475</v>
      </c>
      <c r="G59" s="3468">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2618</v>
      </c>
      <c r="B60" s="2697">
        <v>121</v>
      </c>
      <c r="C60" s="2697">
        <v>122</v>
      </c>
      <c r="D60" s="2697">
        <f t="shared" si="45"/>
        <v>122</v>
      </c>
      <c r="E60" s="2697">
        <v>124</v>
      </c>
      <c r="F60" s="2698">
        <v>107</v>
      </c>
      <c r="G60" s="3466">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2619</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67">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2620</v>
      </c>
      <c r="B62" s="2667">
        <f t="shared" si="79"/>
        <v>116.99099099099099</v>
      </c>
      <c r="C62" s="2667">
        <f t="shared" si="79"/>
        <v>118.84848484848486</v>
      </c>
      <c r="D62" s="2667">
        <f t="shared" si="45"/>
        <v>118.84848484848486</v>
      </c>
      <c r="E62" s="2667">
        <f t="shared" si="80"/>
        <v>117.60960960960961</v>
      </c>
      <c r="F62" s="2667">
        <f t="shared" si="80"/>
        <v>104</v>
      </c>
      <c r="G62" s="3467">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2621</v>
      </c>
      <c r="B63" s="2700">
        <f t="shared" si="79"/>
        <v>112.48648648648648</v>
      </c>
      <c r="C63" s="2700">
        <f t="shared" si="79"/>
        <v>115.21212121212122</v>
      </c>
      <c r="D63" s="2700">
        <f t="shared" si="45"/>
        <v>115.21212121212122</v>
      </c>
      <c r="E63" s="2700">
        <f t="shared" si="80"/>
        <v>110.4024024024024</v>
      </c>
      <c r="F63" s="2700">
        <f t="shared" si="80"/>
        <v>104</v>
      </c>
      <c r="G63" s="3468">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2622</v>
      </c>
      <c r="B64" s="2718">
        <v>111</v>
      </c>
      <c r="C64" s="2718">
        <v>114</v>
      </c>
      <c r="D64" s="2718">
        <f t="shared" si="45"/>
        <v>114</v>
      </c>
      <c r="E64" s="2718">
        <v>108</v>
      </c>
      <c r="F64" s="2719">
        <v>104</v>
      </c>
      <c r="G64" s="3466">
        <v>2003</v>
      </c>
      <c r="H64" s="2708">
        <v>4</v>
      </c>
      <c r="I64" s="2720"/>
      <c r="J64" s="2720"/>
      <c r="K64" s="2720"/>
      <c r="L64" s="2720"/>
      <c r="N64" s="2721"/>
      <c r="O64" s="2720"/>
      <c r="P64" s="2720"/>
      <c r="Q64" s="2720"/>
      <c r="S64" s="2721"/>
      <c r="T64" s="2720"/>
      <c r="U64" s="2720"/>
      <c r="V64" s="2720"/>
      <c r="X64" s="2712"/>
      <c r="Y64" s="2712"/>
      <c r="Z64" s="2712"/>
    </row>
    <row r="65" spans="1:26">
      <c r="A65" s="2653" t="s">
        <v>2623</v>
      </c>
      <c r="B65" s="2722">
        <f t="shared" ref="B65:C67" si="81">B66+(B$64-B$68)/4</f>
        <v>109.75</v>
      </c>
      <c r="C65" s="2722">
        <f t="shared" si="81"/>
        <v>112.25</v>
      </c>
      <c r="D65" s="2722">
        <f t="shared" si="45"/>
        <v>112.25</v>
      </c>
      <c r="E65" s="2722">
        <f t="shared" ref="E65:F67" si="82">E66+(E$64-E$68)/4</f>
        <v>107.25</v>
      </c>
      <c r="F65" s="2722">
        <f t="shared" si="82"/>
        <v>103.5</v>
      </c>
      <c r="G65" s="3467">
        <v>2003</v>
      </c>
      <c r="H65" s="2678">
        <v>3</v>
      </c>
      <c r="I65" s="2720"/>
      <c r="J65" s="2720"/>
      <c r="K65" s="2720"/>
      <c r="L65" s="2720"/>
      <c r="X65" s="2712"/>
      <c r="Y65" s="2712"/>
      <c r="Z65" s="2712"/>
    </row>
    <row r="66" spans="1:26">
      <c r="A66" s="2653" t="s">
        <v>2624</v>
      </c>
      <c r="B66" s="2722">
        <f t="shared" si="81"/>
        <v>108.5</v>
      </c>
      <c r="C66" s="2722">
        <f t="shared" si="81"/>
        <v>110.5</v>
      </c>
      <c r="D66" s="2722">
        <f t="shared" si="45"/>
        <v>110.5</v>
      </c>
      <c r="E66" s="2722">
        <f t="shared" si="82"/>
        <v>106.5</v>
      </c>
      <c r="F66" s="2722">
        <f t="shared" si="82"/>
        <v>103</v>
      </c>
      <c r="G66" s="3467">
        <v>2003</v>
      </c>
      <c r="H66" s="2658">
        <v>2</v>
      </c>
      <c r="I66" s="2720"/>
      <c r="J66" s="2720"/>
      <c r="K66" s="2720"/>
      <c r="L66" s="2720"/>
      <c r="X66" s="2712"/>
      <c r="Y66" s="2712"/>
      <c r="Z66" s="2712"/>
    </row>
    <row r="67" spans="1:26" ht="13.5" thickBot="1">
      <c r="A67" s="2653" t="s">
        <v>2625</v>
      </c>
      <c r="B67" s="2722">
        <f t="shared" si="81"/>
        <v>107.25</v>
      </c>
      <c r="C67" s="2722">
        <f t="shared" si="81"/>
        <v>108.75</v>
      </c>
      <c r="D67" s="2722">
        <f t="shared" si="45"/>
        <v>108.75</v>
      </c>
      <c r="E67" s="2722">
        <f t="shared" si="82"/>
        <v>105.75</v>
      </c>
      <c r="F67" s="2722">
        <f t="shared" si="82"/>
        <v>102.5</v>
      </c>
      <c r="G67" s="3468">
        <v>2003</v>
      </c>
      <c r="H67" s="2723">
        <v>1</v>
      </c>
      <c r="I67" s="2720"/>
      <c r="J67" s="2720"/>
      <c r="K67" s="2720"/>
      <c r="L67" s="2720"/>
      <c r="S67" s="2662"/>
      <c r="T67" s="2663"/>
      <c r="U67" s="2663"/>
      <c r="X67" s="2712"/>
      <c r="Y67" s="2712"/>
      <c r="Z67" s="2712"/>
    </row>
    <row r="68" spans="1:26" ht="13.5" thickBot="1">
      <c r="A68" s="2653" t="s">
        <v>2626</v>
      </c>
      <c r="B68" s="2724">
        <v>106</v>
      </c>
      <c r="C68" s="2724">
        <v>107</v>
      </c>
      <c r="D68" s="2724">
        <f t="shared" si="45"/>
        <v>107</v>
      </c>
      <c r="E68" s="2724">
        <v>105</v>
      </c>
      <c r="F68" s="2725">
        <v>102</v>
      </c>
      <c r="G68" s="3466">
        <v>2002</v>
      </c>
      <c r="H68" s="2673">
        <v>4</v>
      </c>
      <c r="I68" s="2720"/>
      <c r="J68" s="2720"/>
      <c r="K68" s="2720"/>
      <c r="L68" s="2720"/>
      <c r="N68" s="2721"/>
      <c r="O68" s="2720"/>
      <c r="P68" s="2720"/>
      <c r="Q68" s="2720"/>
      <c r="S68" s="2721"/>
      <c r="T68" s="2720"/>
      <c r="U68" s="2720"/>
      <c r="V68" s="2720"/>
      <c r="X68" s="2712"/>
      <c r="Y68" s="2712"/>
      <c r="Z68" s="2712"/>
    </row>
    <row r="69" spans="1:26">
      <c r="A69" s="2653" t="s">
        <v>2627</v>
      </c>
      <c r="B69" s="2722">
        <f t="shared" ref="B69:C71" si="83">B70+(B$68-B$72)/4</f>
        <v>105</v>
      </c>
      <c r="C69" s="2722">
        <f t="shared" si="83"/>
        <v>106</v>
      </c>
      <c r="D69" s="2722">
        <f t="shared" si="45"/>
        <v>106</v>
      </c>
      <c r="E69" s="2722">
        <f t="shared" ref="E69:F71" si="84">E70+(E$68-E$72)/4</f>
        <v>104.5</v>
      </c>
      <c r="F69" s="2722">
        <f t="shared" si="84"/>
        <v>101.5</v>
      </c>
      <c r="G69" s="3467">
        <v>2002</v>
      </c>
      <c r="H69" s="2678">
        <v>3</v>
      </c>
      <c r="I69" s="2720"/>
      <c r="J69" s="2720"/>
      <c r="K69" s="2720"/>
      <c r="L69" s="2720"/>
      <c r="X69" s="2712"/>
      <c r="Y69" s="2712"/>
      <c r="Z69" s="2712"/>
    </row>
    <row r="70" spans="1:26">
      <c r="A70" s="2653" t="s">
        <v>2628</v>
      </c>
      <c r="B70" s="2722">
        <f t="shared" si="83"/>
        <v>104</v>
      </c>
      <c r="C70" s="2722">
        <f t="shared" si="83"/>
        <v>105</v>
      </c>
      <c r="D70" s="2722">
        <f t="shared" si="45"/>
        <v>105</v>
      </c>
      <c r="E70" s="2722">
        <f t="shared" si="84"/>
        <v>104</v>
      </c>
      <c r="F70" s="2722">
        <f t="shared" si="84"/>
        <v>101</v>
      </c>
      <c r="G70" s="3467">
        <v>2002</v>
      </c>
      <c r="H70" s="2658">
        <v>2</v>
      </c>
      <c r="I70" s="2720"/>
      <c r="J70" s="2720"/>
      <c r="K70" s="2720"/>
      <c r="L70" s="2720"/>
      <c r="X70" s="2712"/>
      <c r="Y70" s="2712"/>
      <c r="Z70" s="2712"/>
    </row>
    <row r="71" spans="1:26" s="2689" customFormat="1" ht="13.5" thickBot="1">
      <c r="A71" s="2685" t="s">
        <v>2629</v>
      </c>
      <c r="B71" s="2726">
        <f t="shared" si="83"/>
        <v>103</v>
      </c>
      <c r="C71" s="2726">
        <f t="shared" si="83"/>
        <v>104</v>
      </c>
      <c r="D71" s="2726">
        <f t="shared" si="45"/>
        <v>104</v>
      </c>
      <c r="E71" s="2726">
        <f t="shared" si="84"/>
        <v>103.5</v>
      </c>
      <c r="F71" s="2726">
        <f t="shared" si="84"/>
        <v>100.5</v>
      </c>
      <c r="G71" s="3468">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2630</v>
      </c>
      <c r="G74" s="2736"/>
      <c r="N74" s="2736"/>
      <c r="S74" s="2736"/>
    </row>
    <row r="75" spans="1:26" s="2735" customFormat="1">
      <c r="A75" s="2735" t="s">
        <v>2631</v>
      </c>
      <c r="G75" s="2736"/>
      <c r="N75" s="2736"/>
      <c r="S75" s="2736"/>
    </row>
    <row r="76" spans="1:26" s="2735" customFormat="1">
      <c r="A76" s="2735" t="s">
        <v>2632</v>
      </c>
      <c r="G76" s="2736"/>
      <c r="I76" s="2737"/>
      <c r="J76" s="2737"/>
      <c r="K76" s="2737"/>
      <c r="L76" s="2737"/>
      <c r="N76" s="2738"/>
      <c r="O76" s="2737"/>
      <c r="P76" s="2737"/>
      <c r="Q76" s="2737"/>
      <c r="S76" s="2738"/>
      <c r="T76" s="2737"/>
      <c r="U76" s="2737"/>
      <c r="V76" s="2737"/>
    </row>
    <row r="77" spans="1:26" s="2735" customFormat="1">
      <c r="A77" s="2735" t="s">
        <v>2633</v>
      </c>
      <c r="G77" s="2736"/>
      <c r="N77" s="2736"/>
      <c r="S77" s="2736"/>
    </row>
    <row r="84" spans="7:22" ht="13.5" thickBot="1"/>
    <row r="85" spans="7:22">
      <c r="G85" s="2661"/>
      <c r="S85" s="2739" t="s">
        <v>2634</v>
      </c>
      <c r="T85" s="2740" t="s">
        <v>2635</v>
      </c>
      <c r="U85" s="2740" t="s">
        <v>2636</v>
      </c>
      <c r="V85" s="2740" t="s">
        <v>2637</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大业信托：</v>
      </c>
    </row>
    <row r="4" spans="1:4" ht="37.5">
      <c r="A4" s="1790" t="str">
        <f>"受贵公司委托，我公司对"&amp;项目基本情况!K2&amp;项目基本情况!B9&amp;"进行了预评估。"</f>
        <v>受贵公司委托，我公司对河北省怀来县东花园镇董庄子村、杨庄子村英国宫5期住宅地块出让国有建设用地使用权抵押价格进行了预评估。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怀来京御房地产开发有限公司使用的、位于河北省怀来县东花园镇董庄子村、杨庄子村英国宫5期住宅地块出让国有建设用地使用权。根据《国有土地使用证》[怀国用(2012)第C1594号]，估价对象（分摊）出让国有建设用地使用权面积为64530.53平方米。根据《建设工程规划许可证》[建字第13073020180049、51号]及附图，估价对象规划建筑面积为195640.36平方米。</v>
      </c>
    </row>
    <row r="7" spans="1:4" ht="56.25">
      <c r="A7" s="1794" t="s">
        <v>2746</v>
      </c>
    </row>
    <row r="8" spans="1:4" ht="18.75">
      <c r="A8" s="1793" t="s">
        <v>1907</v>
      </c>
    </row>
    <row r="9" spans="1:4" ht="93.75">
      <c r="A9" s="1795" t="str">
        <f>IF(项目基本情况!B8="抵押",IF(项目基本情况!B5=项目基本情况!B6,定义!C51,定义!B51),定义!D51)</f>
        <v>华夏幸福拟使用河北省怀来县东花园镇董庄子村、杨庄子村英国宫5期住宅地块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2018年9月18日（评估专业人员勘察现场之日）</v>
      </c>
    </row>
    <row r="12" spans="1:4" ht="18.75">
      <c r="A12" s="1796" t="s">
        <v>2026</v>
      </c>
    </row>
    <row r="13" spans="1:4" ht="18.75">
      <c r="A13" s="1790" t="s">
        <v>2927</v>
      </c>
    </row>
    <row r="14" spans="1:4" ht="37.5">
      <c r="A14" s="1790" t="str">
        <f>"根据"&amp;项目基本情况!F12&amp;"，本次评估估价对象证载（地类）用途为"&amp;项目基本情况!B12&amp;"。"</f>
        <v>根据《国有土地使用证》[怀国用(2012)第C1594号]，本次评估估价对象证载（地类）用途为住宅。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怀国用(2012)第C1594号]，估价对象（分摊）出让国有建设用地使用权面积为64530.53平方米。根据《建设工程规划许可证》[建字第13073020180049、51号]及附图，估价对象规划建筑面积为195640.36平方米。</v>
      </c>
    </row>
    <row r="21" spans="1:1" ht="18.75">
      <c r="A21" s="1790" t="s">
        <v>2075</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本次估价对象为出让国有建设用地使用权，《国有土地使用证》[怀国用(2012)第C1594号]证载土地终止日期为住宅2082年12月19日车库2062年12月19日。截至估价期日，出让国有建设用地使用权剩余土地使用年限为。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 sqref="B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1" t="s">
        <v>719</v>
      </c>
      <c r="C1" s="2622" t="s">
        <v>720</v>
      </c>
      <c r="D1" s="2623" t="s">
        <v>923</v>
      </c>
      <c r="E1" s="2624"/>
      <c r="F1" s="2805" t="s">
        <v>3293</v>
      </c>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20">
        <f>ROUND(B3*D3/10000,0)</f>
        <v>143569</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519</v>
      </c>
      <c r="B3" s="849">
        <f>C49</f>
        <v>12050</v>
      </c>
      <c r="C3" s="850" t="s">
        <v>722</v>
      </c>
      <c r="D3" s="849">
        <f>SUMIF('数据-汇总表'!$C19:$C33,D1,'数据-汇总表'!$E19:$E33)</f>
        <v>119144.43999999997</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521</v>
      </c>
      <c r="B4" s="511"/>
      <c r="C4" s="3392" t="s">
        <v>522</v>
      </c>
      <c r="D4" s="3393"/>
      <c r="E4" s="3427" t="s">
        <v>523</v>
      </c>
      <c r="F4" s="3428"/>
      <c r="G4" s="3392" t="s">
        <v>524</v>
      </c>
      <c r="H4" s="3393"/>
      <c r="I4" s="3392" t="s">
        <v>525</v>
      </c>
      <c r="J4" s="3393"/>
      <c r="K4" s="851" t="s">
        <v>526</v>
      </c>
      <c r="L4" s="2131"/>
      <c r="M4" s="2132"/>
      <c r="N4" s="2132"/>
      <c r="O4" s="2132"/>
      <c r="P4" s="3394" t="s">
        <v>527</v>
      </c>
      <c r="Q4" s="3395"/>
      <c r="R4" s="3400" t="s">
        <v>523</v>
      </c>
      <c r="S4" s="3401"/>
      <c r="T4" s="3400" t="s">
        <v>524</v>
      </c>
      <c r="U4" s="3401"/>
      <c r="V4" s="3387" t="s">
        <v>525</v>
      </c>
      <c r="W4" s="3387"/>
      <c r="X4" s="1566"/>
      <c r="Y4" s="3400" t="s">
        <v>527</v>
      </c>
      <c r="Z4" s="3401"/>
      <c r="AA4" s="3389" t="s">
        <v>523</v>
      </c>
      <c r="AB4" s="3389" t="s">
        <v>524</v>
      </c>
      <c r="AC4" s="3389" t="s">
        <v>525</v>
      </c>
    </row>
    <row r="5" spans="1:29" ht="15">
      <c r="A5" s="513"/>
      <c r="B5" s="514"/>
      <c r="C5" s="3408" t="s">
        <v>2913</v>
      </c>
      <c r="D5" s="3409"/>
      <c r="E5" s="3480" t="s">
        <v>3333</v>
      </c>
      <c r="F5" s="3430"/>
      <c r="G5" s="3410" t="s">
        <v>3334</v>
      </c>
      <c r="H5" s="3409"/>
      <c r="I5" s="3410" t="s">
        <v>3358</v>
      </c>
      <c r="J5" s="3409"/>
      <c r="K5" s="852"/>
      <c r="L5" s="2131"/>
      <c r="M5" s="2132"/>
      <c r="N5" s="2132"/>
      <c r="O5" s="2132"/>
      <c r="P5" s="3396"/>
      <c r="Q5" s="3397"/>
      <c r="R5" s="3402"/>
      <c r="S5" s="3403"/>
      <c r="T5" s="3402"/>
      <c r="U5" s="3403"/>
      <c r="V5" s="3387"/>
      <c r="W5" s="3387"/>
      <c r="X5" s="1566"/>
      <c r="Y5" s="3402"/>
      <c r="Z5" s="3403"/>
      <c r="AA5" s="3390"/>
      <c r="AB5" s="3390"/>
      <c r="AC5" s="3390"/>
    </row>
    <row r="6" spans="1:29" ht="15.75" thickBot="1">
      <c r="A6" s="515"/>
      <c r="B6" s="516"/>
      <c r="C6" s="3423" t="s">
        <v>2917</v>
      </c>
      <c r="D6" s="3424"/>
      <c r="E6" s="3479" t="s">
        <v>3266</v>
      </c>
      <c r="F6" s="3426"/>
      <c r="G6" s="3479" t="s">
        <v>3266</v>
      </c>
      <c r="H6" s="3426"/>
      <c r="I6" s="3479" t="s">
        <v>3266</v>
      </c>
      <c r="J6" s="3426"/>
      <c r="K6" s="852" t="s">
        <v>528</v>
      </c>
      <c r="L6" s="2131"/>
      <c r="M6" s="2132"/>
      <c r="N6" s="2132"/>
      <c r="O6" s="2132"/>
      <c r="P6" s="3398"/>
      <c r="Q6" s="3399"/>
      <c r="R6" s="3402"/>
      <c r="S6" s="3403"/>
      <c r="T6" s="3404"/>
      <c r="U6" s="3405"/>
      <c r="V6" s="3387"/>
      <c r="W6" s="3387"/>
      <c r="X6" s="1566"/>
      <c r="Y6" s="3404"/>
      <c r="Z6" s="3405"/>
      <c r="AA6" s="3391"/>
      <c r="AB6" s="3391"/>
      <c r="AC6" s="3391"/>
    </row>
    <row r="7" spans="1:29" s="1218" customFormat="1" ht="15.75" thickBot="1">
      <c r="A7" s="2910"/>
      <c r="B7" s="2917" t="s">
        <v>529</v>
      </c>
      <c r="C7" s="517">
        <f>'数据-取费表'!B2</f>
        <v>43361</v>
      </c>
      <c r="D7" s="518">
        <v>100</v>
      </c>
      <c r="E7" s="519">
        <v>43355</v>
      </c>
      <c r="F7" s="520">
        <f>SUMIF(58:58,YEAR(E7)&amp;"-"&amp;MONTH(E7),59:59)</f>
        <v>100</v>
      </c>
      <c r="G7" s="521">
        <v>43350</v>
      </c>
      <c r="H7" s="518">
        <f>SUMIF(58:58,YEAR(G7)&amp;"-"&amp;MONTH(G7),59:59)</f>
        <v>100</v>
      </c>
      <c r="I7" s="521">
        <v>43350</v>
      </c>
      <c r="J7" s="518">
        <f>SUMIF(58:58,YEAR(I7)&amp;"-"&amp;MONTH(I7),59:59)</f>
        <v>100</v>
      </c>
      <c r="K7" s="853"/>
      <c r="L7" s="2133"/>
      <c r="M7" s="2134"/>
      <c r="N7" s="2134"/>
      <c r="O7" s="2134"/>
      <c r="P7" s="3416" t="s">
        <v>530</v>
      </c>
      <c r="Q7" s="3418"/>
      <c r="R7" s="1567" t="s">
        <v>13</v>
      </c>
      <c r="S7" s="1568">
        <f t="shared" ref="S7:S15" si="0">F7</f>
        <v>100</v>
      </c>
      <c r="T7" s="1567" t="s">
        <v>13</v>
      </c>
      <c r="U7" s="1568">
        <f t="shared" ref="U7:U15" si="1">H7</f>
        <v>100</v>
      </c>
      <c r="V7" s="1567" t="s">
        <v>13</v>
      </c>
      <c r="W7" s="1568">
        <f t="shared" ref="W7:W15" si="2">J7</f>
        <v>100</v>
      </c>
      <c r="X7" s="1569"/>
      <c r="Y7" s="3416" t="s">
        <v>530</v>
      </c>
      <c r="Z7" s="3417"/>
      <c r="AA7" s="1570">
        <f>D7/F7</f>
        <v>1</v>
      </c>
      <c r="AB7" s="1570">
        <f>D7/H7</f>
        <v>1</v>
      </c>
      <c r="AC7" s="1570">
        <f>D7/J7</f>
        <v>1</v>
      </c>
    </row>
    <row r="8" spans="1:29" s="1218" customFormat="1" ht="15.75" thickBot="1">
      <c r="A8" s="2911"/>
      <c r="B8" s="2918" t="s">
        <v>531</v>
      </c>
      <c r="C8" s="523" t="s">
        <v>576</v>
      </c>
      <c r="D8" s="518">
        <v>100</v>
      </c>
      <c r="E8" s="523" t="s">
        <v>576</v>
      </c>
      <c r="F8" s="520">
        <f>SUMIF(61:61,E8,62:62)-SUMIF(61:61,C8,62:62)+100</f>
        <v>100</v>
      </c>
      <c r="G8" s="523" t="s">
        <v>576</v>
      </c>
      <c r="H8" s="518">
        <f>SUMIF(61:61,G8,62:62)-SUMIF(61:61,C8,62:62)+100</f>
        <v>100</v>
      </c>
      <c r="I8" s="523" t="s">
        <v>576</v>
      </c>
      <c r="J8" s="518">
        <f>SUMIF(61:61,I8,62:62)-SUMIF(61:61,C8,62:62)+100</f>
        <v>100</v>
      </c>
      <c r="K8" s="853"/>
      <c r="L8" s="2133"/>
      <c r="M8" s="2134"/>
      <c r="N8" s="2134"/>
      <c r="O8" s="2134"/>
      <c r="P8" s="3416" t="s">
        <v>533</v>
      </c>
      <c r="Q8" s="3417"/>
      <c r="R8" s="1567" t="s">
        <v>13</v>
      </c>
      <c r="S8" s="1568">
        <f t="shared" si="0"/>
        <v>100</v>
      </c>
      <c r="T8" s="1567" t="s">
        <v>13</v>
      </c>
      <c r="U8" s="1568">
        <f t="shared" si="1"/>
        <v>100</v>
      </c>
      <c r="V8" s="1567" t="s">
        <v>13</v>
      </c>
      <c r="W8" s="1568">
        <f t="shared" si="2"/>
        <v>100</v>
      </c>
      <c r="X8" s="1569"/>
      <c r="Y8" s="3416" t="s">
        <v>533</v>
      </c>
      <c r="Z8" s="3417"/>
      <c r="AA8" s="1570">
        <f t="shared" ref="AA8:AA46" si="3">D8/F8</f>
        <v>1</v>
      </c>
      <c r="AB8" s="1570">
        <f t="shared" ref="AB8:AB46" si="4">D8/H8</f>
        <v>1</v>
      </c>
      <c r="AC8" s="1570">
        <f t="shared" ref="AC8:AC46" si="5">D8/J8</f>
        <v>1</v>
      </c>
    </row>
    <row r="9" spans="1:29" s="1218" customFormat="1" ht="15">
      <c r="A9" s="2912"/>
      <c r="B9" s="2919" t="s">
        <v>2755</v>
      </c>
      <c r="C9" s="3193" t="s">
        <v>3268</v>
      </c>
      <c r="D9" s="252">
        <v>100</v>
      </c>
      <c r="E9" s="856" t="s">
        <v>923</v>
      </c>
      <c r="F9" s="857">
        <f>SUMIF(63:63,E9,64:64)-SUMIF(63:63,C9,64:64)+100</f>
        <v>100</v>
      </c>
      <c r="G9" s="856" t="s">
        <v>923</v>
      </c>
      <c r="H9" s="252">
        <f>SUMIF(63:63,G9,64:64)-SUMIF(63:63,C9,64:64)+100</f>
        <v>100</v>
      </c>
      <c r="I9" s="856" t="s">
        <v>923</v>
      </c>
      <c r="J9" s="252">
        <f>SUMIF(63:63,I9,64:64)-SUMIF(63:63,C9,64:64)+100</f>
        <v>100</v>
      </c>
      <c r="K9" s="853"/>
      <c r="L9" s="2133"/>
      <c r="M9" s="2134"/>
      <c r="N9" s="2134"/>
      <c r="O9" s="2135"/>
      <c r="P9" s="3386" t="s">
        <v>535</v>
      </c>
      <c r="Q9" s="1149" t="str">
        <f t="shared" ref="Q9:Q15" si="6">B9</f>
        <v>用途</v>
      </c>
      <c r="R9" s="1567" t="s">
        <v>8</v>
      </c>
      <c r="S9" s="1568">
        <f t="shared" si="0"/>
        <v>100</v>
      </c>
      <c r="T9" s="1567" t="s">
        <v>8</v>
      </c>
      <c r="U9" s="1568">
        <f t="shared" si="1"/>
        <v>100</v>
      </c>
      <c r="V9" s="1567" t="s">
        <v>8</v>
      </c>
      <c r="W9" s="1568">
        <f t="shared" si="2"/>
        <v>100</v>
      </c>
      <c r="X9" s="1569"/>
      <c r="Y9" s="3332" t="s">
        <v>536</v>
      </c>
      <c r="Z9" s="1148" t="str">
        <f t="shared" ref="Z9:Z15" si="7">Q9</f>
        <v>用途</v>
      </c>
      <c r="AA9" s="1570">
        <f t="shared" si="3"/>
        <v>1</v>
      </c>
      <c r="AB9" s="1570">
        <f t="shared" si="4"/>
        <v>1</v>
      </c>
      <c r="AC9" s="1570">
        <f t="shared" si="5"/>
        <v>1</v>
      </c>
    </row>
    <row r="10" spans="1:29" s="1336" customFormat="1" ht="27">
      <c r="A10" s="2913"/>
      <c r="B10" s="2918" t="s">
        <v>2756</v>
      </c>
      <c r="C10" s="859" t="s">
        <v>3269</v>
      </c>
      <c r="D10" s="253">
        <v>100</v>
      </c>
      <c r="E10" s="859" t="s">
        <v>3269</v>
      </c>
      <c r="F10" s="861">
        <f>SUMIF(65:65,E10,66:66)-SUMIF(65:65,C10,66:66)+100</f>
        <v>100</v>
      </c>
      <c r="G10" s="859" t="s">
        <v>3269</v>
      </c>
      <c r="H10" s="253">
        <f>SUMIF(65:65,G10,66:66)-SUMIF(65:65,C10,66:66)+100</f>
        <v>100</v>
      </c>
      <c r="I10" s="859" t="s">
        <v>3269</v>
      </c>
      <c r="J10" s="253">
        <f>SUMIF(65:65,I10,66:66)-SUMIF(65:65,C10,66:66)+100</f>
        <v>100</v>
      </c>
      <c r="K10" s="862">
        <v>2</v>
      </c>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75" thickBot="1">
      <c r="A11" s="2914"/>
      <c r="B11" s="2918" t="s">
        <v>2757</v>
      </c>
      <c r="C11" s="531">
        <f>'比较法-住宅、综合'!C13</f>
        <v>1.88</v>
      </c>
      <c r="D11" s="253">
        <v>100</v>
      </c>
      <c r="E11" s="532">
        <v>1.98</v>
      </c>
      <c r="F11" s="861">
        <f>LOOKUP(E11,68:68,69:69)-LOOKUP(C11,68:68,69:69)+100</f>
        <v>100</v>
      </c>
      <c r="G11" s="531">
        <v>1.95</v>
      </c>
      <c r="H11" s="253">
        <f>LOOKUP(G11,68:68,69:69)-LOOKUP(C11,68:68,69:69)+100</f>
        <v>100</v>
      </c>
      <c r="I11" s="531">
        <v>2.7</v>
      </c>
      <c r="J11" s="253">
        <f>LOOKUP(I11,68:68,69:69)-LOOKUP(C11,68:68,69:69)+100</f>
        <v>100</v>
      </c>
      <c r="K11" s="3215">
        <v>0</v>
      </c>
      <c r="L11" s="2138"/>
      <c r="M11" s="2132"/>
      <c r="N11" s="2132"/>
      <c r="O11" s="2139"/>
      <c r="P11" s="3386"/>
      <c r="Q11" s="1149" t="str">
        <f t="shared" si="6"/>
        <v>容积率</v>
      </c>
      <c r="R11" s="1567" t="s">
        <v>11</v>
      </c>
      <c r="S11" s="1568">
        <f t="shared" si="0"/>
        <v>100</v>
      </c>
      <c r="T11" s="1567" t="s">
        <v>11</v>
      </c>
      <c r="U11" s="1568">
        <f t="shared" si="1"/>
        <v>100</v>
      </c>
      <c r="V11" s="1567" t="s">
        <v>11</v>
      </c>
      <c r="W11" s="1568">
        <f t="shared" si="2"/>
        <v>100</v>
      </c>
      <c r="X11" s="1569"/>
      <c r="Y11" s="3332"/>
      <c r="Z11" s="1148" t="str">
        <f t="shared" si="7"/>
        <v>容积率</v>
      </c>
      <c r="AA11" s="1570">
        <f t="shared" si="3"/>
        <v>1</v>
      </c>
      <c r="AB11" s="1570">
        <f t="shared" si="4"/>
        <v>1</v>
      </c>
      <c r="AC11" s="1570">
        <f t="shared" si="5"/>
        <v>1</v>
      </c>
    </row>
    <row r="12" spans="1:29" s="1218" customFormat="1" ht="15" hidden="1">
      <c r="A12" s="2915"/>
      <c r="B12" s="2921">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86"/>
      <c r="Q12" s="1149">
        <f t="shared" si="6"/>
        <v>111</v>
      </c>
      <c r="R12" s="1567" t="s">
        <v>11</v>
      </c>
      <c r="S12" s="1568">
        <f t="shared" si="0"/>
        <v>100</v>
      </c>
      <c r="T12" s="1567" t="s">
        <v>11</v>
      </c>
      <c r="U12" s="1568">
        <f t="shared" si="1"/>
        <v>100</v>
      </c>
      <c r="V12" s="1567" t="s">
        <v>11</v>
      </c>
      <c r="W12" s="1568">
        <f t="shared" si="2"/>
        <v>100</v>
      </c>
      <c r="X12" s="1569"/>
      <c r="Y12" s="3332"/>
      <c r="Z12" s="1148">
        <f t="shared" si="7"/>
        <v>111</v>
      </c>
      <c r="AA12" s="1570">
        <f>D12/F12</f>
        <v>1</v>
      </c>
      <c r="AB12" s="1570">
        <f>D12/H12</f>
        <v>1</v>
      </c>
      <c r="AC12" s="1570">
        <f>D12/J12</f>
        <v>1</v>
      </c>
    </row>
    <row r="13" spans="1:29" ht="15" hidden="1">
      <c r="A13" s="2915"/>
      <c r="B13" s="2921">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86"/>
      <c r="Q13" s="1149">
        <f t="shared" si="6"/>
        <v>111</v>
      </c>
      <c r="R13" s="1567" t="s">
        <v>11</v>
      </c>
      <c r="S13" s="1568">
        <f t="shared" si="0"/>
        <v>100</v>
      </c>
      <c r="T13" s="1567" t="s">
        <v>11</v>
      </c>
      <c r="U13" s="1568">
        <f t="shared" si="1"/>
        <v>100</v>
      </c>
      <c r="V13" s="1567" t="s">
        <v>11</v>
      </c>
      <c r="W13" s="1568">
        <f t="shared" si="2"/>
        <v>100</v>
      </c>
      <c r="X13" s="1569"/>
      <c r="Y13" s="3332"/>
      <c r="Z13" s="1148">
        <f t="shared" si="7"/>
        <v>111</v>
      </c>
      <c r="AA13" s="1570">
        <f t="shared" si="3"/>
        <v>1</v>
      </c>
      <c r="AB13" s="1570">
        <f t="shared" si="4"/>
        <v>1</v>
      </c>
      <c r="AC13" s="1570">
        <f t="shared" si="5"/>
        <v>1</v>
      </c>
    </row>
    <row r="14" spans="1:29" ht="15.75" hidden="1" thickBot="1">
      <c r="A14" s="2916"/>
      <c r="B14" s="2922">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86"/>
      <c r="Q14" s="1149">
        <f t="shared" si="6"/>
        <v>111</v>
      </c>
      <c r="R14" s="1567" t="s">
        <v>11</v>
      </c>
      <c r="S14" s="1568">
        <f t="shared" si="0"/>
        <v>100</v>
      </c>
      <c r="T14" s="1567" t="s">
        <v>11</v>
      </c>
      <c r="U14" s="1568">
        <f t="shared" si="1"/>
        <v>100</v>
      </c>
      <c r="V14" s="1567" t="s">
        <v>11</v>
      </c>
      <c r="W14" s="1568">
        <f t="shared" si="2"/>
        <v>100</v>
      </c>
      <c r="X14" s="1569"/>
      <c r="Y14" s="3332"/>
      <c r="Z14" s="1148">
        <f t="shared" si="7"/>
        <v>111</v>
      </c>
      <c r="AA14" s="1570">
        <f t="shared" si="3"/>
        <v>1</v>
      </c>
      <c r="AB14" s="1570">
        <f t="shared" si="4"/>
        <v>1</v>
      </c>
      <c r="AC14" s="1570">
        <f t="shared" si="5"/>
        <v>1</v>
      </c>
    </row>
    <row r="15" spans="1:29" ht="15">
      <c r="A15" s="2908" t="s">
        <v>2753</v>
      </c>
      <c r="B15" s="166" t="s">
        <v>295</v>
      </c>
      <c r="C15" s="865" t="str">
        <f>估价对象房地状况!C3</f>
        <v>一般</v>
      </c>
      <c r="D15" s="547">
        <v>100</v>
      </c>
      <c r="E15" s="3520" t="s">
        <v>3359</v>
      </c>
      <c r="F15" s="549">
        <f>SUMIF(76:76,E16,77:77)-SUMIF(76:76,C16,77:77)+100</f>
        <v>100</v>
      </c>
      <c r="G15" s="3517" t="s">
        <v>3359</v>
      </c>
      <c r="H15" s="547">
        <f>SUMIF(76:76,G16,77:77)-SUMIF(76:76,C16,77:77)+100</f>
        <v>100</v>
      </c>
      <c r="I15" s="3520" t="s">
        <v>3359</v>
      </c>
      <c r="J15" s="547">
        <f>SUMIF(76:76,I16,77:77)-SUMIF(76:76,C16,77:77)+100</f>
        <v>100</v>
      </c>
      <c r="K15" s="866">
        <v>2</v>
      </c>
      <c r="L15" s="2140"/>
      <c r="M15" s="2132"/>
      <c r="N15" s="2132"/>
      <c r="O15" s="2139"/>
      <c r="P15" s="3419" t="s">
        <v>540</v>
      </c>
      <c r="Q15" s="1571" t="str">
        <f t="shared" si="6"/>
        <v>居住社区成熟度</v>
      </c>
      <c r="R15" s="1572" t="s">
        <v>11</v>
      </c>
      <c r="S15" s="1573">
        <f t="shared" si="0"/>
        <v>100</v>
      </c>
      <c r="T15" s="1572" t="s">
        <v>11</v>
      </c>
      <c r="U15" s="1573">
        <f t="shared" si="1"/>
        <v>100</v>
      </c>
      <c r="V15" s="1572" t="s">
        <v>11</v>
      </c>
      <c r="W15" s="1573">
        <f t="shared" si="2"/>
        <v>100</v>
      </c>
      <c r="X15" s="1566"/>
      <c r="Y15" s="3419" t="s">
        <v>540</v>
      </c>
      <c r="Z15" s="1574" t="str">
        <f t="shared" si="7"/>
        <v>居住社区成熟度</v>
      </c>
      <c r="AA15" s="1575">
        <f t="shared" si="3"/>
        <v>1</v>
      </c>
      <c r="AB15" s="1575">
        <f t="shared" si="4"/>
        <v>1</v>
      </c>
      <c r="AC15" s="1575">
        <f t="shared" si="5"/>
        <v>1</v>
      </c>
    </row>
    <row r="16" spans="1:29" ht="15">
      <c r="A16" s="530"/>
      <c r="B16" s="867"/>
      <c r="C16" s="574" t="s">
        <v>3238</v>
      </c>
      <c r="D16" s="553"/>
      <c r="E16" s="554" t="s">
        <v>3238</v>
      </c>
      <c r="F16" s="555"/>
      <c r="G16" s="574" t="s">
        <v>3238</v>
      </c>
      <c r="H16" s="557"/>
      <c r="I16" s="574" t="s">
        <v>3238</v>
      </c>
      <c r="J16" s="553"/>
      <c r="K16" s="868"/>
      <c r="L16" s="2140"/>
      <c r="M16" s="2132"/>
      <c r="N16" s="2132"/>
      <c r="O16" s="2139"/>
      <c r="P16" s="3420"/>
      <c r="Q16" s="1571"/>
      <c r="R16" s="1572"/>
      <c r="S16" s="1573"/>
      <c r="T16" s="1572"/>
      <c r="U16" s="1573"/>
      <c r="V16" s="1572"/>
      <c r="W16" s="1573"/>
      <c r="X16" s="1566"/>
      <c r="Y16" s="3420"/>
      <c r="Z16" s="1574"/>
      <c r="AA16" s="1575">
        <v>1</v>
      </c>
      <c r="AB16" s="1575">
        <v>1</v>
      </c>
      <c r="AC16" s="1575">
        <v>1</v>
      </c>
    </row>
    <row r="17" spans="1:29" ht="15">
      <c r="A17" s="530"/>
      <c r="B17" s="869" t="s">
        <v>296</v>
      </c>
      <c r="C17" s="870" t="str">
        <f>估价对象房地状况!C6</f>
        <v>一般</v>
      </c>
      <c r="D17" s="557">
        <v>100</v>
      </c>
      <c r="E17" s="3519" t="s">
        <v>3359</v>
      </c>
      <c r="F17" s="561">
        <f>SUMIF(78:78,E18,79:79)-SUMIF(78:78,C18,79:79)+100</f>
        <v>100</v>
      </c>
      <c r="G17" s="3518" t="s">
        <v>3359</v>
      </c>
      <c r="H17" s="563">
        <f>SUMIF(78:78,G18,79:79)-SUMIF(78:78,C18,79:79)+100</f>
        <v>100</v>
      </c>
      <c r="I17" s="3519" t="s">
        <v>3359</v>
      </c>
      <c r="J17" s="563">
        <f>SUMIF(78:78,I18,79:79)-SUMIF(78:78,C18,79:79)+100</f>
        <v>100</v>
      </c>
      <c r="K17" s="866">
        <v>2</v>
      </c>
      <c r="L17" s="2140"/>
      <c r="M17" s="2132"/>
      <c r="N17" s="2132"/>
      <c r="O17" s="2139"/>
      <c r="P17" s="3420"/>
      <c r="Q17" s="1571" t="str">
        <f>B17</f>
        <v>交通便捷度</v>
      </c>
      <c r="R17" s="1572" t="s">
        <v>11</v>
      </c>
      <c r="S17" s="1573">
        <f>F17</f>
        <v>100</v>
      </c>
      <c r="T17" s="1572" t="s">
        <v>11</v>
      </c>
      <c r="U17" s="1573">
        <f>H17</f>
        <v>100</v>
      </c>
      <c r="V17" s="1572" t="s">
        <v>11</v>
      </c>
      <c r="W17" s="1573">
        <f>J17</f>
        <v>100</v>
      </c>
      <c r="X17" s="1566"/>
      <c r="Y17" s="3420"/>
      <c r="Z17" s="1574" t="str">
        <f>Q17</f>
        <v>交通便捷度</v>
      </c>
      <c r="AA17" s="1575">
        <f t="shared" si="3"/>
        <v>1</v>
      </c>
      <c r="AB17" s="1575">
        <f t="shared" si="4"/>
        <v>1</v>
      </c>
      <c r="AC17" s="1575">
        <f t="shared" si="5"/>
        <v>1</v>
      </c>
    </row>
    <row r="18" spans="1:29" ht="15">
      <c r="A18" s="530"/>
      <c r="B18" s="593"/>
      <c r="C18" s="871" t="s">
        <v>3238</v>
      </c>
      <c r="D18" s="557"/>
      <c r="E18" s="871" t="s">
        <v>3238</v>
      </c>
      <c r="F18" s="561"/>
      <c r="G18" s="871" t="s">
        <v>3238</v>
      </c>
      <c r="H18" s="553"/>
      <c r="I18" s="871" t="s">
        <v>3238</v>
      </c>
      <c r="J18" s="553"/>
      <c r="K18" s="868"/>
      <c r="L18" s="2140"/>
      <c r="M18" s="2132"/>
      <c r="N18" s="2132"/>
      <c r="O18" s="2139"/>
      <c r="P18" s="3420"/>
      <c r="Q18" s="1571"/>
      <c r="R18" s="1572"/>
      <c r="S18" s="1573"/>
      <c r="T18" s="1572"/>
      <c r="U18" s="1573"/>
      <c r="V18" s="1572"/>
      <c r="W18" s="1573"/>
      <c r="X18" s="1566"/>
      <c r="Y18" s="3420"/>
      <c r="Z18" s="1574"/>
      <c r="AA18" s="1575">
        <v>1</v>
      </c>
      <c r="AB18" s="1575">
        <v>1</v>
      </c>
      <c r="AC18" s="1575">
        <v>1</v>
      </c>
    </row>
    <row r="19" spans="1:29" ht="15">
      <c r="A19" s="530"/>
      <c r="B19" s="2598" t="s">
        <v>2545</v>
      </c>
      <c r="C19" s="870" t="str">
        <f>估价对象房地状况!C7</f>
        <v>一般</v>
      </c>
      <c r="D19" s="563">
        <v>100</v>
      </c>
      <c r="E19" s="3521" t="s">
        <v>3359</v>
      </c>
      <c r="F19" s="569">
        <f>SUMIF(80:80,E20,81:81)-SUMIF(80:80,C20,81:81)+100</f>
        <v>100</v>
      </c>
      <c r="G19" s="3522" t="s">
        <v>3359</v>
      </c>
      <c r="H19" s="557">
        <f>SUMIF(80:80,G20,81:81)-SUMIF(80:80,C20,81:81)+100</f>
        <v>100</v>
      </c>
      <c r="I19" s="3521" t="s">
        <v>3359</v>
      </c>
      <c r="J19" s="557">
        <f>SUMIF(80:80,I20,81:81)-SUMIF(80:80,C20,81:81)+100</f>
        <v>100</v>
      </c>
      <c r="K19" s="866">
        <v>2</v>
      </c>
      <c r="L19" s="2140"/>
      <c r="M19" s="2132"/>
      <c r="N19" s="2132"/>
      <c r="O19" s="2139"/>
      <c r="P19" s="3420"/>
      <c r="Q19" s="1571" t="str">
        <f>B19</f>
        <v>公共配套设施</v>
      </c>
      <c r="R19" s="1572" t="s">
        <v>11</v>
      </c>
      <c r="S19" s="1573">
        <f>F19</f>
        <v>100</v>
      </c>
      <c r="T19" s="1572" t="s">
        <v>11</v>
      </c>
      <c r="U19" s="1573">
        <f>H19</f>
        <v>100</v>
      </c>
      <c r="V19" s="1572" t="s">
        <v>11</v>
      </c>
      <c r="W19" s="1573">
        <f>J19</f>
        <v>100</v>
      </c>
      <c r="X19" s="1566"/>
      <c r="Y19" s="3420"/>
      <c r="Z19" s="1574" t="str">
        <f>Q19</f>
        <v>公共配套设施</v>
      </c>
      <c r="AA19" s="1575">
        <f t="shared" si="3"/>
        <v>1</v>
      </c>
      <c r="AB19" s="1575">
        <f t="shared" si="4"/>
        <v>1</v>
      </c>
      <c r="AC19" s="1575">
        <f t="shared" si="5"/>
        <v>1</v>
      </c>
    </row>
    <row r="20" spans="1:29" ht="15">
      <c r="A20" s="530"/>
      <c r="B20" s="593"/>
      <c r="C20" s="574" t="s">
        <v>3238</v>
      </c>
      <c r="D20" s="553"/>
      <c r="E20" s="574" t="s">
        <v>3238</v>
      </c>
      <c r="F20" s="555"/>
      <c r="G20" s="574" t="s">
        <v>3238</v>
      </c>
      <c r="H20" s="553"/>
      <c r="I20" s="574" t="s">
        <v>3238</v>
      </c>
      <c r="J20" s="553"/>
      <c r="K20" s="868"/>
      <c r="L20" s="2140"/>
      <c r="M20" s="2132"/>
      <c r="N20" s="2132"/>
      <c r="O20" s="2139"/>
      <c r="P20" s="3420"/>
      <c r="Q20" s="1571"/>
      <c r="R20" s="1572"/>
      <c r="S20" s="1573"/>
      <c r="T20" s="1572"/>
      <c r="U20" s="1573"/>
      <c r="V20" s="1572"/>
      <c r="W20" s="1573"/>
      <c r="X20" s="1566"/>
      <c r="Y20" s="3420"/>
      <c r="Z20" s="1574"/>
      <c r="AA20" s="1575">
        <v>1</v>
      </c>
      <c r="AB20" s="1575">
        <v>1</v>
      </c>
      <c r="AC20" s="1575">
        <v>1</v>
      </c>
    </row>
    <row r="21" spans="1:29" ht="15">
      <c r="A21" s="530"/>
      <c r="B21" s="2591" t="s">
        <v>2557</v>
      </c>
      <c r="C21" s="870" t="str">
        <f>估价对象房地状况!C8</f>
        <v>六通</v>
      </c>
      <c r="D21" s="563">
        <v>100</v>
      </c>
      <c r="E21" s="3522" t="s">
        <v>3360</v>
      </c>
      <c r="F21" s="569">
        <f>SUMIF(82:82,E22,83:83)-SUMIF(82:82,C22,83:83)+100</f>
        <v>100</v>
      </c>
      <c r="G21" s="3522" t="s">
        <v>3360</v>
      </c>
      <c r="H21" s="563">
        <f>SUMIF(82:82,G22,83:83)-SUMIF(82:82,C22,83:83)+100</f>
        <v>100</v>
      </c>
      <c r="I21" s="3521" t="s">
        <v>3360</v>
      </c>
      <c r="J21" s="563">
        <f>SUMIF(82:82,I22,83:83)-SUMIF(82:82,C22,83:83)+100</f>
        <v>100</v>
      </c>
      <c r="K21" s="866">
        <v>1</v>
      </c>
      <c r="L21" s="2140"/>
      <c r="M21" s="2132"/>
      <c r="N21" s="2132"/>
      <c r="O21" s="2139"/>
      <c r="P21" s="3420"/>
      <c r="Q21" s="2577" t="str">
        <f>B21</f>
        <v>基础设施水平</v>
      </c>
      <c r="R21" s="1572" t="s">
        <v>11</v>
      </c>
      <c r="S21" s="1573">
        <f>F21</f>
        <v>100</v>
      </c>
      <c r="T21" s="1572" t="s">
        <v>11</v>
      </c>
      <c r="U21" s="1573">
        <f>H21</f>
        <v>100</v>
      </c>
      <c r="V21" s="1572" t="s">
        <v>11</v>
      </c>
      <c r="W21" s="1573">
        <f>J21</f>
        <v>100</v>
      </c>
      <c r="X21" s="2579"/>
      <c r="Y21" s="3420"/>
      <c r="Z21" s="2578" t="str">
        <f>Q21</f>
        <v>基础设施水平</v>
      </c>
      <c r="AA21" s="1575">
        <f t="shared" ref="AA21" si="8">D21/F21</f>
        <v>1</v>
      </c>
      <c r="AB21" s="1575">
        <f t="shared" ref="AB21" si="9">D21/H21</f>
        <v>1</v>
      </c>
      <c r="AC21" s="1575">
        <f t="shared" ref="AC21" si="10">D21/J21</f>
        <v>1</v>
      </c>
    </row>
    <row r="22" spans="1:29" ht="15">
      <c r="A22" s="530"/>
      <c r="B22" s="920"/>
      <c r="C22" s="871" t="s">
        <v>3252</v>
      </c>
      <c r="D22" s="553"/>
      <c r="E22" s="871" t="s">
        <v>3252</v>
      </c>
      <c r="F22" s="555"/>
      <c r="G22" s="871" t="s">
        <v>3252</v>
      </c>
      <c r="H22" s="553"/>
      <c r="I22" s="871" t="s">
        <v>3252</v>
      </c>
      <c r="J22" s="553"/>
      <c r="K22" s="2597"/>
      <c r="L22" s="2140"/>
      <c r="M22" s="2132"/>
      <c r="N22" s="2132"/>
      <c r="O22" s="2139"/>
      <c r="P22" s="3420"/>
      <c r="Q22" s="2577"/>
      <c r="R22" s="1572"/>
      <c r="S22" s="1573"/>
      <c r="T22" s="1572"/>
      <c r="U22" s="1573"/>
      <c r="V22" s="1572"/>
      <c r="W22" s="1573"/>
      <c r="X22" s="2579"/>
      <c r="Y22" s="3420"/>
      <c r="Z22" s="2578"/>
      <c r="AA22" s="1575">
        <v>1</v>
      </c>
      <c r="AB22" s="1575">
        <v>1</v>
      </c>
      <c r="AC22" s="1575">
        <v>1</v>
      </c>
    </row>
    <row r="23" spans="1:29" ht="15">
      <c r="A23" s="530"/>
      <c r="B23" s="869" t="s">
        <v>297</v>
      </c>
      <c r="C23" s="870" t="str">
        <f>估价对象房地状况!C9</f>
        <v>一般</v>
      </c>
      <c r="D23" s="557">
        <v>100</v>
      </c>
      <c r="E23" s="3519" t="s">
        <v>3359</v>
      </c>
      <c r="F23" s="561">
        <f>SUMIF(84:84,E24,85:85)-SUMIF(84:84,C24,85:85)+100</f>
        <v>100</v>
      </c>
      <c r="G23" s="3518" t="s">
        <v>3359</v>
      </c>
      <c r="H23" s="557">
        <f>SUMIF(84:84,G24,85:85)-SUMIF(84:84,C24,85:85)+100</f>
        <v>100</v>
      </c>
      <c r="I23" s="3519" t="s">
        <v>3359</v>
      </c>
      <c r="J23" s="557">
        <f>SUMIF(84:84,I24,85:85)-SUMIF(84:84,C24,85:85)+100</f>
        <v>100</v>
      </c>
      <c r="K23" s="866">
        <v>2</v>
      </c>
      <c r="L23" s="2140"/>
      <c r="M23" s="2132"/>
      <c r="N23" s="2132"/>
      <c r="O23" s="2139"/>
      <c r="P23" s="3420"/>
      <c r="Q23" s="1571" t="str">
        <f>B23</f>
        <v>自然及人文环境</v>
      </c>
      <c r="R23" s="1572" t="s">
        <v>11</v>
      </c>
      <c r="S23" s="1573">
        <f>F23</f>
        <v>100</v>
      </c>
      <c r="T23" s="1572" t="s">
        <v>11</v>
      </c>
      <c r="U23" s="1573">
        <f>H23</f>
        <v>100</v>
      </c>
      <c r="V23" s="1572" t="s">
        <v>11</v>
      </c>
      <c r="W23" s="1573">
        <f>J23</f>
        <v>100</v>
      </c>
      <c r="X23" s="1566"/>
      <c r="Y23" s="3420"/>
      <c r="Z23" s="1574" t="str">
        <f>Q23</f>
        <v>自然及人文环境</v>
      </c>
      <c r="AA23" s="1575">
        <f t="shared" si="3"/>
        <v>1</v>
      </c>
      <c r="AB23" s="1575">
        <f t="shared" si="4"/>
        <v>1</v>
      </c>
      <c r="AC23" s="1575">
        <f t="shared" si="5"/>
        <v>1</v>
      </c>
    </row>
    <row r="24" spans="1:29" ht="15.75" thickBot="1">
      <c r="A24" s="530"/>
      <c r="B24" s="593"/>
      <c r="C24" s="574" t="s">
        <v>3238</v>
      </c>
      <c r="D24" s="553"/>
      <c r="E24" s="574" t="s">
        <v>3238</v>
      </c>
      <c r="F24" s="555"/>
      <c r="G24" s="574" t="s">
        <v>3238</v>
      </c>
      <c r="H24" s="553"/>
      <c r="I24" s="574" t="s">
        <v>3238</v>
      </c>
      <c r="J24" s="553"/>
      <c r="K24" s="868"/>
      <c r="L24" s="2140"/>
      <c r="M24" s="2132"/>
      <c r="N24" s="2132"/>
      <c r="O24" s="2139"/>
      <c r="P24" s="3420"/>
      <c r="Q24" s="1571"/>
      <c r="R24" s="1572"/>
      <c r="S24" s="1573"/>
      <c r="T24" s="1572"/>
      <c r="U24" s="1573"/>
      <c r="V24" s="1572"/>
      <c r="W24" s="1573"/>
      <c r="X24" s="1566"/>
      <c r="Y24" s="3420"/>
      <c r="Z24" s="1574"/>
      <c r="AA24" s="1575">
        <v>1</v>
      </c>
      <c r="AB24" s="1575">
        <v>1</v>
      </c>
      <c r="AC24" s="1575">
        <v>1</v>
      </c>
    </row>
    <row r="25" spans="1:29" ht="15" hidden="1">
      <c r="A25" s="530"/>
      <c r="B25" s="1893" t="s">
        <v>2257</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20"/>
      <c r="Q25" s="1571" t="str">
        <f t="shared" ref="Q25:Q46" si="11">B25</f>
        <v>楼层-1</v>
      </c>
      <c r="R25" s="1572" t="s">
        <v>11</v>
      </c>
      <c r="S25" s="1573">
        <f>F25</f>
        <v>100</v>
      </c>
      <c r="T25" s="1572" t="s">
        <v>11</v>
      </c>
      <c r="U25" s="1573">
        <f>H25</f>
        <v>100</v>
      </c>
      <c r="V25" s="1572" t="s">
        <v>11</v>
      </c>
      <c r="W25" s="1573">
        <f>J25</f>
        <v>100</v>
      </c>
      <c r="X25" s="1566"/>
      <c r="Y25" s="3420"/>
      <c r="Z25" s="1574" t="str">
        <f>Q25</f>
        <v>楼层-1</v>
      </c>
      <c r="AA25" s="1575">
        <f t="shared" si="3"/>
        <v>1</v>
      </c>
      <c r="AB25" s="1575">
        <f t="shared" si="4"/>
        <v>1</v>
      </c>
      <c r="AC25" s="1575">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20"/>
      <c r="Q26" s="1571" t="str">
        <f t="shared" si="11"/>
        <v>朝向</v>
      </c>
      <c r="R26" s="1572" t="s">
        <v>11</v>
      </c>
      <c r="S26" s="1573">
        <f>F26</f>
        <v>100</v>
      </c>
      <c r="T26" s="1572" t="s">
        <v>11</v>
      </c>
      <c r="U26" s="1573">
        <f>H26</f>
        <v>100</v>
      </c>
      <c r="V26" s="1572" t="s">
        <v>11</v>
      </c>
      <c r="W26" s="1573">
        <f>J26</f>
        <v>100</v>
      </c>
      <c r="X26" s="1566"/>
      <c r="Y26" s="3420"/>
      <c r="Z26" s="1574" t="str">
        <f>Q26</f>
        <v>朝向</v>
      </c>
      <c r="AA26" s="1575">
        <f t="shared" si="3"/>
        <v>1</v>
      </c>
      <c r="AB26" s="1575">
        <f t="shared" si="4"/>
        <v>1</v>
      </c>
      <c r="AC26" s="1575">
        <f t="shared" si="5"/>
        <v>1</v>
      </c>
    </row>
    <row r="27" spans="1:29" s="1218"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20"/>
      <c r="Q27" s="1149" t="str">
        <f t="shared" si="11"/>
        <v>道路级别</v>
      </c>
      <c r="R27" s="1567" t="s">
        <v>11</v>
      </c>
      <c r="S27" s="1568">
        <f>F27</f>
        <v>100</v>
      </c>
      <c r="T27" s="1567" t="s">
        <v>11</v>
      </c>
      <c r="U27" s="1568">
        <f>H27</f>
        <v>100</v>
      </c>
      <c r="V27" s="1567" t="s">
        <v>11</v>
      </c>
      <c r="W27" s="1568">
        <f>J27</f>
        <v>100</v>
      </c>
      <c r="X27" s="1569"/>
      <c r="Y27" s="3420"/>
      <c r="Z27" s="1148" t="str">
        <f>Q27</f>
        <v>道路级别</v>
      </c>
      <c r="AA27" s="1575">
        <f>D27/F27</f>
        <v>1</v>
      </c>
      <c r="AB27" s="1575">
        <f>D27/H27</f>
        <v>1</v>
      </c>
      <c r="AC27" s="1575">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2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0"/>
      <c r="Z28" s="1574">
        <f t="shared" ref="Z28:Z46" si="15">Q28</f>
        <v>111</v>
      </c>
      <c r="AA28" s="1575">
        <f t="shared" si="3"/>
        <v>1</v>
      </c>
      <c r="AB28" s="1575">
        <f t="shared" si="4"/>
        <v>1</v>
      </c>
      <c r="AC28" s="1575">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20"/>
      <c r="Q29" s="1571">
        <f t="shared" si="11"/>
        <v>111</v>
      </c>
      <c r="R29" s="1572" t="s">
        <v>11</v>
      </c>
      <c r="S29" s="1573">
        <f t="shared" si="12"/>
        <v>100</v>
      </c>
      <c r="T29" s="1572" t="s">
        <v>11</v>
      </c>
      <c r="U29" s="1573">
        <f t="shared" si="13"/>
        <v>100</v>
      </c>
      <c r="V29" s="1572" t="s">
        <v>11</v>
      </c>
      <c r="W29" s="1573">
        <f t="shared" si="14"/>
        <v>100</v>
      </c>
      <c r="X29" s="1566"/>
      <c r="Y29" s="3420"/>
      <c r="Z29" s="1574">
        <f t="shared" si="15"/>
        <v>111</v>
      </c>
      <c r="AA29" s="1575">
        <f t="shared" si="3"/>
        <v>1</v>
      </c>
      <c r="AB29" s="1575">
        <f t="shared" si="4"/>
        <v>1</v>
      </c>
      <c r="AC29" s="1575">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20"/>
      <c r="Q30" s="1571">
        <f t="shared" si="11"/>
        <v>111</v>
      </c>
      <c r="R30" s="1572" t="s">
        <v>11</v>
      </c>
      <c r="S30" s="1573">
        <f t="shared" si="12"/>
        <v>100</v>
      </c>
      <c r="T30" s="1572" t="s">
        <v>11</v>
      </c>
      <c r="U30" s="1573">
        <f t="shared" si="13"/>
        <v>100</v>
      </c>
      <c r="V30" s="1572" t="s">
        <v>11</v>
      </c>
      <c r="W30" s="1573">
        <f t="shared" si="14"/>
        <v>100</v>
      </c>
      <c r="X30" s="1566"/>
      <c r="Y30" s="3420"/>
      <c r="Z30" s="1574">
        <f t="shared" si="15"/>
        <v>111</v>
      </c>
      <c r="AA30" s="1575">
        <f t="shared" si="3"/>
        <v>1</v>
      </c>
      <c r="AB30" s="1575">
        <f t="shared" si="4"/>
        <v>1</v>
      </c>
      <c r="AC30" s="1575">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20"/>
      <c r="Q31" s="1571">
        <f t="shared" si="11"/>
        <v>111</v>
      </c>
      <c r="R31" s="1572" t="s">
        <v>11</v>
      </c>
      <c r="S31" s="1573">
        <f t="shared" si="12"/>
        <v>100</v>
      </c>
      <c r="T31" s="1572" t="s">
        <v>11</v>
      </c>
      <c r="U31" s="1573">
        <f t="shared" si="13"/>
        <v>100</v>
      </c>
      <c r="V31" s="1572" t="s">
        <v>11</v>
      </c>
      <c r="W31" s="1573">
        <f t="shared" si="14"/>
        <v>100</v>
      </c>
      <c r="X31" s="1566"/>
      <c r="Y31" s="3420"/>
      <c r="Z31" s="1574">
        <f t="shared" si="15"/>
        <v>111</v>
      </c>
      <c r="AA31" s="1575">
        <f t="shared" si="3"/>
        <v>1</v>
      </c>
      <c r="AB31" s="1575">
        <f t="shared" si="4"/>
        <v>1</v>
      </c>
      <c r="AC31" s="1575">
        <f t="shared" si="5"/>
        <v>1</v>
      </c>
    </row>
    <row r="32" spans="1:29" ht="15">
      <c r="A32" s="2905" t="s">
        <v>2754</v>
      </c>
      <c r="B32" s="172" t="s">
        <v>725</v>
      </c>
      <c r="C32" s="876" t="s">
        <v>3271</v>
      </c>
      <c r="D32" s="595">
        <v>100</v>
      </c>
      <c r="E32" s="877" t="s">
        <v>3271</v>
      </c>
      <c r="F32" s="573">
        <f>SUMIF(100:100,E32,101:101)-SUMIF(100:100,C32,101:101)+100</f>
        <v>100</v>
      </c>
      <c r="G32" s="877" t="s">
        <v>3271</v>
      </c>
      <c r="H32" s="595">
        <f>SUMIF(100:100,G32,101:101)-SUMIF(100:100,C32,101:101)+100</f>
        <v>100</v>
      </c>
      <c r="I32" s="877" t="s">
        <v>3275</v>
      </c>
      <c r="J32" s="538">
        <f>SUMIF(100:100,I32,101:101)-SUMIF(100:100,C32,101:101)+100</f>
        <v>98</v>
      </c>
      <c r="K32" s="862">
        <v>2</v>
      </c>
      <c r="L32" s="2140"/>
      <c r="M32" s="2132"/>
      <c r="N32" s="2132"/>
      <c r="O32" s="2139"/>
      <c r="P32" s="3421" t="s">
        <v>550</v>
      </c>
      <c r="Q32" s="1571" t="str">
        <f t="shared" si="11"/>
        <v>建筑类型</v>
      </c>
      <c r="R32" s="1572" t="s">
        <v>11</v>
      </c>
      <c r="S32" s="1573">
        <f t="shared" si="12"/>
        <v>100</v>
      </c>
      <c r="T32" s="1572" t="s">
        <v>11</v>
      </c>
      <c r="U32" s="1573">
        <f t="shared" si="13"/>
        <v>100</v>
      </c>
      <c r="V32" s="1572" t="s">
        <v>11</v>
      </c>
      <c r="W32" s="1573">
        <f t="shared" si="14"/>
        <v>98</v>
      </c>
      <c r="X32" s="1566"/>
      <c r="Y32" s="3422" t="s">
        <v>550</v>
      </c>
      <c r="Z32" s="1574" t="str">
        <f t="shared" si="15"/>
        <v>建筑类型</v>
      </c>
      <c r="AA32" s="1575">
        <f t="shared" si="3"/>
        <v>1</v>
      </c>
      <c r="AB32" s="1575">
        <f t="shared" si="4"/>
        <v>1</v>
      </c>
      <c r="AC32" s="1575">
        <f t="shared" si="5"/>
        <v>1.0204081632653061</v>
      </c>
    </row>
    <row r="33" spans="1:29" s="1337" customFormat="1" ht="15">
      <c r="A33" s="601"/>
      <c r="B33" s="525" t="s">
        <v>726</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38"/>
      <c r="M33" s="2169"/>
      <c r="N33" s="2169"/>
      <c r="O33" s="2141"/>
      <c r="P33" s="3422"/>
      <c r="Q33" s="1604" t="str">
        <f t="shared" si="11"/>
        <v>项目建筑规模</v>
      </c>
      <c r="R33" s="1576" t="s">
        <v>11</v>
      </c>
      <c r="S33" s="1577">
        <f t="shared" si="12"/>
        <v>100</v>
      </c>
      <c r="T33" s="1576" t="s">
        <v>11</v>
      </c>
      <c r="U33" s="1577">
        <f t="shared" si="13"/>
        <v>100</v>
      </c>
      <c r="V33" s="1576" t="s">
        <v>11</v>
      </c>
      <c r="W33" s="1577">
        <f t="shared" si="14"/>
        <v>100</v>
      </c>
      <c r="X33" s="1578"/>
      <c r="Y33" s="3422"/>
      <c r="Z33" s="1579" t="str">
        <f t="shared" si="15"/>
        <v>项目建筑规模</v>
      </c>
      <c r="AA33" s="1575">
        <f t="shared" si="3"/>
        <v>1</v>
      </c>
      <c r="AB33" s="1575">
        <f t="shared" si="4"/>
        <v>1</v>
      </c>
      <c r="AC33" s="1575">
        <f t="shared" si="5"/>
        <v>1</v>
      </c>
    </row>
    <row r="34" spans="1:29" ht="15">
      <c r="A34" s="592"/>
      <c r="B34" s="525" t="s">
        <v>727</v>
      </c>
      <c r="C34" s="879" t="s">
        <v>3277</v>
      </c>
      <c r="D34" s="538">
        <v>100</v>
      </c>
      <c r="E34" s="879" t="s">
        <v>3277</v>
      </c>
      <c r="F34" s="573">
        <f>SUMIF(105:105,E34,106:106)-SUMIF(105:105,C34,106:106)+100</f>
        <v>100</v>
      </c>
      <c r="G34" s="879" t="s">
        <v>3277</v>
      </c>
      <c r="H34" s="538">
        <f>SUMIF(105:105,G34,106:106)-SUMIF(105:105,C34,106:106)+100</f>
        <v>100</v>
      </c>
      <c r="I34" s="879" t="s">
        <v>3277</v>
      </c>
      <c r="J34" s="538">
        <f>SUMIF(105:105,I34,106:106)-SUMIF(105:105,C34,106:106)+100</f>
        <v>100</v>
      </c>
      <c r="K34" s="862">
        <v>2</v>
      </c>
      <c r="L34" s="2140"/>
      <c r="M34" s="2132"/>
      <c r="N34" s="2132"/>
      <c r="O34" s="2139"/>
      <c r="P34" s="3422"/>
      <c r="Q34" s="1571" t="str">
        <f t="shared" si="11"/>
        <v>建筑结构</v>
      </c>
      <c r="R34" s="1572" t="s">
        <v>11</v>
      </c>
      <c r="S34" s="1573">
        <f t="shared" si="12"/>
        <v>100</v>
      </c>
      <c r="T34" s="1572" t="s">
        <v>11</v>
      </c>
      <c r="U34" s="1573">
        <f t="shared" si="13"/>
        <v>100</v>
      </c>
      <c r="V34" s="1572" t="s">
        <v>11</v>
      </c>
      <c r="W34" s="1573">
        <f t="shared" si="14"/>
        <v>100</v>
      </c>
      <c r="X34" s="1566"/>
      <c r="Y34" s="3422"/>
      <c r="Z34" s="1574" t="str">
        <f t="shared" si="15"/>
        <v>建筑结构</v>
      </c>
      <c r="AA34" s="1575">
        <f t="shared" si="3"/>
        <v>1</v>
      </c>
      <c r="AB34" s="1575">
        <f t="shared" si="4"/>
        <v>1</v>
      </c>
      <c r="AC34" s="1575">
        <f t="shared" si="5"/>
        <v>1</v>
      </c>
    </row>
    <row r="35" spans="1:29" ht="15">
      <c r="A35" s="592"/>
      <c r="B35" s="525" t="s">
        <v>728</v>
      </c>
      <c r="C35" s="597" t="s">
        <v>3281</v>
      </c>
      <c r="D35" s="538">
        <v>100</v>
      </c>
      <c r="E35" s="597" t="s">
        <v>3281</v>
      </c>
      <c r="F35" s="573">
        <f>SUMIF(107:107,E35,108:108)-SUMIF(107:107,C35,108:108)+100</f>
        <v>100</v>
      </c>
      <c r="G35" s="597" t="s">
        <v>3281</v>
      </c>
      <c r="H35" s="538">
        <f>SUMIF(107:107,G35,108:108)-SUMIF(107:107,C35,108:108)+100</f>
        <v>100</v>
      </c>
      <c r="I35" s="597" t="s">
        <v>3281</v>
      </c>
      <c r="J35" s="538">
        <f>SUMIF(107:107,I35,108:108)-SUMIF(107:107,C35,108:108)+100</f>
        <v>100</v>
      </c>
      <c r="K35" s="862">
        <v>2</v>
      </c>
      <c r="L35" s="2140"/>
      <c r="M35" s="2132"/>
      <c r="N35" s="2132"/>
      <c r="O35" s="2139"/>
      <c r="P35" s="3422"/>
      <c r="Q35" s="1571" t="str">
        <f t="shared" si="11"/>
        <v>建筑品质</v>
      </c>
      <c r="R35" s="1572" t="s">
        <v>11</v>
      </c>
      <c r="S35" s="1573">
        <f t="shared" si="12"/>
        <v>100</v>
      </c>
      <c r="T35" s="1572" t="s">
        <v>11</v>
      </c>
      <c r="U35" s="1573">
        <f t="shared" si="13"/>
        <v>100</v>
      </c>
      <c r="V35" s="1572" t="s">
        <v>11</v>
      </c>
      <c r="W35" s="1573">
        <f t="shared" si="14"/>
        <v>100</v>
      </c>
      <c r="X35" s="1566"/>
      <c r="Y35" s="3422"/>
      <c r="Z35" s="1574" t="str">
        <f t="shared" si="15"/>
        <v>建筑品质</v>
      </c>
      <c r="AA35" s="1575">
        <f t="shared" si="3"/>
        <v>1</v>
      </c>
      <c r="AB35" s="1575">
        <f t="shared" si="4"/>
        <v>1</v>
      </c>
      <c r="AC35" s="1575">
        <f t="shared" si="5"/>
        <v>1</v>
      </c>
    </row>
    <row r="36" spans="1:29" ht="15">
      <c r="A36" s="592"/>
      <c r="B36" s="525" t="s">
        <v>729</v>
      </c>
      <c r="C36" s="597" t="s">
        <v>3283</v>
      </c>
      <c r="D36" s="538">
        <v>100</v>
      </c>
      <c r="E36" s="597" t="s">
        <v>3283</v>
      </c>
      <c r="F36" s="573">
        <f>SUMIF(109:109,E36,110:110)-SUMIF(109:109,C36,110:110)+100</f>
        <v>100</v>
      </c>
      <c r="G36" s="597" t="s">
        <v>3283</v>
      </c>
      <c r="H36" s="538">
        <f>SUMIF(109:109,G36,110:110)-SUMIF(109:109,C36,110:110)+100</f>
        <v>100</v>
      </c>
      <c r="I36" s="597" t="s">
        <v>3283</v>
      </c>
      <c r="J36" s="538">
        <f>SUMIF(109:109,I36,110:110)-SUMIF(109:109,C36,110:110)+100</f>
        <v>100</v>
      </c>
      <c r="K36" s="862">
        <v>2</v>
      </c>
      <c r="L36" s="2140"/>
      <c r="M36" s="2132"/>
      <c r="N36" s="2132"/>
      <c r="O36" s="2139"/>
      <c r="P36" s="3422"/>
      <c r="Q36" s="1571" t="str">
        <f t="shared" si="11"/>
        <v>公共部分装修</v>
      </c>
      <c r="R36" s="1572" t="s">
        <v>11</v>
      </c>
      <c r="S36" s="1573">
        <f t="shared" si="12"/>
        <v>100</v>
      </c>
      <c r="T36" s="1572" t="s">
        <v>11</v>
      </c>
      <c r="U36" s="1573">
        <f t="shared" si="13"/>
        <v>100</v>
      </c>
      <c r="V36" s="1572" t="s">
        <v>11</v>
      </c>
      <c r="W36" s="1573">
        <f t="shared" si="14"/>
        <v>100</v>
      </c>
      <c r="X36" s="1566"/>
      <c r="Y36" s="3422"/>
      <c r="Z36" s="1574" t="str">
        <f t="shared" si="15"/>
        <v>公共部分装修</v>
      </c>
      <c r="AA36" s="1575">
        <f t="shared" si="3"/>
        <v>1</v>
      </c>
      <c r="AB36" s="1575">
        <f t="shared" si="4"/>
        <v>1</v>
      </c>
      <c r="AC36" s="1575">
        <f t="shared" si="5"/>
        <v>1</v>
      </c>
    </row>
    <row r="37" spans="1:29" s="1218" customFormat="1" ht="15">
      <c r="A37" s="598"/>
      <c r="B37" s="525" t="s">
        <v>730</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33"/>
      <c r="M37" s="2134"/>
      <c r="N37" s="2134"/>
      <c r="O37" s="2135"/>
      <c r="P37" s="3422"/>
      <c r="Q37" s="1149" t="str">
        <f t="shared" si="11"/>
        <v>成新度</v>
      </c>
      <c r="R37" s="1567" t="s">
        <v>11</v>
      </c>
      <c r="S37" s="1568">
        <f t="shared" si="12"/>
        <v>100</v>
      </c>
      <c r="T37" s="1567" t="s">
        <v>11</v>
      </c>
      <c r="U37" s="1568">
        <f t="shared" si="13"/>
        <v>100</v>
      </c>
      <c r="V37" s="1567" t="s">
        <v>11</v>
      </c>
      <c r="W37" s="1568">
        <f t="shared" si="14"/>
        <v>100</v>
      </c>
      <c r="X37" s="1569"/>
      <c r="Y37" s="3422"/>
      <c r="Z37" s="1148" t="str">
        <f t="shared" si="15"/>
        <v>成新度</v>
      </c>
      <c r="AA37" s="1570">
        <f t="shared" si="3"/>
        <v>1</v>
      </c>
      <c r="AB37" s="1570">
        <f t="shared" si="4"/>
        <v>1</v>
      </c>
      <c r="AC37" s="1570">
        <f t="shared" si="5"/>
        <v>1</v>
      </c>
    </row>
    <row r="38" spans="1:29" ht="15">
      <c r="A38" s="592"/>
      <c r="B38" s="525" t="s">
        <v>731</v>
      </c>
      <c r="C38" s="597" t="s">
        <v>3290</v>
      </c>
      <c r="D38" s="538">
        <v>100</v>
      </c>
      <c r="E38" s="597" t="s">
        <v>3290</v>
      </c>
      <c r="F38" s="573">
        <f>SUMIF(114:114,E38,115:115)-SUMIF(114:114,C38,115:115)+100</f>
        <v>100</v>
      </c>
      <c r="G38" s="597" t="s">
        <v>3290</v>
      </c>
      <c r="H38" s="538">
        <f>SUMIF(114:114,G38,115:115)-SUMIF(114:114,C38,115:115)+100</f>
        <v>100</v>
      </c>
      <c r="I38" s="597" t="s">
        <v>3290</v>
      </c>
      <c r="J38" s="538">
        <f>SUMIF(114:114,I38,115:115)-SUMIF(114:114,C38,115:115)+100</f>
        <v>100</v>
      </c>
      <c r="K38" s="862">
        <v>2</v>
      </c>
      <c r="L38" s="2140"/>
      <c r="M38" s="2132"/>
      <c r="N38" s="2132"/>
      <c r="O38" s="2139"/>
      <c r="P38" s="3422" t="s">
        <v>550</v>
      </c>
      <c r="Q38" s="1571" t="str">
        <f t="shared" si="11"/>
        <v>物业管理</v>
      </c>
      <c r="R38" s="1572" t="s">
        <v>11</v>
      </c>
      <c r="S38" s="1573">
        <f t="shared" si="12"/>
        <v>100</v>
      </c>
      <c r="T38" s="1572" t="s">
        <v>11</v>
      </c>
      <c r="U38" s="1573">
        <f t="shared" si="13"/>
        <v>100</v>
      </c>
      <c r="V38" s="1572" t="s">
        <v>11</v>
      </c>
      <c r="W38" s="1573">
        <f t="shared" si="14"/>
        <v>100</v>
      </c>
      <c r="X38" s="1566"/>
      <c r="Y38" s="3422" t="s">
        <v>550</v>
      </c>
      <c r="Z38" s="1574" t="str">
        <f t="shared" si="15"/>
        <v>物业管理</v>
      </c>
      <c r="AA38" s="1575">
        <f t="shared" si="3"/>
        <v>1</v>
      </c>
      <c r="AB38" s="1575">
        <f t="shared" si="4"/>
        <v>1</v>
      </c>
      <c r="AC38" s="1575">
        <f t="shared" si="5"/>
        <v>1</v>
      </c>
    </row>
    <row r="39" spans="1:29" ht="15">
      <c r="A39" s="592"/>
      <c r="B39" s="1893" t="s">
        <v>2563</v>
      </c>
      <c r="C39" s="597" t="s">
        <v>3252</v>
      </c>
      <c r="D39" s="538">
        <v>100</v>
      </c>
      <c r="E39" s="597" t="s">
        <v>3252</v>
      </c>
      <c r="F39" s="573">
        <f>SUMIF(116:116,E39,117:117)-SUMIF(116:116,C39,117:117)+100</f>
        <v>100</v>
      </c>
      <c r="G39" s="597" t="s">
        <v>3252</v>
      </c>
      <c r="H39" s="538">
        <f>SUMIF(116:116,G39,117:117)-SUMIF(116:116,C39,117:117)+100</f>
        <v>100</v>
      </c>
      <c r="I39" s="597" t="s">
        <v>3252</v>
      </c>
      <c r="J39" s="538">
        <f>SUMIF(116:116,I39,117:117)-SUMIF(116:116,C39,117:117)+100</f>
        <v>100</v>
      </c>
      <c r="K39" s="862">
        <v>1</v>
      </c>
      <c r="L39" s="2140"/>
      <c r="M39" s="2132"/>
      <c r="N39" s="2132"/>
      <c r="O39" s="2139"/>
      <c r="P39" s="3422"/>
      <c r="Q39" s="1571" t="str">
        <f t="shared" si="11"/>
        <v>市政基础设施</v>
      </c>
      <c r="R39" s="1572" t="s">
        <v>11</v>
      </c>
      <c r="S39" s="1573">
        <f t="shared" si="12"/>
        <v>100</v>
      </c>
      <c r="T39" s="1572" t="s">
        <v>11</v>
      </c>
      <c r="U39" s="1573">
        <f t="shared" si="13"/>
        <v>100</v>
      </c>
      <c r="V39" s="1572" t="s">
        <v>11</v>
      </c>
      <c r="W39" s="1573">
        <f t="shared" si="14"/>
        <v>100</v>
      </c>
      <c r="X39" s="1566"/>
      <c r="Y39" s="3422"/>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22"/>
      <c r="Q40" s="1571" t="str">
        <f t="shared" si="11"/>
        <v>房型</v>
      </c>
      <c r="R40" s="1572" t="s">
        <v>11</v>
      </c>
      <c r="S40" s="1573">
        <f t="shared" si="12"/>
        <v>100</v>
      </c>
      <c r="T40" s="1572" t="s">
        <v>11</v>
      </c>
      <c r="U40" s="1573">
        <f t="shared" si="13"/>
        <v>100</v>
      </c>
      <c r="V40" s="1572" t="s">
        <v>11</v>
      </c>
      <c r="W40" s="1573">
        <f t="shared" si="14"/>
        <v>100</v>
      </c>
      <c r="X40" s="1566"/>
      <c r="Y40" s="3422"/>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22"/>
      <c r="Q41" s="1604" t="str">
        <f t="shared" si="11"/>
        <v>单套/主力户型建筑面积</v>
      </c>
      <c r="R41" s="1576" t="s">
        <v>11</v>
      </c>
      <c r="S41" s="1577">
        <f t="shared" si="12"/>
        <v>100</v>
      </c>
      <c r="T41" s="1576" t="s">
        <v>11</v>
      </c>
      <c r="U41" s="1577">
        <f t="shared" si="13"/>
        <v>100</v>
      </c>
      <c r="V41" s="1576" t="s">
        <v>11</v>
      </c>
      <c r="W41" s="1577">
        <f t="shared" si="14"/>
        <v>100</v>
      </c>
      <c r="X41" s="1578"/>
      <c r="Y41" s="3422"/>
      <c r="Z41" s="1579" t="str">
        <f t="shared" si="15"/>
        <v>单套/主力户型建筑面积</v>
      </c>
      <c r="AA41" s="1575">
        <f t="shared" si="3"/>
        <v>1</v>
      </c>
      <c r="AB41" s="1575">
        <f t="shared" si="4"/>
        <v>1</v>
      </c>
      <c r="AC41" s="1575">
        <f t="shared" si="5"/>
        <v>1</v>
      </c>
    </row>
    <row r="42" spans="1:29" ht="15">
      <c r="A42" s="592"/>
      <c r="B42" s="525" t="s">
        <v>734</v>
      </c>
      <c r="C42" s="597" t="s">
        <v>3288</v>
      </c>
      <c r="D42" s="538">
        <v>100</v>
      </c>
      <c r="E42" s="597" t="s">
        <v>3285</v>
      </c>
      <c r="F42" s="573">
        <f>SUMIF(122:122,E42,123:123)-SUMIF(122:122,C42,123:123)+100</f>
        <v>110</v>
      </c>
      <c r="G42" s="597" t="s">
        <v>3285</v>
      </c>
      <c r="H42" s="538">
        <f>SUMIF(122:122,G42,123:123)-SUMIF(122:122,C42,123:123)+100</f>
        <v>110</v>
      </c>
      <c r="I42" s="597" t="s">
        <v>3285</v>
      </c>
      <c r="J42" s="538">
        <f>SUMIF(122:122,I42,123:123)-SUMIF(122:122,C42,123:123)+100</f>
        <v>110</v>
      </c>
      <c r="K42" s="862">
        <v>5</v>
      </c>
      <c r="L42" s="2140"/>
      <c r="M42" s="2132"/>
      <c r="N42" s="2132"/>
      <c r="O42" s="2139"/>
      <c r="P42" s="3422"/>
      <c r="Q42" s="1571" t="str">
        <f t="shared" si="11"/>
        <v>内部装修</v>
      </c>
      <c r="R42" s="1572" t="s">
        <v>11</v>
      </c>
      <c r="S42" s="1573">
        <f t="shared" si="12"/>
        <v>110</v>
      </c>
      <c r="T42" s="1572" t="s">
        <v>11</v>
      </c>
      <c r="U42" s="1573">
        <f t="shared" si="13"/>
        <v>110</v>
      </c>
      <c r="V42" s="1572" t="s">
        <v>11</v>
      </c>
      <c r="W42" s="1573">
        <f t="shared" si="14"/>
        <v>110</v>
      </c>
      <c r="X42" s="1566"/>
      <c r="Y42" s="3422"/>
      <c r="Z42" s="1574" t="str">
        <f t="shared" si="15"/>
        <v>内部装修</v>
      </c>
      <c r="AA42" s="1575">
        <f t="shared" si="3"/>
        <v>0.90909090909090906</v>
      </c>
      <c r="AB42" s="1575">
        <f t="shared" si="4"/>
        <v>0.90909090909090906</v>
      </c>
      <c r="AC42" s="1575">
        <f t="shared" si="5"/>
        <v>0.90909090909090906</v>
      </c>
    </row>
    <row r="43" spans="1:29" ht="27.75" thickBot="1">
      <c r="A43" s="592"/>
      <c r="B43" s="525" t="s">
        <v>735</v>
      </c>
      <c r="C43" s="597" t="s">
        <v>3240</v>
      </c>
      <c r="D43" s="538">
        <v>100</v>
      </c>
      <c r="E43" s="597" t="s">
        <v>3240</v>
      </c>
      <c r="F43" s="573">
        <f>SUMIF(124:124,E43,125:125)-SUMIF(124:124,C43,125:125)+100</f>
        <v>100</v>
      </c>
      <c r="G43" s="597" t="s">
        <v>3240</v>
      </c>
      <c r="H43" s="538">
        <f>SUMIF(124:124,G43,125:125)-SUMIF(124:124,C43,125:125)+100</f>
        <v>100</v>
      </c>
      <c r="I43" s="597" t="s">
        <v>3240</v>
      </c>
      <c r="J43" s="538">
        <f>SUMIF(124:124,I43,125:125)-SUMIF(124:124,C43,125:125)+100</f>
        <v>100</v>
      </c>
      <c r="K43" s="862">
        <v>2</v>
      </c>
      <c r="L43" s="2140"/>
      <c r="M43" s="2132"/>
      <c r="N43" s="2132"/>
      <c r="O43" s="2139"/>
      <c r="P43" s="3422"/>
      <c r="Q43" s="1571" t="str">
        <f t="shared" si="11"/>
        <v>内部装修维护情况</v>
      </c>
      <c r="R43" s="1572" t="s">
        <v>11</v>
      </c>
      <c r="S43" s="1573">
        <f t="shared" si="12"/>
        <v>100</v>
      </c>
      <c r="T43" s="1572" t="s">
        <v>11</v>
      </c>
      <c r="U43" s="1573">
        <f t="shared" si="13"/>
        <v>100</v>
      </c>
      <c r="V43" s="1572" t="s">
        <v>11</v>
      </c>
      <c r="W43" s="1573">
        <f t="shared" si="14"/>
        <v>100</v>
      </c>
      <c r="X43" s="1566"/>
      <c r="Y43" s="3422"/>
      <c r="Z43" s="1574" t="str">
        <f t="shared" si="15"/>
        <v>内部装修维护情况</v>
      </c>
      <c r="AA43" s="1575">
        <f t="shared" si="3"/>
        <v>1</v>
      </c>
      <c r="AB43" s="1575">
        <f t="shared" si="4"/>
        <v>1</v>
      </c>
      <c r="AC43" s="1575">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22"/>
      <c r="Q44" s="1149">
        <f t="shared" si="11"/>
        <v>111</v>
      </c>
      <c r="R44" s="1567" t="s">
        <v>11</v>
      </c>
      <c r="S44" s="1568">
        <f t="shared" si="12"/>
        <v>100</v>
      </c>
      <c r="T44" s="1567" t="s">
        <v>11</v>
      </c>
      <c r="U44" s="1568">
        <f t="shared" si="13"/>
        <v>100</v>
      </c>
      <c r="V44" s="1567" t="s">
        <v>11</v>
      </c>
      <c r="W44" s="1568">
        <f t="shared" si="14"/>
        <v>100</v>
      </c>
      <c r="X44" s="1569"/>
      <c r="Y44" s="3422"/>
      <c r="Z44" s="1148">
        <f t="shared" si="15"/>
        <v>111</v>
      </c>
      <c r="AA44" s="1570">
        <f t="shared" si="3"/>
        <v>1</v>
      </c>
      <c r="AB44" s="1570">
        <f t="shared" si="4"/>
        <v>1</v>
      </c>
      <c r="AC44" s="1570">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22"/>
      <c r="Q45" s="1571">
        <f t="shared" si="11"/>
        <v>111</v>
      </c>
      <c r="R45" s="1572" t="s">
        <v>11</v>
      </c>
      <c r="S45" s="1573">
        <f t="shared" si="12"/>
        <v>100</v>
      </c>
      <c r="T45" s="1572" t="s">
        <v>11</v>
      </c>
      <c r="U45" s="1573">
        <f t="shared" si="13"/>
        <v>100</v>
      </c>
      <c r="V45" s="1572" t="s">
        <v>11</v>
      </c>
      <c r="W45" s="1573">
        <f t="shared" si="14"/>
        <v>100</v>
      </c>
      <c r="X45" s="1566"/>
      <c r="Y45" s="3422"/>
      <c r="Z45" s="1574">
        <f t="shared" si="15"/>
        <v>111</v>
      </c>
      <c r="AA45" s="1575">
        <f t="shared" si="3"/>
        <v>1</v>
      </c>
      <c r="AB45" s="1575">
        <f t="shared" si="4"/>
        <v>1</v>
      </c>
      <c r="AC45" s="157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78"/>
      <c r="Q46" s="1571">
        <f t="shared" si="11"/>
        <v>111</v>
      </c>
      <c r="R46" s="1572" t="s">
        <v>10</v>
      </c>
      <c r="S46" s="1573">
        <f t="shared" si="12"/>
        <v>100</v>
      </c>
      <c r="T46" s="1572" t="s">
        <v>10</v>
      </c>
      <c r="U46" s="1573">
        <f t="shared" si="13"/>
        <v>100</v>
      </c>
      <c r="V46" s="1572" t="s">
        <v>10</v>
      </c>
      <c r="W46" s="1573">
        <f t="shared" si="14"/>
        <v>100</v>
      </c>
      <c r="X46" s="1566"/>
      <c r="Y46" s="3478"/>
      <c r="Z46" s="1574">
        <f t="shared" si="15"/>
        <v>111</v>
      </c>
      <c r="AA46" s="1575">
        <f t="shared" si="3"/>
        <v>1</v>
      </c>
      <c r="AB46" s="1575">
        <f t="shared" si="4"/>
        <v>1</v>
      </c>
      <c r="AC46" s="1575">
        <f t="shared" si="5"/>
        <v>1</v>
      </c>
    </row>
    <row r="47" spans="1:29" ht="15">
      <c r="A47" s="605" t="s">
        <v>736</v>
      </c>
      <c r="B47" s="885"/>
      <c r="C47" s="2625" t="s">
        <v>9</v>
      </c>
      <c r="D47" s="2626"/>
      <c r="E47" s="2627">
        <v>13500</v>
      </c>
      <c r="F47" s="2628"/>
      <c r="G47" s="2629">
        <v>13000</v>
      </c>
      <c r="H47" s="2630"/>
      <c r="I47" s="2627">
        <v>13000</v>
      </c>
      <c r="J47" s="2630"/>
      <c r="K47" s="1605"/>
      <c r="L47" s="2142"/>
      <c r="M47" s="2143"/>
      <c r="N47" s="2132"/>
      <c r="O47" s="2143"/>
      <c r="P47" s="3386" t="str">
        <f>A47</f>
        <v>成交单价（元/平方米）</v>
      </c>
      <c r="Q47" s="3386"/>
      <c r="R47" s="3477">
        <f>E47</f>
        <v>13500</v>
      </c>
      <c r="S47" s="3477"/>
      <c r="T47" s="3477">
        <f>G47</f>
        <v>13000</v>
      </c>
      <c r="U47" s="3477"/>
      <c r="V47" s="3477">
        <f>I47</f>
        <v>13000</v>
      </c>
      <c r="W47" s="3477"/>
      <c r="X47" s="1558"/>
      <c r="Y47" s="1580"/>
      <c r="Z47" s="1558"/>
      <c r="AA47" s="1558"/>
      <c r="AB47" s="1558"/>
      <c r="AC47" s="1558"/>
    </row>
    <row r="48" spans="1:29" ht="15.75" thickBot="1">
      <c r="A48" s="613" t="s">
        <v>2759</v>
      </c>
      <c r="B48" s="886"/>
      <c r="C48" s="2631">
        <f>R49</f>
        <v>12050</v>
      </c>
      <c r="D48" s="2632"/>
      <c r="E48" s="2633">
        <f>R48</f>
        <v>12273</v>
      </c>
      <c r="F48" s="2633"/>
      <c r="G48" s="2631">
        <f>T48</f>
        <v>11818</v>
      </c>
      <c r="H48" s="2632"/>
      <c r="I48" s="2633">
        <f>V48</f>
        <v>12059</v>
      </c>
      <c r="J48" s="2632"/>
      <c r="K48" s="1606"/>
      <c r="L48" s="2142"/>
      <c r="M48" s="2143"/>
      <c r="N48" s="2143"/>
      <c r="O48" s="2143"/>
      <c r="P48" s="3386" t="str">
        <f>A48</f>
        <v>比较价格（元/平方米）</v>
      </c>
      <c r="Q48" s="3386"/>
      <c r="R48" s="3477">
        <f>IF(F1="售价",ROUND(PRODUCT(R47,AA7:AA46),0),ROUND(PRODUCT(R47,AA7:AA46),1))</f>
        <v>12273</v>
      </c>
      <c r="S48" s="3477"/>
      <c r="T48" s="3477">
        <f>IF(F1="售价",ROUND(PRODUCT(T47,AB7:AB46),0),ROUND(PRODUCT(T47,AB7:AB46),1))</f>
        <v>11818</v>
      </c>
      <c r="U48" s="3477"/>
      <c r="V48" s="3477">
        <f>IF(F1="售价",ROUND(PRODUCT(V47,AC7:AC46),0),ROUND(PRODUCT(V47,AC7:AC46),1))</f>
        <v>12059</v>
      </c>
      <c r="W48" s="3477"/>
      <c r="X48" s="1558"/>
      <c r="Y48" s="1558"/>
      <c r="Z48" s="1558"/>
      <c r="AA48" s="1558"/>
      <c r="AB48" s="1558"/>
      <c r="AC48" s="1558"/>
    </row>
    <row r="49" spans="1:29" ht="15.75" thickBot="1">
      <c r="A49" s="619" t="s">
        <v>2919</v>
      </c>
      <c r="B49" s="620"/>
      <c r="C49" s="2634">
        <f>R49</f>
        <v>12050</v>
      </c>
      <c r="D49" s="2634"/>
      <c r="E49" s="2634"/>
      <c r="F49" s="2634"/>
      <c r="G49" s="2634"/>
      <c r="H49" s="2634"/>
      <c r="I49" s="2634"/>
      <c r="J49" s="2634"/>
      <c r="K49" s="1607"/>
      <c r="L49" s="2142"/>
      <c r="M49" s="2143"/>
      <c r="N49" s="2143"/>
      <c r="O49" s="2143"/>
      <c r="P49" s="3383" t="str">
        <f>A49</f>
        <v>估价对象XX用房的比较价格（楼面单价，元/平方米）</v>
      </c>
      <c r="Q49" s="3384"/>
      <c r="R49" s="3476">
        <f>IF(F1="售价",ROUND(AVERAGE(R48:V48),0),ROUND(AVERAGE(R48:V48),1))</f>
        <v>12050</v>
      </c>
      <c r="S49" s="3476"/>
      <c r="T49" s="3476"/>
      <c r="U49" s="3476"/>
      <c r="V49" s="3476"/>
      <c r="W49" s="3476"/>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9.9975556098753415E-2</v>
      </c>
      <c r="F52" s="625" t="str">
        <f>IF(OR(E52&gt;=0.3,E52&lt;=-0.3),"超过30%","")</f>
        <v/>
      </c>
      <c r="G52" s="624">
        <f>IF(G47&lt;G48,G48/G47-1,G47/G48-1)</f>
        <v>0.10001692333728207</v>
      </c>
      <c r="H52" s="625" t="str">
        <f>IF(OR(G52&gt;=0.3,G52&lt;=-0.3),"超过30%","")</f>
        <v/>
      </c>
      <c r="I52" s="624">
        <f>IF(I47&lt;I48,I48/I47-1,I47/I48-1)</f>
        <v>7.803300439505767E-2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3.8500592316804916E-2</v>
      </c>
      <c r="F53" s="625" t="str">
        <f>IF(OR(E53&gt;=0.2,E53&lt;=-0.2),"超过20%","")</f>
        <v/>
      </c>
      <c r="G53" s="624">
        <f>IF(G48&lt;I48,I48/G48-1,G48/I48-1)</f>
        <v>2.0392621424945023E-2</v>
      </c>
      <c r="H53" s="625" t="str">
        <f>IF(OR(G53&gt;=0.2,G53&lt;=-0.2),"超过20%","")</f>
        <v/>
      </c>
      <c r="I53" s="624">
        <f>IF(I48&lt;E48,E48/I48-1,I48/E48-1)</f>
        <v>1.7746081764657085E-2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f>IF(E47&lt;G47,G47/E47-1,E47/G47-1)</f>
        <v>3.8461538461538547E-2</v>
      </c>
      <c r="F54" s="625" t="str">
        <f>IF(OR(E54&gt;=0.3,E54&lt;=-0.3),"超过30%","")</f>
        <v/>
      </c>
      <c r="G54" s="624">
        <f>IF(G47&lt;I47,I47/G47-1,G47/I47-1)</f>
        <v>0</v>
      </c>
      <c r="H54" s="625" t="str">
        <f>IF(OR(G54&gt;=0.3,G54&lt;=-0.3),"超过30%","")</f>
        <v/>
      </c>
      <c r="I54" s="624">
        <f>IF(I47&lt;E47,E47/I47-1,I47/E47-1)</f>
        <v>3.8461538461538547E-2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802"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1</v>
      </c>
      <c r="E68" s="539">
        <v>2</v>
      </c>
      <c r="F68" s="539">
        <v>3</v>
      </c>
      <c r="G68" s="539">
        <v>4</v>
      </c>
      <c r="H68" s="539">
        <v>5</v>
      </c>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98</v>
      </c>
      <c r="E77" s="677">
        <f>D77-$K15</f>
        <v>96</v>
      </c>
      <c r="F77" s="677">
        <f>E77-$K15</f>
        <v>94</v>
      </c>
      <c r="G77" s="677">
        <f>F77-$K15</f>
        <v>92</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2557</v>
      </c>
      <c r="C82" s="2596" t="s">
        <v>2558</v>
      </c>
      <c r="D82" s="2596" t="s">
        <v>2559</v>
      </c>
      <c r="E82" s="2596" t="s">
        <v>2560</v>
      </c>
      <c r="F82" s="2596" t="s">
        <v>2561</v>
      </c>
      <c r="G82" s="2596" t="s">
        <v>2562</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99</v>
      </c>
      <c r="E83" s="677">
        <f>D83-$K21</f>
        <v>98</v>
      </c>
      <c r="F83" s="677">
        <f>E83-$K21</f>
        <v>97</v>
      </c>
      <c r="G83" s="677">
        <f>F83-$K21</f>
        <v>96</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2258</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3179" t="s">
        <v>3273</v>
      </c>
      <c r="D100" s="3179" t="s">
        <v>3274</v>
      </c>
      <c r="E100" s="3179" t="s">
        <v>3270</v>
      </c>
      <c r="F100" s="3179" t="s">
        <v>3272</v>
      </c>
      <c r="G100" s="3179" t="s">
        <v>3276</v>
      </c>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748</v>
      </c>
      <c r="C102" s="706" t="str">
        <f>C103&amp;"(含)"&amp;"-"&amp;D103</f>
        <v>0(含)-10000</v>
      </c>
      <c r="D102" s="706" t="str">
        <f t="shared" ref="D102:L102" si="23">D103&amp;"(含)"&amp;"-"&amp;E103</f>
        <v>10000(含)-50000</v>
      </c>
      <c r="E102" s="706" t="str">
        <f t="shared" si="23"/>
        <v>50000(含)-100000</v>
      </c>
      <c r="F102" s="706" t="str">
        <f t="shared" si="23"/>
        <v>100000(含)-150000</v>
      </c>
      <c r="G102" s="706" t="str">
        <f t="shared" si="23"/>
        <v>150000(含)-200000</v>
      </c>
      <c r="H102" s="706" t="str">
        <f t="shared" si="23"/>
        <v>200000(含)-250000</v>
      </c>
      <c r="I102" s="706" t="str">
        <f t="shared" si="23"/>
        <v>250000(含)-300000</v>
      </c>
      <c r="J102" s="706" t="str">
        <f t="shared" si="23"/>
        <v>300000(含)-350000</v>
      </c>
      <c r="K102" s="706" t="str">
        <f t="shared" si="23"/>
        <v>350000(含)-400000</v>
      </c>
      <c r="L102" s="706" t="str">
        <f t="shared" si="23"/>
        <v>400000(含)-500000</v>
      </c>
      <c r="M102" s="706" t="str">
        <f>M103&amp;"(含)"&amp;"-"&amp;P103</f>
        <v>500000(含)-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10000</v>
      </c>
      <c r="E103" s="728">
        <v>50000</v>
      </c>
      <c r="F103" s="728">
        <v>100000</v>
      </c>
      <c r="G103" s="728">
        <v>150000</v>
      </c>
      <c r="H103" s="728">
        <v>200000</v>
      </c>
      <c r="I103" s="728">
        <v>250000</v>
      </c>
      <c r="J103" s="729">
        <v>300000</v>
      </c>
      <c r="K103" s="729">
        <v>350000</v>
      </c>
      <c r="L103" s="730">
        <v>400000</v>
      </c>
      <c r="M103" s="731">
        <v>500000</v>
      </c>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f>C104+1</f>
        <v>101</v>
      </c>
      <c r="E104" s="669">
        <f t="shared" ref="E104:M104" si="24">D104+1</f>
        <v>102</v>
      </c>
      <c r="F104" s="669">
        <f t="shared" si="24"/>
        <v>103</v>
      </c>
      <c r="G104" s="669">
        <f t="shared" si="24"/>
        <v>104</v>
      </c>
      <c r="H104" s="669">
        <f t="shared" si="24"/>
        <v>105</v>
      </c>
      <c r="I104" s="669">
        <f t="shared" si="24"/>
        <v>106</v>
      </c>
      <c r="J104" s="669">
        <f t="shared" si="24"/>
        <v>107</v>
      </c>
      <c r="K104" s="669">
        <f t="shared" si="24"/>
        <v>108</v>
      </c>
      <c r="L104" s="669">
        <f t="shared" si="24"/>
        <v>109</v>
      </c>
      <c r="M104" s="669">
        <f t="shared" si="24"/>
        <v>110</v>
      </c>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3181" t="s">
        <v>3278</v>
      </c>
      <c r="D105" s="3181" t="s">
        <v>3279</v>
      </c>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3180" t="s">
        <v>3280</v>
      </c>
      <c r="D107" s="3180" t="s">
        <v>3282</v>
      </c>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3181" t="s">
        <v>3284</v>
      </c>
      <c r="D109" s="3181" t="s">
        <v>3286</v>
      </c>
      <c r="E109" s="3181" t="s">
        <v>3287</v>
      </c>
      <c r="F109" s="3180" t="s">
        <v>3289</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3181" t="s">
        <v>3291</v>
      </c>
      <c r="D114" s="3181" t="s">
        <v>3292</v>
      </c>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2555</v>
      </c>
      <c r="C116" s="686" t="s">
        <v>3241</v>
      </c>
      <c r="D116" s="686" t="s">
        <v>3252</v>
      </c>
      <c r="E116" s="686" t="s">
        <v>3253</v>
      </c>
      <c r="F116" s="686" t="s">
        <v>3254</v>
      </c>
      <c r="G116" s="686" t="s">
        <v>3255</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3181" t="s">
        <v>3284</v>
      </c>
      <c r="D122" s="3181" t="s">
        <v>3286</v>
      </c>
      <c r="E122" s="3181" t="s">
        <v>3287</v>
      </c>
      <c r="F122" s="3180" t="s">
        <v>3289</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30">C123-$K42</f>
        <v>95</v>
      </c>
      <c r="E123" s="677">
        <f t="shared" si="30"/>
        <v>90</v>
      </c>
      <c r="F123" s="677">
        <f t="shared" si="30"/>
        <v>85</v>
      </c>
      <c r="G123" s="677">
        <f t="shared" si="30"/>
        <v>80</v>
      </c>
      <c r="H123" s="677">
        <f t="shared" si="30"/>
        <v>75</v>
      </c>
      <c r="I123" s="677">
        <f t="shared" si="30"/>
        <v>70</v>
      </c>
      <c r="J123" s="677">
        <f t="shared" si="30"/>
        <v>65</v>
      </c>
      <c r="K123" s="677">
        <f t="shared" si="30"/>
        <v>60</v>
      </c>
      <c r="L123" s="677">
        <f t="shared" si="30"/>
        <v>55</v>
      </c>
      <c r="M123" s="677">
        <f t="shared" si="30"/>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45" sqref="G4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3325</v>
      </c>
      <c r="D1" s="3120" t="s">
        <v>3328</v>
      </c>
      <c r="E1" s="2385" t="s">
        <v>2373</v>
      </c>
      <c r="F1" s="2386">
        <f ca="1">J53</f>
        <v>41.28</v>
      </c>
      <c r="G1" s="772">
        <f>MATCH(C1,'数据-取费表'!A6:A16,0)+5</f>
        <v>7</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2237</v>
      </c>
      <c r="C2" s="2055"/>
      <c r="D2" s="2053"/>
      <c r="E2" s="2054"/>
      <c r="F2" s="2054"/>
      <c r="G2" s="1589"/>
      <c r="H2" s="2055"/>
      <c r="I2" s="2055"/>
      <c r="J2" s="2055"/>
      <c r="K2" s="2056"/>
      <c r="L2" s="2055"/>
      <c r="M2" s="2055"/>
    </row>
    <row r="3" spans="1:33" ht="18" customHeight="1" thickBot="1">
      <c r="A3" s="831" t="s">
        <v>1728</v>
      </c>
      <c r="B3" s="832">
        <f ca="1">IF(ISERROR(B2*10000/F43),0,ROUND(B2*10000/F43,0))</f>
        <v>428</v>
      </c>
      <c r="C3" s="2055"/>
      <c r="D3" s="2053"/>
      <c r="E3" s="2054"/>
      <c r="F3" s="2054"/>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2457</v>
      </c>
      <c r="C5" s="55">
        <f ca="1">C6+C10+C12</f>
        <v>483</v>
      </c>
      <c r="D5" s="2494" t="s">
        <v>2460</v>
      </c>
      <c r="E5" s="2488"/>
      <c r="F5" s="2489"/>
      <c r="G5" s="1591"/>
      <c r="H5" s="779">
        <v>1</v>
      </c>
      <c r="I5" s="780" t="s">
        <v>2457</v>
      </c>
      <c r="J5" s="55">
        <f ca="1">J6+J10+J12</f>
        <v>0</v>
      </c>
      <c r="K5" s="2494" t="s">
        <v>2460</v>
      </c>
      <c r="L5" s="2488"/>
      <c r="M5" s="2489"/>
    </row>
    <row r="6" spans="1:33" ht="18" customHeight="1">
      <c r="A6" s="1829" t="s">
        <v>1825</v>
      </c>
      <c r="B6" s="3460" t="s">
        <v>2462</v>
      </c>
      <c r="C6" s="781">
        <f ca="1">ROUND(F6*F8*F7*(1-F9)/10000,0)</f>
        <v>483</v>
      </c>
      <c r="D6" s="2495" t="s">
        <v>2461</v>
      </c>
      <c r="E6" s="782" t="s">
        <v>1739</v>
      </c>
      <c r="F6" s="783">
        <f ca="1">INDIRECT("'数据-取费表'!u"&amp;$G$1)</f>
        <v>300</v>
      </c>
      <c r="G6" s="1591"/>
      <c r="H6" s="2502" t="s">
        <v>2467</v>
      </c>
      <c r="I6" s="3460" t="s">
        <v>2462</v>
      </c>
      <c r="J6" s="781">
        <f ca="1">ROUND(M6*M8*M7*(1-M9)/10000,0)</f>
        <v>0</v>
      </c>
      <c r="K6" s="339" t="s">
        <v>1738</v>
      </c>
      <c r="L6" s="782" t="s">
        <v>1739</v>
      </c>
      <c r="M6" s="783">
        <f ca="1">INDIRECT("'数据-取费表'!z"&amp;$G$1)</f>
        <v>0</v>
      </c>
    </row>
    <row r="7" spans="1:33" ht="18" customHeight="1">
      <c r="A7" s="2498"/>
      <c r="B7" s="3461"/>
      <c r="C7" s="786"/>
      <c r="D7" s="787"/>
      <c r="E7" s="782" t="s">
        <v>1740</v>
      </c>
      <c r="F7" s="783">
        <f ca="1">IF(INDIRECT("'数据-取费表'!ah"&amp;$G$1)="",INDIRECT("'数据-取费表'!k"&amp;$G$1),INDIRECT("'数据-取费表'!ah"&amp;$G$1))</f>
        <v>1492</v>
      </c>
      <c r="G7" s="1591"/>
      <c r="H7" s="2487"/>
      <c r="I7" s="3461"/>
      <c r="J7" s="786"/>
      <c r="K7" s="787"/>
      <c r="L7" s="782" t="s">
        <v>1740</v>
      </c>
      <c r="M7" s="783">
        <f ca="1">F7</f>
        <v>1492</v>
      </c>
    </row>
    <row r="8" spans="1:33" ht="18" customHeight="1">
      <c r="A8" s="2491"/>
      <c r="B8" s="3462"/>
      <c r="C8" s="786"/>
      <c r="D8" s="787"/>
      <c r="E8" s="782" t="s">
        <v>1741</v>
      </c>
      <c r="F8" s="783">
        <f ca="1">INDIRECT("'数据-取费表'!ai"&amp;$G$1)</f>
        <v>12</v>
      </c>
      <c r="G8" s="1591"/>
      <c r="H8" s="2487"/>
      <c r="I8" s="3462"/>
      <c r="J8" s="786"/>
      <c r="K8" s="787"/>
      <c r="L8" s="782" t="s">
        <v>1741</v>
      </c>
      <c r="M8" s="783">
        <f ca="1">INDIRECT("'数据-取费表'!ai"&amp;$G$1)</f>
        <v>12</v>
      </c>
    </row>
    <row r="9" spans="1:33" ht="18" customHeight="1">
      <c r="A9" s="784"/>
      <c r="B9" s="3463"/>
      <c r="C9" s="786"/>
      <c r="D9" s="787"/>
      <c r="E9" s="782" t="s">
        <v>1742</v>
      </c>
      <c r="F9" s="792">
        <f ca="1">INDIRECT("'数据-取费表'!w"&amp;$G$1)</f>
        <v>0.1</v>
      </c>
      <c r="G9" s="1591"/>
      <c r="H9" s="2503"/>
      <c r="I9" s="3462"/>
      <c r="J9" s="786"/>
      <c r="K9" s="787"/>
      <c r="L9" s="793" t="s">
        <v>1742</v>
      </c>
      <c r="M9" s="794">
        <f ca="1">INDIRECT("'数据-取费表'!ab"&amp;$G$1)</f>
        <v>0</v>
      </c>
    </row>
    <row r="10" spans="1:33" ht="18" customHeight="1">
      <c r="A10" s="1829" t="s">
        <v>2465</v>
      </c>
      <c r="B10" s="2492" t="s">
        <v>2458</v>
      </c>
      <c r="C10" s="797">
        <f ca="1">ROUND(IF(F10="押一",C6/12*F11,IF(F10="押二",C6/12*2*F11,IF(F10="押三",C6/12*3*F11,C11*F11))),0)</f>
        <v>0</v>
      </c>
      <c r="D10" s="2499" t="s">
        <v>2960</v>
      </c>
      <c r="E10" s="2496" t="s">
        <v>2463</v>
      </c>
      <c r="F10" s="2619" t="s">
        <v>3329</v>
      </c>
      <c r="G10" s="1591"/>
      <c r="H10" s="2559" t="s">
        <v>2468</v>
      </c>
      <c r="I10" s="2564" t="s">
        <v>2458</v>
      </c>
      <c r="J10" s="781">
        <f ca="1">ROUND(IF(M10="押一",J6/12*M11,IF(M10="押二",J6/12*2*M11,IF(M10="押三",J6/12*3*M11,J11*M11))),0)</f>
        <v>0</v>
      </c>
      <c r="K10" s="2499" t="s">
        <v>2960</v>
      </c>
      <c r="L10" s="2496" t="s">
        <v>2463</v>
      </c>
      <c r="M10" s="2619"/>
    </row>
    <row r="11" spans="1:33" ht="18" customHeight="1">
      <c r="A11" s="788"/>
      <c r="B11" s="2493" t="s">
        <v>2572</v>
      </c>
      <c r="C11" s="2497"/>
      <c r="D11" s="787"/>
      <c r="E11" s="2496" t="s">
        <v>2464</v>
      </c>
      <c r="F11" s="794">
        <f ca="1">'数据-取费表'!B39</f>
        <v>1.4999999999999999E-2</v>
      </c>
      <c r="G11" s="1591"/>
      <c r="H11" s="2560"/>
      <c r="I11" s="2493" t="s">
        <v>2572</v>
      </c>
      <c r="J11" s="2497"/>
      <c r="K11" s="2561"/>
      <c r="L11" s="2496" t="s">
        <v>2464</v>
      </c>
      <c r="M11" s="2490">
        <f ca="1">'数据-取费表'!B39</f>
        <v>1.4999999999999999E-2</v>
      </c>
    </row>
    <row r="12" spans="1:33" ht="18" customHeight="1" thickBot="1">
      <c r="A12" s="2535" t="s">
        <v>2466</v>
      </c>
      <c r="B12" s="2536" t="s">
        <v>2459</v>
      </c>
      <c r="C12" s="2537"/>
      <c r="D12" s="2538"/>
      <c r="E12" s="2539"/>
      <c r="F12" s="2540"/>
      <c r="G12" s="1591"/>
      <c r="H12" s="2549" t="s">
        <v>2469</v>
      </c>
      <c r="I12" s="2562" t="s">
        <v>2459</v>
      </c>
      <c r="J12" s="2563"/>
      <c r="K12" s="2538"/>
      <c r="L12" s="2539"/>
      <c r="M12" s="2552"/>
    </row>
    <row r="13" spans="1:33" ht="18" customHeight="1" thickTop="1">
      <c r="A13" s="1828">
        <v>2</v>
      </c>
      <c r="B13" s="1826" t="s">
        <v>1743</v>
      </c>
      <c r="C13" s="790">
        <f ca="1">ROUND(C29*F13,0)</f>
        <v>16770</v>
      </c>
      <c r="D13" s="1833" t="s">
        <v>2298</v>
      </c>
      <c r="E13" s="1833" t="s">
        <v>1745</v>
      </c>
      <c r="F13" s="2534">
        <f ca="1">INDIRECT("'数据-取费表'!y"&amp;$G$1)</f>
        <v>1</v>
      </c>
      <c r="G13" s="1591"/>
      <c r="H13" s="1828">
        <v>2</v>
      </c>
      <c r="I13" s="1826" t="s">
        <v>1743</v>
      </c>
      <c r="J13" s="1818">
        <f ca="1">ROUND(J14*J15,0)</f>
        <v>0</v>
      </c>
      <c r="K13" s="1820" t="s">
        <v>1744</v>
      </c>
      <c r="L13" s="2550"/>
      <c r="M13" s="2551"/>
    </row>
    <row r="14" spans="1:33" ht="18" customHeight="1">
      <c r="A14" s="1647" t="s">
        <v>1885</v>
      </c>
      <c r="B14" s="782" t="s">
        <v>645</v>
      </c>
      <c r="C14" s="802">
        <f ca="1">INDIRECT("'数据-取费表'!m"&amp;$G$1)+INDIRECT("'数据-取费表'!t"&amp;$G$1)</f>
        <v>11840</v>
      </c>
      <c r="D14" s="1977" t="s">
        <v>1746</v>
      </c>
      <c r="E14" s="1978"/>
      <c r="F14" s="803"/>
      <c r="G14" s="1591"/>
      <c r="H14" s="1648" t="s">
        <v>1831</v>
      </c>
      <c r="I14" s="2229" t="s">
        <v>2825</v>
      </c>
      <c r="J14" s="53">
        <f ca="1">C29</f>
        <v>16770</v>
      </c>
      <c r="K14" s="26"/>
      <c r="L14" s="799"/>
      <c r="M14" s="800"/>
    </row>
    <row r="15" spans="1:33" s="2062" customFormat="1" ht="18" customHeight="1" thickBot="1">
      <c r="A15" s="1647" t="s">
        <v>1886</v>
      </c>
      <c r="B15" s="782" t="s">
        <v>647</v>
      </c>
      <c r="C15" s="53">
        <f ca="1">ROUND(C14*F15,0)</f>
        <v>355</v>
      </c>
      <c r="D15" s="804" t="s">
        <v>1747</v>
      </c>
      <c r="E15" s="804" t="s">
        <v>1748</v>
      </c>
      <c r="F15" s="805">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2" t="s">
        <v>650</v>
      </c>
      <c r="C16" s="53">
        <f ca="1">ROUND(INDIRECT("'数据-取费表'!m"&amp;$G$1)*F16,0)</f>
        <v>0</v>
      </c>
      <c r="D16" s="782" t="s">
        <v>1747</v>
      </c>
      <c r="E16" s="782" t="s">
        <v>1748</v>
      </c>
      <c r="F16" s="807">
        <f ca="1">IF(INDIRECT("'数据-取费表'!c"&amp;$G$1)="住宅",'数据-取费表'!B34,0)</f>
        <v>0</v>
      </c>
      <c r="G16" s="1591"/>
      <c r="H16" s="1828" t="s">
        <v>1749</v>
      </c>
      <c r="I16" s="1826" t="s">
        <v>1750</v>
      </c>
      <c r="J16" s="790">
        <f ca="1">ROUND(J17+J22+J23+J24,0)</f>
        <v>1667</v>
      </c>
      <c r="K16" s="1820" t="s">
        <v>1751</v>
      </c>
      <c r="L16" s="2484"/>
      <c r="M16" s="2489"/>
    </row>
    <row r="17" spans="1:33" s="2062" customFormat="1" ht="18" customHeight="1">
      <c r="A17" s="1647" t="s">
        <v>1888</v>
      </c>
      <c r="B17" s="782" t="s">
        <v>653</v>
      </c>
      <c r="C17" s="53">
        <f ca="1">ROUND(F17*(F43+INDIRECT("'数据-取费表'!S"&amp;$G$1))/10000,0)</f>
        <v>1184</v>
      </c>
      <c r="D17" s="782" t="s">
        <v>1752</v>
      </c>
      <c r="E17" s="782" t="s">
        <v>1753</v>
      </c>
      <c r="F17" s="56">
        <f>'数据-取费表'!B35</f>
        <v>200</v>
      </c>
      <c r="G17" s="1592"/>
      <c r="H17" s="1648" t="s">
        <v>1831</v>
      </c>
      <c r="I17" s="782" t="s">
        <v>656</v>
      </c>
      <c r="J17" s="53">
        <f ca="1">ROUND(IF(项目基本情况!B11="自然人",J5*M17,J18+J19+J20),0)</f>
        <v>1415</v>
      </c>
      <c r="K17" s="2483" t="s">
        <v>1754</v>
      </c>
      <c r="L17" s="2482"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2" t="s">
        <v>659</v>
      </c>
      <c r="C18" s="53">
        <f ca="1">ROUND(C14*F18,0)</f>
        <v>178</v>
      </c>
      <c r="D18" s="782" t="s">
        <v>1747</v>
      </c>
      <c r="E18" s="782" t="s">
        <v>1748</v>
      </c>
      <c r="F18" s="807">
        <f>'数据-取费表'!B36</f>
        <v>1.4999999999999999E-2</v>
      </c>
      <c r="G18" s="1592"/>
      <c r="H18" s="1647" t="s">
        <v>1885</v>
      </c>
      <c r="I18" s="782" t="s">
        <v>1756</v>
      </c>
      <c r="J18" s="53">
        <f ca="1">ROUND(J5*M18/1.05,1)</f>
        <v>0</v>
      </c>
      <c r="K18" s="2482" t="s">
        <v>1757</v>
      </c>
      <c r="L18" s="782" t="s">
        <v>1748</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2" t="s">
        <v>662</v>
      </c>
      <c r="C19" s="53">
        <f ca="1">SUM(C14:C18)</f>
        <v>13557</v>
      </c>
      <c r="D19" s="259" t="s">
        <v>1758</v>
      </c>
      <c r="E19" s="1980"/>
      <c r="F19" s="56"/>
      <c r="G19" s="1591"/>
      <c r="H19" s="1647" t="s">
        <v>1886</v>
      </c>
      <c r="I19" s="782" t="s">
        <v>1759</v>
      </c>
      <c r="J19" s="53">
        <f ca="1">IF(K19="按租金收入计税",ROUND(J5*M19,1),ROUND(C29*F33*0.7,1))</f>
        <v>1408.7</v>
      </c>
      <c r="K19" s="809" t="s">
        <v>665</v>
      </c>
      <c r="L19" s="782" t="s">
        <v>1748</v>
      </c>
      <c r="M19" s="807">
        <f>IF(K19="按租金收入计税",'数据-取费表'!B51,'数据-取费表'!B50)</f>
        <v>1.2E-2</v>
      </c>
    </row>
    <row r="20" spans="1:33" s="2062" customFormat="1" ht="18" customHeight="1">
      <c r="A20" s="1648" t="s">
        <v>1890</v>
      </c>
      <c r="B20" s="782" t="s">
        <v>666</v>
      </c>
      <c r="C20" s="53">
        <f ca="1">ROUND(C19*F20,0)</f>
        <v>271</v>
      </c>
      <c r="D20" s="810" t="s">
        <v>1760</v>
      </c>
      <c r="E20" s="782" t="s">
        <v>1748</v>
      </c>
      <c r="F20" s="807">
        <f>'数据-取费表'!B37</f>
        <v>0.02</v>
      </c>
      <c r="G20" s="1592"/>
      <c r="H20" s="1650" t="s">
        <v>1881</v>
      </c>
      <c r="I20" s="339" t="s">
        <v>1761</v>
      </c>
      <c r="J20" s="54">
        <f ca="1">ROUND(M20*M21/10000,0)</f>
        <v>6</v>
      </c>
      <c r="K20" s="812" t="s">
        <v>1762</v>
      </c>
      <c r="L20" s="782" t="s">
        <v>1763</v>
      </c>
      <c r="M20" s="638">
        <f>'数据-取费表'!B52</f>
        <v>3</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2" t="s">
        <v>1764</v>
      </c>
      <c r="C21" s="53" t="s">
        <v>1765</v>
      </c>
      <c r="D21" s="810" t="s">
        <v>2299</v>
      </c>
      <c r="E21" s="782" t="s">
        <v>1766</v>
      </c>
      <c r="F21" s="807">
        <f>'数据-取费表'!B38</f>
        <v>0.02</v>
      </c>
      <c r="G21" s="1592"/>
      <c r="H21" s="2504"/>
      <c r="I21" s="791"/>
      <c r="J21" s="69"/>
      <c r="K21" s="814"/>
      <c r="L21" s="782" t="s">
        <v>1767</v>
      </c>
      <c r="M21" s="783">
        <f ca="1">INDIRECT("'数据-取费表'!r"&amp;$G$1)</f>
        <v>19526.61</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2" t="s">
        <v>1768</v>
      </c>
      <c r="C22" s="53"/>
      <c r="D22" s="2570" t="str">
        <f>IF(F23&lt;=1,"单利计息。","复利计息。")&amp;"建造成本、管理费用、销售费用产生的利息。"</f>
        <v>复利计息。建造成本、管理费用、销售费用产生的利息。</v>
      </c>
      <c r="E22" s="1980"/>
      <c r="F22" s="56"/>
      <c r="G22" s="1591"/>
      <c r="H22" s="1648" t="s">
        <v>1890</v>
      </c>
      <c r="I22" s="782" t="s">
        <v>1769</v>
      </c>
      <c r="J22" s="53">
        <f ca="1">ROUND(J14*M22,0)</f>
        <v>252</v>
      </c>
      <c r="K22" s="2482" t="s">
        <v>1770</v>
      </c>
      <c r="L22" s="782" t="s">
        <v>1748</v>
      </c>
      <c r="M22" s="815">
        <f ca="1">INDIRECT("'数据-取费表'!Ak"&amp;$G$1)</f>
        <v>1.4999999999999999E-2</v>
      </c>
    </row>
    <row r="23" spans="1:33" s="2062" customFormat="1" ht="18" customHeight="1">
      <c r="A23" s="1647" t="s">
        <v>1832</v>
      </c>
      <c r="B23" s="782" t="s">
        <v>2534</v>
      </c>
      <c r="C23" s="53">
        <f ca="1">ROUND(IF('数据-取费表'!B22&lt;=1,(C19+C20)*F24*F23/2,(C19+C20)*(POWER((1+F24),F23/2)-1)),0)</f>
        <v>997</v>
      </c>
      <c r="D23" s="2569" t="str">
        <f>IF(F23&lt;=1,"(建造成本+管理费用)×利率×(建设周期÷2)","(建造成本+管理费用)×((1+利率)^(建设周期÷2)-1)")</f>
        <v>(建造成本+管理费用)×((1+利率)^(建设周期÷2)-1)</v>
      </c>
      <c r="E23" s="782" t="s">
        <v>1771</v>
      </c>
      <c r="F23" s="638">
        <f>'数据-取费表'!B20</f>
        <v>3</v>
      </c>
      <c r="G23" s="1592"/>
      <c r="H23" s="1648" t="s">
        <v>1891</v>
      </c>
      <c r="I23" s="782" t="s">
        <v>679</v>
      </c>
      <c r="J23" s="53">
        <f ca="1">ROUND(J13*M23,0)</f>
        <v>0</v>
      </c>
      <c r="K23" s="2482"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2" t="s">
        <v>1773</v>
      </c>
      <c r="C24" s="53">
        <f ca="1">ROUND(IF('数据-取费表'!B22&lt;=1,F21*F24*F23/2,F21*(POWER((1+F24),F23/2)-1)),4)</f>
        <v>1.4E-3</v>
      </c>
      <c r="D24" s="2569" t="str">
        <f>IF(F23&lt;=1,"销售费用×利率×(建设周期÷2)","销售费用×((1+利率)^(建设周期÷2)-1)")</f>
        <v>销售费用×((1+利率)^(建设周期÷2)-1)</v>
      </c>
      <c r="E24" s="782" t="s">
        <v>1774</v>
      </c>
      <c r="F24" s="817">
        <f ca="1">'数据-取费表'!B40</f>
        <v>4.7500000000000001E-2</v>
      </c>
      <c r="G24" s="1592"/>
      <c r="H24" s="2549" t="s">
        <v>1892</v>
      </c>
      <c r="I24" s="2544" t="s">
        <v>666</v>
      </c>
      <c r="J24" s="2542">
        <f ca="1">ROUND(J5*M24,0)</f>
        <v>0</v>
      </c>
      <c r="K24" s="2543" t="s">
        <v>1775</v>
      </c>
      <c r="L24" s="2544" t="s">
        <v>1748</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2" t="s">
        <v>684</v>
      </c>
      <c r="C25" s="53"/>
      <c r="D25" s="259" t="s">
        <v>1776</v>
      </c>
      <c r="E25" s="1980"/>
      <c r="F25" s="56"/>
      <c r="G25" s="1591"/>
      <c r="H25" s="1828" t="s">
        <v>1777</v>
      </c>
      <c r="I25" s="3008" t="s">
        <v>2821</v>
      </c>
      <c r="J25" s="790">
        <f ca="1">J5-J16</f>
        <v>-1667</v>
      </c>
      <c r="K25" s="2546" t="s">
        <v>1778</v>
      </c>
      <c r="L25" s="2547"/>
      <c r="M25" s="2548"/>
    </row>
    <row r="26" spans="1:33" ht="18" customHeight="1">
      <c r="A26" s="1647" t="s">
        <v>1832</v>
      </c>
      <c r="B26" s="782" t="s">
        <v>2437</v>
      </c>
      <c r="C26" s="53">
        <f ca="1">ROUND((C19+C20)*F26,0)</f>
        <v>691</v>
      </c>
      <c r="D26" s="810" t="s">
        <v>1779</v>
      </c>
      <c r="E26" s="793" t="s">
        <v>1780</v>
      </c>
      <c r="F26" s="792">
        <f ca="1">INDIRECT("'数据-取费表'!q"&amp;$G$1)</f>
        <v>0.05</v>
      </c>
      <c r="G26" s="1591"/>
      <c r="H26" s="2500" t="s">
        <v>1781</v>
      </c>
      <c r="I26" s="2230" t="s">
        <v>2826</v>
      </c>
      <c r="J26" s="781">
        <f ca="1">IF(J5&lt;&gt;0,ROUND(J25*(1-((1+M28)/(1+M26))^M27)/(M26-M28),0),0)</f>
        <v>0</v>
      </c>
      <c r="K26" s="812" t="s">
        <v>1782</v>
      </c>
      <c r="L26" s="782" t="s">
        <v>2418</v>
      </c>
      <c r="M26" s="792">
        <f ca="1">INDIRECT("'数据-取费表'!I"&amp;$G$1)</f>
        <v>0.05</v>
      </c>
    </row>
    <row r="27" spans="1:33" ht="18" customHeight="1">
      <c r="A27" s="1647" t="s">
        <v>1833</v>
      </c>
      <c r="B27" s="782" t="s">
        <v>686</v>
      </c>
      <c r="C27" s="53">
        <f ca="1">ROUND(F21*F26,4)</f>
        <v>1E-3</v>
      </c>
      <c r="D27" s="810" t="s">
        <v>1783</v>
      </c>
      <c r="E27" s="804"/>
      <c r="F27" s="805"/>
      <c r="G27" s="1591"/>
      <c r="H27" s="2501"/>
      <c r="I27" s="785"/>
      <c r="J27" s="786"/>
      <c r="K27" s="819" t="s">
        <v>1784</v>
      </c>
      <c r="L27" s="782" t="s">
        <v>1785</v>
      </c>
      <c r="M27" s="820">
        <f ca="1">INDIRECT("'数据-取费表'!ag"&amp;$G$1)</f>
        <v>0</v>
      </c>
    </row>
    <row r="28" spans="1:33" s="2062" customFormat="1" ht="18" customHeight="1">
      <c r="A28" s="1649" t="s">
        <v>1842</v>
      </c>
      <c r="B28" s="782" t="s">
        <v>687</v>
      </c>
      <c r="C28" s="53">
        <f>ROUND(F28/(1+'数据-取费表'!C42),4)</f>
        <v>5.2400000000000002E-2</v>
      </c>
      <c r="D28" s="810" t="s">
        <v>2300</v>
      </c>
      <c r="E28" s="782" t="s">
        <v>1786</v>
      </c>
      <c r="F28" s="807">
        <f>'数据-取费表'!B41</f>
        <v>5.5000000000000007E-2</v>
      </c>
      <c r="G28" s="1592"/>
      <c r="H28" s="1828"/>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2301</v>
      </c>
      <c r="C29" s="2542">
        <f ca="1">ROUND((C19+C20+C23+C26)/(1-F21-C24-C27-C28),0)</f>
        <v>16770</v>
      </c>
      <c r="D29" s="2543"/>
      <c r="E29" s="2544"/>
      <c r="F29" s="2545"/>
      <c r="G29" s="1592"/>
      <c r="H29" s="821" t="s">
        <v>1788</v>
      </c>
      <c r="I29" s="822" t="s">
        <v>1789</v>
      </c>
      <c r="J29" s="823">
        <f ca="1">ROUND(J26/(1+F40)^F41,0)</f>
        <v>0</v>
      </c>
      <c r="K29" s="824" t="s">
        <v>1790</v>
      </c>
      <c r="L29" s="825"/>
      <c r="M29" s="826">
        <f ca="1">INDIRECT("'数据-取费表'!k"&amp;$G$1)</f>
        <v>52223.11</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8" t="s">
        <v>1894</v>
      </c>
      <c r="B30" s="1826" t="s">
        <v>1791</v>
      </c>
      <c r="C30" s="790">
        <f ca="1">ROUND(C31+C36+C37+C38,0)</f>
        <v>371</v>
      </c>
      <c r="D30" s="1820" t="s">
        <v>1792</v>
      </c>
      <c r="E30" s="2484"/>
      <c r="F30" s="2489"/>
      <c r="G30" s="2060"/>
      <c r="H30" s="2063"/>
      <c r="I30" s="2064"/>
      <c r="J30" s="2065"/>
      <c r="K30" s="2066"/>
      <c r="L30" s="2067"/>
      <c r="M30" s="2068"/>
    </row>
    <row r="31" spans="1:33" ht="18" customHeight="1">
      <c r="A31" s="1648" t="s">
        <v>1831</v>
      </c>
      <c r="B31" s="782" t="s">
        <v>656</v>
      </c>
      <c r="C31" s="53">
        <f ca="1">ROUND(IF(项目基本情况!B11="自然人",C5*F31,C32+C33+C34),1)</f>
        <v>89.2</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2" t="s">
        <v>1795</v>
      </c>
      <c r="C32" s="53">
        <f ca="1">ROUND(C5*F32/1.05,1)</f>
        <v>25.3</v>
      </c>
      <c r="D32" s="1975" t="s">
        <v>1796</v>
      </c>
      <c r="E32" s="782" t="s">
        <v>1797</v>
      </c>
      <c r="F32" s="807">
        <f>'数据-取费表'!B41</f>
        <v>5.5000000000000007E-2</v>
      </c>
      <c r="G32" s="2060"/>
      <c r="H32" s="2069"/>
      <c r="I32" s="2070"/>
      <c r="J32" s="2071"/>
      <c r="K32" s="2072"/>
      <c r="L32" s="2073"/>
      <c r="M32" s="2074"/>
    </row>
    <row r="33" spans="1:18" ht="18" customHeight="1">
      <c r="A33" s="1647" t="s">
        <v>1833</v>
      </c>
      <c r="B33" s="782" t="s">
        <v>1798</v>
      </c>
      <c r="C33" s="53">
        <f ca="1">IF(D33="按租金收入计税",ROUND(C5*F33,1),IF(D33="按房产原值计税",ROUND(C29*F33*0.7,1),INDIRECT("'数据-取费表'!Aj"&amp;$G$1)))</f>
        <v>58</v>
      </c>
      <c r="D33" s="809" t="s">
        <v>3330</v>
      </c>
      <c r="E33" s="782" t="s">
        <v>1797</v>
      </c>
      <c r="F33" s="807">
        <f>IF(D33="按租金收入计税",'数据-取费表'!B51,'数据-取费表'!B50)</f>
        <v>0.12</v>
      </c>
      <c r="G33" s="2060"/>
      <c r="H33" s="2075"/>
      <c r="I33" s="2075"/>
      <c r="J33" s="2075"/>
      <c r="K33" s="2076"/>
      <c r="L33" s="2075"/>
      <c r="M33" s="2075"/>
    </row>
    <row r="34" spans="1:18" ht="18" customHeight="1">
      <c r="A34" s="1650" t="s">
        <v>1834</v>
      </c>
      <c r="B34" s="339" t="s">
        <v>1799</v>
      </c>
      <c r="C34" s="54">
        <f ca="1">ROUND(F34*F35/10000,1)</f>
        <v>5.9</v>
      </c>
      <c r="D34" s="812" t="s">
        <v>1800</v>
      </c>
      <c r="E34" s="782" t="s">
        <v>1801</v>
      </c>
      <c r="F34" s="638">
        <f>'数据-取费表'!B52</f>
        <v>3</v>
      </c>
      <c r="G34" s="2060"/>
      <c r="H34" s="2063"/>
      <c r="I34" s="833" t="s">
        <v>1814</v>
      </c>
      <c r="J34" s="834"/>
      <c r="K34" s="2078"/>
      <c r="L34" s="2077"/>
      <c r="M34" s="2077"/>
    </row>
    <row r="35" spans="1:18" ht="18" customHeight="1">
      <c r="A35" s="813"/>
      <c r="B35" s="791"/>
      <c r="C35" s="69"/>
      <c r="D35" s="814"/>
      <c r="E35" s="782" t="s">
        <v>1802</v>
      </c>
      <c r="F35" s="783">
        <f ca="1">INDIRECT("'数据-取费表'!r"&amp;$G$1)</f>
        <v>19526.61</v>
      </c>
      <c r="G35" s="2060"/>
      <c r="H35" s="2063"/>
      <c r="I35" s="835" t="s">
        <v>1815</v>
      </c>
      <c r="J35" s="836">
        <f ca="1">ROUND(C13*J36,0)</f>
        <v>0</v>
      </c>
      <c r="K35" s="2076"/>
      <c r="L35" s="2075"/>
      <c r="M35" s="2075"/>
    </row>
    <row r="36" spans="1:18" ht="18" customHeight="1">
      <c r="A36" s="1648" t="s">
        <v>1890</v>
      </c>
      <c r="B36" s="782" t="s">
        <v>1803</v>
      </c>
      <c r="C36" s="53">
        <f ca="1">ROUND(C29*F36,1)</f>
        <v>251.6</v>
      </c>
      <c r="D36" s="1975" t="s">
        <v>1804</v>
      </c>
      <c r="E36" s="782" t="s">
        <v>1797</v>
      </c>
      <c r="F36" s="815">
        <f ca="1">INDIRECT("'数据-取费表'!Ak"&amp;$G$1)</f>
        <v>1.4999999999999999E-2</v>
      </c>
      <c r="G36" s="2060"/>
      <c r="H36" s="2075"/>
      <c r="I36" s="837" t="s">
        <v>1816</v>
      </c>
      <c r="J36" s="838">
        <f ca="1">INDIRECT("'数据-取费表'!j"&amp;$G$1)</f>
        <v>0</v>
      </c>
      <c r="K36" s="2080"/>
      <c r="L36" s="2075"/>
      <c r="M36" s="2075"/>
    </row>
    <row r="37" spans="1:18" ht="18" customHeight="1">
      <c r="A37" s="1648" t="s">
        <v>1891</v>
      </c>
      <c r="B37" s="782" t="s">
        <v>679</v>
      </c>
      <c r="C37" s="53">
        <f ca="1">ROUND(C13*F37,1)</f>
        <v>25.2</v>
      </c>
      <c r="D37" s="1975"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4.8</v>
      </c>
      <c r="D38" s="2543" t="s">
        <v>1806</v>
      </c>
      <c r="E38" s="2544" t="s">
        <v>1797</v>
      </c>
      <c r="F38" s="2540">
        <f ca="1">INDIRECT("'数据-取费表'!Am"&amp;$G$1)</f>
        <v>0.01</v>
      </c>
      <c r="G38" s="2060"/>
      <c r="H38" s="2075"/>
      <c r="I38" s="841" t="s">
        <v>1818</v>
      </c>
      <c r="J38" s="842"/>
      <c r="K38" s="2081"/>
      <c r="L38" s="2075"/>
      <c r="M38" s="2075"/>
    </row>
    <row r="39" spans="1:18" ht="24.6" customHeight="1" thickTop="1">
      <c r="A39" s="1828" t="s">
        <v>1895</v>
      </c>
      <c r="B39" s="3008" t="s">
        <v>2821</v>
      </c>
      <c r="C39" s="790">
        <f ca="1">C5-C30</f>
        <v>112</v>
      </c>
      <c r="D39" s="2546" t="s">
        <v>1807</v>
      </c>
      <c r="E39" s="2547"/>
      <c r="F39" s="2548"/>
      <c r="G39" s="2060"/>
      <c r="H39" s="2075"/>
      <c r="I39" s="835" t="s">
        <v>1819</v>
      </c>
      <c r="J39" s="843">
        <f ca="1">ROUND(J35/C39,3)</f>
        <v>0</v>
      </c>
      <c r="K39" s="2081"/>
      <c r="L39" s="2075"/>
      <c r="M39" s="2075"/>
    </row>
    <row r="40" spans="1:18" ht="18" customHeight="1">
      <c r="A40" s="779" t="s">
        <v>1896</v>
      </c>
      <c r="B40" s="2230" t="s">
        <v>2302</v>
      </c>
      <c r="C40" s="781">
        <f ca="1">ROUND(C39*(1-((1+F42)/(1+F40))^F41)/(F40-F42),0)</f>
        <v>2237</v>
      </c>
      <c r="D40" s="812" t="s">
        <v>1808</v>
      </c>
      <c r="E40" s="782" t="s">
        <v>2418</v>
      </c>
      <c r="F40" s="792">
        <f ca="1">INDIRECT("'数据-取费表'!I"&amp;$G$1)</f>
        <v>0.05</v>
      </c>
      <c r="G40" s="2060"/>
      <c r="H40" s="2060"/>
      <c r="I40" s="835" t="s">
        <v>1820</v>
      </c>
      <c r="J40" s="843">
        <f ca="1">1-J39</f>
        <v>1</v>
      </c>
      <c r="K40" s="2081"/>
      <c r="L40" s="2060"/>
      <c r="M40" s="2060"/>
    </row>
    <row r="41" spans="1:18" ht="18" customHeight="1">
      <c r="A41" s="784"/>
      <c r="B41" s="785"/>
      <c r="C41" s="786"/>
      <c r="D41" s="819" t="s">
        <v>1809</v>
      </c>
      <c r="E41" s="782" t="s">
        <v>2950</v>
      </c>
      <c r="F41" s="820">
        <f ca="1">IF(INDIRECT("'数据-取费表'!af"&amp;$G$1)=0,INDIRECT("'数据-取费表'!ae"&amp;$G$1),INDIRECT("'数据-取费表'!af"&amp;$G$1))</f>
        <v>41.28</v>
      </c>
      <c r="G41" s="2060"/>
      <c r="H41" s="1986"/>
      <c r="I41" s="841" t="s">
        <v>1821</v>
      </c>
      <c r="J41" s="844"/>
      <c r="K41" s="2080"/>
      <c r="L41" s="1986"/>
      <c r="M41" s="1986"/>
    </row>
    <row r="42" spans="1:18" ht="18" customHeight="1">
      <c r="A42" s="788"/>
      <c r="B42" s="789"/>
      <c r="C42" s="790"/>
      <c r="D42" s="814"/>
      <c r="E42" s="782" t="s">
        <v>1810</v>
      </c>
      <c r="F42" s="792">
        <f ca="1">INDIRECT("'数据-取费表'!v"&amp;$G$1)</f>
        <v>0.01</v>
      </c>
      <c r="G42" s="2060"/>
      <c r="H42" s="1986"/>
      <c r="I42" s="845" t="s">
        <v>1822</v>
      </c>
      <c r="J42" s="843">
        <f ca="1">ROUND(C13/C40,3)</f>
        <v>7.4969999999999999</v>
      </c>
      <c r="K42" s="2080"/>
      <c r="L42" s="1986"/>
      <c r="M42" s="1986"/>
    </row>
    <row r="43" spans="1:18" ht="18" customHeight="1" thickBot="1">
      <c r="A43" s="821" t="s">
        <v>1788</v>
      </c>
      <c r="B43" s="822" t="s">
        <v>1811</v>
      </c>
      <c r="C43" s="823">
        <f ca="1">ROUND(C40*10000/F43,0)</f>
        <v>428</v>
      </c>
      <c r="D43" s="824" t="s">
        <v>1812</v>
      </c>
      <c r="E43" s="825" t="s">
        <v>1813</v>
      </c>
      <c r="F43" s="826">
        <f ca="1">INDIRECT("'数据-取费表'!k"&amp;$G$1)</f>
        <v>52223.11</v>
      </c>
      <c r="G43" s="2060"/>
      <c r="H43" s="1986"/>
      <c r="I43" s="845" t="s">
        <v>1823</v>
      </c>
      <c r="J43" s="846">
        <f ca="1">1-J42</f>
        <v>-6.4969999999999999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-7142</v>
      </c>
      <c r="D46" s="2083"/>
      <c r="E46" s="2083"/>
      <c r="F46" s="2083"/>
      <c r="I46" s="2376" t="s">
        <v>2342</v>
      </c>
      <c r="J46" s="2377"/>
      <c r="K46" s="2378"/>
      <c r="L46" s="3155">
        <f>IF(OR(M47="住宅",D1="土地（套用方法）"),0,IF(L48&gt;J51,L60,J60))</f>
        <v>0</v>
      </c>
      <c r="O46" s="2392" t="s">
        <v>2409</v>
      </c>
      <c r="P46" s="1591"/>
      <c r="Q46" s="1603"/>
      <c r="R46" s="1591"/>
    </row>
    <row r="47" spans="1:18" s="2057" customFormat="1" ht="18" customHeight="1" thickBot="1">
      <c r="A47" s="2370">
        <v>1</v>
      </c>
      <c r="B47" s="2371" t="s">
        <v>635</v>
      </c>
      <c r="C47" s="2572">
        <f ca="1">C48+C52+C54</f>
        <v>0</v>
      </c>
      <c r="D47" s="2083"/>
      <c r="E47" s="2083"/>
      <c r="F47" s="2083"/>
      <c r="I47" s="3145" t="s">
        <v>2343</v>
      </c>
      <c r="J47" s="2379" t="s">
        <v>3277</v>
      </c>
      <c r="K47" s="3152" t="s">
        <v>2348</v>
      </c>
      <c r="L47" s="3156">
        <f ca="1">INDIRECT("'数据-取费表'!d"&amp;$G$1)</f>
        <v>50</v>
      </c>
      <c r="M47" s="1603" t="str">
        <f>IF(ISNUMBER(FIND("住宅",C1)),"住宅","非住宅")</f>
        <v>非住宅</v>
      </c>
      <c r="O47" s="2393" t="s">
        <v>2374</v>
      </c>
      <c r="P47" s="2394" t="s">
        <v>2375</v>
      </c>
      <c r="Q47" s="2395" t="s">
        <v>2376</v>
      </c>
      <c r="R47" s="2394" t="s">
        <v>2377</v>
      </c>
    </row>
    <row r="48" spans="1:18" s="2057" customFormat="1" ht="18" customHeight="1" thickBot="1">
      <c r="A48" s="2640" t="s">
        <v>2536</v>
      </c>
      <c r="B48" s="2641" t="s">
        <v>2537</v>
      </c>
      <c r="C48" s="2372">
        <f ca="1">ROUND(F48*F50*F49*(1-F51)/10000,0)</f>
        <v>0</v>
      </c>
      <c r="D48" s="2373" t="s">
        <v>636</v>
      </c>
      <c r="E48" s="2374" t="s">
        <v>2297</v>
      </c>
      <c r="F48" s="2375"/>
      <c r="G48" s="2088"/>
      <c r="I48" s="3121" t="s">
        <v>2344</v>
      </c>
      <c r="J48" s="2380" t="s">
        <v>2349</v>
      </c>
      <c r="K48" s="3153" t="s">
        <v>2350</v>
      </c>
      <c r="L48" s="1906">
        <f ca="1">INDIRECT("'数据-取费表'!f"&amp;$G$1)</f>
        <v>44.28</v>
      </c>
      <c r="O48" s="2396" t="s">
        <v>2378</v>
      </c>
      <c r="P48" s="2397" t="s">
        <v>2404</v>
      </c>
      <c r="Q48" s="2398">
        <f ca="1">C40+J29</f>
        <v>2237</v>
      </c>
      <c r="R48" s="2397" t="s">
        <v>2379</v>
      </c>
    </row>
    <row r="49" spans="1:18" s="2057" customFormat="1" ht="18" customHeight="1" thickBot="1">
      <c r="A49" s="784"/>
      <c r="B49" s="785"/>
      <c r="C49" s="786"/>
      <c r="D49" s="787"/>
      <c r="E49" s="782" t="s">
        <v>1740</v>
      </c>
      <c r="F49" s="783">
        <f ca="1">F7</f>
        <v>1492</v>
      </c>
      <c r="G49" s="2088"/>
      <c r="H49" s="2091"/>
      <c r="I49" s="3121" t="s">
        <v>2345</v>
      </c>
      <c r="J49" s="2381">
        <v>2020</v>
      </c>
      <c r="K49" s="3154" t="s">
        <v>2351</v>
      </c>
      <c r="L49" s="2382"/>
      <c r="O49" s="2396" t="s">
        <v>2380</v>
      </c>
      <c r="P49" s="2397" t="s">
        <v>2405</v>
      </c>
      <c r="Q49" s="2398">
        <f ca="1">J60</f>
        <v>6708</v>
      </c>
      <c r="R49" s="2397" t="s">
        <v>2381</v>
      </c>
    </row>
    <row r="50" spans="1:18" s="2057" customFormat="1" ht="18" customHeight="1" thickBot="1">
      <c r="A50" s="784"/>
      <c r="B50" s="785"/>
      <c r="C50" s="786"/>
      <c r="D50" s="787"/>
      <c r="E50" s="782" t="s">
        <v>1741</v>
      </c>
      <c r="F50" s="783">
        <f ca="1">F8</f>
        <v>12</v>
      </c>
      <c r="G50" s="2093"/>
      <c r="H50" s="2091"/>
      <c r="I50" s="3121" t="s">
        <v>2346</v>
      </c>
      <c r="J50" s="3149">
        <f>SUMPRODUCT((I63:I65=J47)*(J62:L62=J48)*(J63:L65))</f>
        <v>60</v>
      </c>
      <c r="K50" s="3154" t="s">
        <v>2352</v>
      </c>
      <c r="L50" s="2382"/>
      <c r="O50" s="2399" t="s">
        <v>2382</v>
      </c>
      <c r="P50" s="2397" t="s">
        <v>2406</v>
      </c>
      <c r="Q50" s="2398">
        <f ca="1">C29</f>
        <v>16770</v>
      </c>
      <c r="R50" s="2397" t="s">
        <v>2379</v>
      </c>
    </row>
    <row r="51" spans="1:18" s="2057" customFormat="1" ht="18" customHeight="1" thickBot="1">
      <c r="A51" s="784"/>
      <c r="B51" s="785"/>
      <c r="C51" s="786"/>
      <c r="D51" s="787"/>
      <c r="E51" s="782" t="s">
        <v>640</v>
      </c>
      <c r="F51" s="2369"/>
      <c r="H51" s="2091"/>
      <c r="I51" s="3146" t="s">
        <v>2347</v>
      </c>
      <c r="J51" s="3150">
        <f>IF(J49="",J50,J49+J50-YEAR('数据-取费表'!B2))</f>
        <v>62</v>
      </c>
      <c r="K51" s="3121" t="s">
        <v>2353</v>
      </c>
      <c r="L51" s="3157">
        <f ca="1">ROUND(-PV(INDIRECT("'数据-取费表'!h"&amp;$G$1),L48,(C39-C13*J36),0),0)</f>
        <v>2134</v>
      </c>
      <c r="O51" s="2399" t="s">
        <v>2383</v>
      </c>
      <c r="P51" s="2397" t="s">
        <v>2384</v>
      </c>
      <c r="Q51" s="2400">
        <f ca="1">J58</f>
        <v>0.4</v>
      </c>
      <c r="R51" s="2401"/>
    </row>
    <row r="52" spans="1:18" s="2057" customFormat="1" ht="18" customHeight="1" thickBot="1">
      <c r="A52" s="779" t="s">
        <v>2535</v>
      </c>
      <c r="B52" s="2492" t="s">
        <v>2458</v>
      </c>
      <c r="C52" s="797">
        <f ca="1">ROUND(IF(F52="押一",C48/12*F11,IF(F52="押二",C48/12*2*F11,IF(F52="押三",C48/12*3*F11,C53*F11))),0)</f>
        <v>0</v>
      </c>
      <c r="D52" s="2499" t="s">
        <v>2961</v>
      </c>
      <c r="E52" s="2496" t="s">
        <v>2463</v>
      </c>
      <c r="F52" s="2619"/>
      <c r="I52" s="3147" t="s">
        <v>2420</v>
      </c>
      <c r="J52" s="2383"/>
      <c r="K52" s="3147" t="s">
        <v>2419</v>
      </c>
      <c r="L52" s="2383"/>
      <c r="O52" s="2399" t="s">
        <v>2385</v>
      </c>
      <c r="P52" s="2397" t="s">
        <v>2386</v>
      </c>
      <c r="Q52" s="2400">
        <f>J52</f>
        <v>0</v>
      </c>
      <c r="R52" s="2401"/>
    </row>
    <row r="53" spans="1:18" s="2057" customFormat="1" ht="39.75" customHeight="1" thickBot="1">
      <c r="A53" s="784"/>
      <c r="B53" s="2493" t="s">
        <v>2572</v>
      </c>
      <c r="C53" s="2497"/>
      <c r="D53" s="2499"/>
      <c r="E53" s="2496"/>
      <c r="F53" s="798"/>
      <c r="I53" s="3148" t="s">
        <v>2965</v>
      </c>
      <c r="J53" s="3151">
        <f ca="1">IF(M47="住宅",IF(D1="——",MAX(J51,L48),MAX(J51,L48-'数据-取费表'!B20)),IF(D1="——",MIN(J51,L48),MIN(J51,L48-'数据-取费表'!B20)))</f>
        <v>41.28</v>
      </c>
      <c r="K53" s="3481" t="s">
        <v>2952</v>
      </c>
      <c r="L53" s="3482"/>
      <c r="O53" s="2399" t="s">
        <v>2387</v>
      </c>
      <c r="P53" s="2397" t="s">
        <v>2388</v>
      </c>
      <c r="Q53" s="2398">
        <f ca="1">J53</f>
        <v>41.28</v>
      </c>
      <c r="R53" s="2397" t="s">
        <v>2389</v>
      </c>
    </row>
    <row r="54" spans="1:18" s="2057" customFormat="1" ht="18" customHeight="1" thickBot="1">
      <c r="A54" s="2535" t="s">
        <v>2466</v>
      </c>
      <c r="B54" s="2536" t="s">
        <v>2459</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2390</v>
      </c>
      <c r="P54" s="2397" t="s">
        <v>2407</v>
      </c>
      <c r="Q54" s="2398">
        <f ca="1">Q48+Q49</f>
        <v>8945</v>
      </c>
      <c r="R54" s="2401" t="s">
        <v>2391</v>
      </c>
    </row>
    <row r="55" spans="1:18" s="2057" customFormat="1" ht="18" customHeight="1" thickTop="1" thickBot="1">
      <c r="A55" s="795">
        <v>2</v>
      </c>
      <c r="B55" s="796" t="s">
        <v>644</v>
      </c>
      <c r="C55" s="797">
        <f ca="1">C13</f>
        <v>16770</v>
      </c>
      <c r="D55" s="793"/>
      <c r="E55" s="793"/>
      <c r="F55" s="798"/>
      <c r="I55" s="3160" t="s">
        <v>2354</v>
      </c>
      <c r="J55" s="3096">
        <f ca="1">ROUND(IF(J47="钢混",J57/J50,1-(1-2%)*(J50-J57)/J50),3)</f>
        <v>0.29499999999999998</v>
      </c>
      <c r="K55" s="3161" t="s">
        <v>2355</v>
      </c>
      <c r="L55" s="2384"/>
      <c r="O55" s="2402" t="s">
        <v>2410</v>
      </c>
      <c r="P55" s="1591"/>
      <c r="Q55" s="1603"/>
      <c r="R55" s="1591"/>
    </row>
    <row r="56" spans="1:18" s="2057" customFormat="1" ht="42.75" customHeight="1" thickBot="1">
      <c r="A56" s="1649"/>
      <c r="B56" s="2229" t="s">
        <v>2303</v>
      </c>
      <c r="C56" s="53">
        <f ca="1">C29</f>
        <v>16770</v>
      </c>
      <c r="D56" s="2637"/>
      <c r="E56" s="782"/>
      <c r="F56" s="807"/>
      <c r="I56" s="3162" t="s">
        <v>2356</v>
      </c>
      <c r="J56" s="3172"/>
      <c r="K56" s="3121" t="s">
        <v>2361</v>
      </c>
      <c r="L56" s="1906" t="str">
        <f ca="1">IF(L48&lt;J51,"——",L48-J51)</f>
        <v>——</v>
      </c>
      <c r="O56" s="2393" t="s">
        <v>2374</v>
      </c>
      <c r="P56" s="2394" t="s">
        <v>2375</v>
      </c>
      <c r="Q56" s="2395" t="s">
        <v>2376</v>
      </c>
      <c r="R56" s="2394" t="s">
        <v>2377</v>
      </c>
    </row>
    <row r="57" spans="1:18" s="2057" customFormat="1" ht="28.5" customHeight="1" thickBot="1">
      <c r="A57" s="795" t="s">
        <v>1749</v>
      </c>
      <c r="B57" s="796" t="s">
        <v>651</v>
      </c>
      <c r="C57" s="797">
        <f ca="1">ROUND(C58+C63+C64+C65,0)</f>
        <v>283</v>
      </c>
      <c r="D57" s="26" t="s">
        <v>1751</v>
      </c>
      <c r="E57" s="2638"/>
      <c r="F57" s="56"/>
      <c r="I57" s="3163" t="s">
        <v>2357</v>
      </c>
      <c r="J57" s="3164">
        <f ca="1">IF(OR(M47="住宅",J51&lt;L48,J56="是"),"——",J51-L48)</f>
        <v>17.72</v>
      </c>
      <c r="K57" s="3121" t="s">
        <v>2362</v>
      </c>
      <c r="L57" s="1906" t="str">
        <f ca="1">IF(L48&lt;J51,"——",IF(L55="比较法",L49,IF(L55="基准地价",L50,L51)))</f>
        <v>——</v>
      </c>
      <c r="O57" s="2396" t="s">
        <v>2378</v>
      </c>
      <c r="P57" s="2397" t="s">
        <v>2408</v>
      </c>
      <c r="Q57" s="2398">
        <f ca="1">C40+J29</f>
        <v>2237</v>
      </c>
      <c r="R57" s="2397" t="s">
        <v>2379</v>
      </c>
    </row>
    <row r="58" spans="1:18" s="2057" customFormat="1" ht="28.5" customHeight="1" thickBot="1">
      <c r="A58" s="1648" t="s">
        <v>1825</v>
      </c>
      <c r="B58" s="782" t="s">
        <v>656</v>
      </c>
      <c r="C58" s="53">
        <f ca="1">ROUND(IF(项目基本情况!B11="自然人",C47*F58,C59+C60+C61),1)</f>
        <v>5.9</v>
      </c>
      <c r="D58" s="2636" t="s">
        <v>657</v>
      </c>
      <c r="E58" s="2637" t="s">
        <v>690</v>
      </c>
      <c r="F58" s="808" t="str">
        <f ca="1">IF(项目基本情况!B11="企业","",IF(INDIRECT("'数据-取费表'!c"&amp;$G$1)="住宅",5%,IF(F48*F49*F50/12/(1+'数据-取费表'!C42)&gt;20000,12%,7%)))</f>
        <v/>
      </c>
      <c r="I58" s="3163" t="s">
        <v>2358</v>
      </c>
      <c r="J58" s="3097">
        <f ca="1">IF(J55&lt;0.4,0.4,J55)</f>
        <v>0.4</v>
      </c>
      <c r="K58" s="3121" t="s">
        <v>2363</v>
      </c>
      <c r="L58" s="1906" t="e">
        <f ca="1">ROUND(POWER(1+L52,L47-L48)*(POWER(1+L52,L48)-1)/(POWER(1+L52,L47)-1),4)</f>
        <v>#DIV/0!</v>
      </c>
      <c r="O58" s="2396" t="s">
        <v>2380</v>
      </c>
      <c r="P58" s="2397" t="s">
        <v>2411</v>
      </c>
      <c r="Q58" s="2398">
        <f ca="1">L60</f>
        <v>0</v>
      </c>
      <c r="R58" s="2401" t="s">
        <v>2413</v>
      </c>
    </row>
    <row r="59" spans="1:18" s="2057" customFormat="1" ht="28.5" customHeight="1" thickBot="1">
      <c r="A59" s="1647" t="s">
        <v>1832</v>
      </c>
      <c r="B59" s="782" t="s">
        <v>660</v>
      </c>
      <c r="C59" s="53">
        <f ca="1">ROUND(C47*F59/1.05,1)</f>
        <v>0</v>
      </c>
      <c r="D59" s="2637" t="s">
        <v>1757</v>
      </c>
      <c r="E59" s="782" t="s">
        <v>1748</v>
      </c>
      <c r="F59" s="807">
        <f t="shared" ref="F59:F65" si="0">F32</f>
        <v>5.5000000000000007E-2</v>
      </c>
      <c r="I59" s="3163" t="s">
        <v>2359</v>
      </c>
      <c r="J59" s="3164">
        <f ca="1">IF(OR(M47="住宅",J51&lt;L48,J56="是"),"——",ROUND(C29*J58,0))</f>
        <v>6708</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2382</v>
      </c>
      <c r="P59" s="2397" t="s">
        <v>2412</v>
      </c>
      <c r="Q59" s="2398">
        <f>IF(L55="比较法",L49,IF(L55="基准地价",L50,0))</f>
        <v>0</v>
      </c>
      <c r="R59" s="2397" t="s">
        <v>2379</v>
      </c>
    </row>
    <row r="60" spans="1:18" s="2057" customFormat="1" ht="18" customHeight="1" thickBot="1">
      <c r="A60" s="1647" t="s">
        <v>1833</v>
      </c>
      <c r="B60" s="782" t="s">
        <v>1759</v>
      </c>
      <c r="C60" s="53">
        <f ca="1">IF(D60="按租金收入计税",ROUND(C47*F60,1),IF(D60="按房产原值计税",ROUND(C56*F60*0.7,1),INDIRECT("'数据-取费表'!Aj"&amp;$G$1)))</f>
        <v>0</v>
      </c>
      <c r="D60" s="2637" t="str">
        <f>D33</f>
        <v>按租金收入计税</v>
      </c>
      <c r="E60" s="782" t="s">
        <v>1748</v>
      </c>
      <c r="F60" s="807">
        <f t="shared" si="0"/>
        <v>0.12</v>
      </c>
      <c r="I60" s="3165" t="s">
        <v>2360</v>
      </c>
      <c r="J60" s="3166">
        <f ca="1">IF(OR(M47="住宅",J51&lt;L48,J56="是"),"0",ROUND(J59/(1+J52)^J53,0))</f>
        <v>6708</v>
      </c>
      <c r="K60" s="3167" t="s">
        <v>2365</v>
      </c>
      <c r="L60" s="3166">
        <f ca="1">IF(OR(M47="住宅",L48&lt;J51),0,ROUND(L57*(L58/L59-1),0))</f>
        <v>0</v>
      </c>
      <c r="O60" s="2399" t="s">
        <v>2383</v>
      </c>
      <c r="P60" s="2397" t="s">
        <v>2392</v>
      </c>
      <c r="Q60" s="2400">
        <f>L52</f>
        <v>0</v>
      </c>
      <c r="R60" s="2401"/>
    </row>
    <row r="61" spans="1:18" s="2057" customFormat="1" ht="18" customHeight="1" thickBot="1">
      <c r="A61" s="1650" t="s">
        <v>1834</v>
      </c>
      <c r="B61" s="339" t="s">
        <v>668</v>
      </c>
      <c r="C61" s="54">
        <f ca="1">ROUND(F61*F62/10000,1)</f>
        <v>5.9</v>
      </c>
      <c r="D61" s="812" t="s">
        <v>669</v>
      </c>
      <c r="E61" s="782" t="s">
        <v>670</v>
      </c>
      <c r="F61" s="638">
        <f t="shared" si="0"/>
        <v>3</v>
      </c>
      <c r="K61" s="2084"/>
      <c r="O61" s="2399" t="s">
        <v>2385</v>
      </c>
      <c r="P61" s="2397" t="s">
        <v>2393</v>
      </c>
      <c r="Q61" s="2398" t="e">
        <f ca="1">L58</f>
        <v>#DIV/0!</v>
      </c>
      <c r="R61" s="2401" t="s">
        <v>2394</v>
      </c>
    </row>
    <row r="62" spans="1:18" s="2057" customFormat="1" ht="15.75" thickBot="1">
      <c r="A62" s="813"/>
      <c r="B62" s="791"/>
      <c r="C62" s="69"/>
      <c r="D62" s="814"/>
      <c r="E62" s="782" t="s">
        <v>674</v>
      </c>
      <c r="F62" s="783">
        <f t="shared" ca="1" si="0"/>
        <v>19526.61</v>
      </c>
      <c r="I62" s="3168" t="s">
        <v>2366</v>
      </c>
      <c r="J62" s="3169" t="s">
        <v>2367</v>
      </c>
      <c r="K62" s="3169" t="s">
        <v>2368</v>
      </c>
      <c r="L62" s="3169" t="s">
        <v>2349</v>
      </c>
      <c r="M62" s="3170" t="s">
        <v>2928</v>
      </c>
      <c r="O62" s="2399" t="s">
        <v>2387</v>
      </c>
      <c r="P62" s="2397" t="str">
        <f>K59</f>
        <v>建设期及建筑物耐用年限下的土地年期修正系数Kn</v>
      </c>
      <c r="Q62" s="2398" t="e">
        <f ca="1">L59</f>
        <v>#DIV/0!</v>
      </c>
      <c r="R62" s="2401" t="s">
        <v>2396</v>
      </c>
    </row>
    <row r="63" spans="1:18" s="2057" customFormat="1" ht="15.75" thickBot="1">
      <c r="A63" s="1648" t="s">
        <v>1890</v>
      </c>
      <c r="B63" s="782" t="s">
        <v>676</v>
      </c>
      <c r="C63" s="53">
        <f ca="1">ROUND(C56*F63,1)</f>
        <v>251.6</v>
      </c>
      <c r="D63" s="2637" t="s">
        <v>1804</v>
      </c>
      <c r="E63" s="782" t="s">
        <v>1748</v>
      </c>
      <c r="F63" s="815">
        <f t="shared" ca="1" si="0"/>
        <v>1.4999999999999999E-2</v>
      </c>
      <c r="I63" s="3168" t="s">
        <v>2369</v>
      </c>
      <c r="J63" s="3169">
        <v>70</v>
      </c>
      <c r="K63" s="3169">
        <v>50</v>
      </c>
      <c r="L63" s="3169">
        <v>80</v>
      </c>
      <c r="M63" s="3171">
        <v>0.02</v>
      </c>
      <c r="O63" s="2396" t="s">
        <v>2390</v>
      </c>
      <c r="P63" s="2397" t="s">
        <v>2407</v>
      </c>
      <c r="Q63" s="2398">
        <f ca="1">Q57+Q58</f>
        <v>2237</v>
      </c>
      <c r="R63" s="2401" t="s">
        <v>2391</v>
      </c>
    </row>
    <row r="64" spans="1:18" s="2057" customFormat="1" ht="16.5" thickBot="1">
      <c r="A64" s="1648" t="s">
        <v>1891</v>
      </c>
      <c r="B64" s="782" t="s">
        <v>679</v>
      </c>
      <c r="C64" s="53">
        <f ca="1">ROUND(C55*F64,1)</f>
        <v>25.2</v>
      </c>
      <c r="D64" s="2637" t="s">
        <v>680</v>
      </c>
      <c r="E64" s="782" t="s">
        <v>1748</v>
      </c>
      <c r="F64" s="816">
        <f t="shared" ca="1" si="0"/>
        <v>1.5E-3</v>
      </c>
      <c r="I64" s="3168" t="s">
        <v>2370</v>
      </c>
      <c r="J64" s="3169">
        <v>50</v>
      </c>
      <c r="K64" s="3169">
        <v>35</v>
      </c>
      <c r="L64" s="3169">
        <v>60</v>
      </c>
      <c r="M64" s="844">
        <v>0</v>
      </c>
      <c r="O64" s="2402" t="s">
        <v>2414</v>
      </c>
      <c r="P64" s="1591"/>
      <c r="Q64" s="1603"/>
      <c r="R64" s="1591"/>
    </row>
    <row r="65" spans="1:18" s="2057" customFormat="1" ht="15.75" thickBot="1">
      <c r="A65" s="1648" t="s">
        <v>1892</v>
      </c>
      <c r="B65" s="782" t="s">
        <v>666</v>
      </c>
      <c r="C65" s="53">
        <f ca="1">ROUND(C47*F65,1)</f>
        <v>0</v>
      </c>
      <c r="D65" s="2637" t="s">
        <v>683</v>
      </c>
      <c r="E65" s="782" t="s">
        <v>1748</v>
      </c>
      <c r="F65" s="792">
        <f t="shared" ca="1" si="0"/>
        <v>0.01</v>
      </c>
      <c r="I65" s="3168" t="s">
        <v>2371</v>
      </c>
      <c r="J65" s="3169">
        <v>40</v>
      </c>
      <c r="K65" s="3169">
        <v>30</v>
      </c>
      <c r="L65" s="3169">
        <v>50</v>
      </c>
      <c r="M65" s="3171">
        <v>0.02</v>
      </c>
      <c r="O65" s="2393" t="s">
        <v>2374</v>
      </c>
      <c r="P65" s="2394" t="s">
        <v>2375</v>
      </c>
      <c r="Q65" s="2395" t="s">
        <v>2376</v>
      </c>
      <c r="R65" s="2394" t="s">
        <v>2377</v>
      </c>
    </row>
    <row r="66" spans="1:18" s="2057" customFormat="1" ht="24.75" thickBot="1">
      <c r="A66" s="795" t="s">
        <v>1777</v>
      </c>
      <c r="B66" s="3009" t="s">
        <v>2821</v>
      </c>
      <c r="C66" s="797">
        <f ca="1">C47-C57</f>
        <v>-283</v>
      </c>
      <c r="D66" s="2636" t="s">
        <v>700</v>
      </c>
      <c r="E66" s="2635"/>
      <c r="F66" s="818"/>
      <c r="K66" s="2084"/>
      <c r="O66" s="2396" t="s">
        <v>2378</v>
      </c>
      <c r="P66" s="2397" t="s">
        <v>2408</v>
      </c>
      <c r="Q66" s="2398">
        <f ca="1">C40+J29</f>
        <v>2237</v>
      </c>
      <c r="R66" s="2397" t="s">
        <v>2379</v>
      </c>
    </row>
    <row r="67" spans="1:18" s="2057" customFormat="1" ht="20.25" thickBot="1">
      <c r="A67" s="779" t="s">
        <v>1781</v>
      </c>
      <c r="B67" s="2230" t="s">
        <v>2302</v>
      </c>
      <c r="C67" s="781">
        <f ca="1">ROUND(C66*(1-((1+F69)/(1+F67))^F68)/(F67-F69),0)</f>
        <v>-4905</v>
      </c>
      <c r="D67" s="812" t="s">
        <v>704</v>
      </c>
      <c r="E67" s="782" t="s">
        <v>705</v>
      </c>
      <c r="F67" s="792">
        <f ca="1">F40</f>
        <v>0.05</v>
      </c>
      <c r="K67" s="2084"/>
      <c r="O67" s="2396" t="s">
        <v>2380</v>
      </c>
      <c r="P67" s="2397" t="s">
        <v>2411</v>
      </c>
      <c r="Q67" s="2398">
        <f ca="1">L60</f>
        <v>0</v>
      </c>
      <c r="R67" s="2401" t="s">
        <v>2413</v>
      </c>
    </row>
    <row r="68" spans="1:18" ht="21.75" thickBot="1">
      <c r="A68" s="784"/>
      <c r="B68" s="785"/>
      <c r="C68" s="786"/>
      <c r="D68" s="819" t="s">
        <v>1809</v>
      </c>
      <c r="E68" s="782" t="s">
        <v>1785</v>
      </c>
      <c r="F68" s="820">
        <f ca="1">F41</f>
        <v>41.28</v>
      </c>
      <c r="O68" s="2399" t="s">
        <v>2382</v>
      </c>
      <c r="P68" s="2397" t="s">
        <v>2412</v>
      </c>
      <c r="Q68" s="2403">
        <f ca="1">L51</f>
        <v>2134</v>
      </c>
      <c r="R68" s="2404" t="s">
        <v>2415</v>
      </c>
    </row>
    <row r="69" spans="1:18" ht="20.25" thickBot="1">
      <c r="A69" s="788"/>
      <c r="B69" s="789"/>
      <c r="C69" s="790"/>
      <c r="D69" s="814"/>
      <c r="E69" s="782" t="s">
        <v>710</v>
      </c>
      <c r="F69" s="2369"/>
      <c r="O69" s="2399" t="s">
        <v>2383</v>
      </c>
      <c r="P69" s="2405" t="s">
        <v>2397</v>
      </c>
      <c r="Q69" s="2398">
        <f ca="1">ROUND(Q70-Q71*Q72,0)</f>
        <v>112</v>
      </c>
      <c r="R69" s="2401"/>
    </row>
    <row r="70" spans="1:18" ht="15.75" thickBot="1">
      <c r="A70" s="821" t="s">
        <v>1788</v>
      </c>
      <c r="B70" s="822" t="s">
        <v>1811</v>
      </c>
      <c r="C70" s="823">
        <f ca="1">ROUND(C67*10000/F70,0)</f>
        <v>-939</v>
      </c>
      <c r="D70" s="824" t="s">
        <v>1812</v>
      </c>
      <c r="E70" s="825" t="s">
        <v>1813</v>
      </c>
      <c r="F70" s="826">
        <f ca="1">F43</f>
        <v>52223.11</v>
      </c>
      <c r="O70" s="2399" t="s">
        <v>2398</v>
      </c>
      <c r="P70" s="2405" t="s">
        <v>2399</v>
      </c>
      <c r="Q70" s="2398">
        <f ca="1">C39</f>
        <v>112</v>
      </c>
      <c r="R70" s="2397" t="s">
        <v>2379</v>
      </c>
    </row>
    <row r="71" spans="1:18" ht="15.75" thickBot="1">
      <c r="O71" s="2399" t="s">
        <v>2400</v>
      </c>
      <c r="P71" s="2405" t="s">
        <v>2401</v>
      </c>
      <c r="Q71" s="2398">
        <f ca="1">C13</f>
        <v>16770</v>
      </c>
      <c r="R71" s="2397" t="s">
        <v>2379</v>
      </c>
    </row>
    <row r="72" spans="1:18" ht="15.75" thickBot="1">
      <c r="O72" s="2399" t="s">
        <v>2402</v>
      </c>
      <c r="P72" s="2405" t="s">
        <v>2403</v>
      </c>
      <c r="Q72" s="2400">
        <f ca="1">J36</f>
        <v>0</v>
      </c>
      <c r="R72" s="2401"/>
    </row>
    <row r="73" spans="1:18" ht="15.75" thickBot="1">
      <c r="O73" s="2399" t="s">
        <v>2385</v>
      </c>
      <c r="P73" s="2397" t="s">
        <v>2392</v>
      </c>
      <c r="Q73" s="2400">
        <f>L52</f>
        <v>0</v>
      </c>
      <c r="R73" s="2401"/>
    </row>
    <row r="74" spans="1:18" ht="20.25" thickBot="1">
      <c r="O74" s="2399" t="s">
        <v>2387</v>
      </c>
      <c r="P74" s="2397" t="s">
        <v>2393</v>
      </c>
      <c r="Q74" s="2398" t="e">
        <f ca="1">L58</f>
        <v>#DIV/0!</v>
      </c>
      <c r="R74" s="2401" t="s">
        <v>2394</v>
      </c>
    </row>
    <row r="75" spans="1:18" ht="15.75" thickBot="1">
      <c r="O75" s="2399" t="s">
        <v>2416</v>
      </c>
      <c r="P75" s="2397" t="str">
        <f>K59</f>
        <v>建设期及建筑物耐用年限下的土地年期修正系数Kn</v>
      </c>
      <c r="Q75" s="2398" t="e">
        <f ca="1">L59</f>
        <v>#DIV/0!</v>
      </c>
      <c r="R75" s="2401" t="s">
        <v>2396</v>
      </c>
    </row>
    <row r="76" spans="1:18" ht="15.75" thickBot="1">
      <c r="O76" s="2396" t="s">
        <v>2390</v>
      </c>
      <c r="P76" s="2397" t="s">
        <v>2407</v>
      </c>
      <c r="Q76" s="2398">
        <f ca="1">Q66+Q67</f>
        <v>2237</v>
      </c>
      <c r="R76" s="240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2470</v>
      </c>
      <c r="B1" s="3484"/>
      <c r="C1" s="3485"/>
      <c r="D1" s="3486">
        <f>SUM(I10,I15,I20,I21,I23)</f>
        <v>0</v>
      </c>
      <c r="E1" s="3486"/>
      <c r="F1" s="3486"/>
      <c r="G1" s="3486"/>
      <c r="H1" s="3486"/>
      <c r="I1" s="3487"/>
    </row>
    <row r="2" spans="1:9">
      <c r="A2" s="3488" t="s">
        <v>2471</v>
      </c>
      <c r="B2" s="3489" t="s">
        <v>2472</v>
      </c>
      <c r="C2" s="3489"/>
      <c r="D2" s="2505" t="s">
        <v>2473</v>
      </c>
      <c r="E2" s="2505" t="s">
        <v>2474</v>
      </c>
      <c r="F2" s="2505" t="s">
        <v>2475</v>
      </c>
      <c r="G2" s="2505" t="s">
        <v>2476</v>
      </c>
      <c r="H2" s="2505" t="s">
        <v>2477</v>
      </c>
      <c r="I2" s="2506" t="s">
        <v>2478</v>
      </c>
    </row>
    <row r="3" spans="1:9">
      <c r="A3" s="3488"/>
      <c r="B3" s="3489" t="s">
        <v>2479</v>
      </c>
      <c r="C3" s="3489"/>
      <c r="D3" s="2507"/>
      <c r="E3" s="2505"/>
      <c r="F3" s="2508"/>
      <c r="G3" s="2508"/>
      <c r="H3" s="2509"/>
      <c r="I3" s="2510">
        <f>ROUND(D3*E3*F3*G3*H3/10000,0)</f>
        <v>0</v>
      </c>
    </row>
    <row r="4" spans="1:9">
      <c r="A4" s="3488"/>
      <c r="B4" s="3489" t="s">
        <v>2480</v>
      </c>
      <c r="C4" s="3489"/>
      <c r="D4" s="2507"/>
      <c r="E4" s="2505"/>
      <c r="F4" s="2508"/>
      <c r="G4" s="2508"/>
      <c r="H4" s="2509"/>
      <c r="I4" s="2510">
        <f t="shared" ref="I4:I9" si="0">ROUND(D4*E4*F4*G4*H4/10000,0)</f>
        <v>0</v>
      </c>
    </row>
    <row r="5" spans="1:9">
      <c r="A5" s="3488"/>
      <c r="B5" s="3489" t="s">
        <v>2481</v>
      </c>
      <c r="C5" s="3489"/>
      <c r="D5" s="2507"/>
      <c r="E5" s="2505"/>
      <c r="F5" s="2508"/>
      <c r="G5" s="2508"/>
      <c r="H5" s="2509"/>
      <c r="I5" s="2510">
        <f t="shared" si="0"/>
        <v>0</v>
      </c>
    </row>
    <row r="6" spans="1:9">
      <c r="A6" s="3488"/>
      <c r="B6" s="3489" t="s">
        <v>2482</v>
      </c>
      <c r="C6" s="3489"/>
      <c r="D6" s="2507"/>
      <c r="E6" s="2505"/>
      <c r="F6" s="2508"/>
      <c r="G6" s="2508"/>
      <c r="H6" s="2509"/>
      <c r="I6" s="2510">
        <f t="shared" si="0"/>
        <v>0</v>
      </c>
    </row>
    <row r="7" spans="1:9">
      <c r="A7" s="3488"/>
      <c r="B7" s="3489" t="s">
        <v>2483</v>
      </c>
      <c r="C7" s="3489"/>
      <c r="D7" s="2507"/>
      <c r="E7" s="2505"/>
      <c r="F7" s="2508"/>
      <c r="G7" s="2508"/>
      <c r="H7" s="2509"/>
      <c r="I7" s="2510">
        <f t="shared" si="0"/>
        <v>0</v>
      </c>
    </row>
    <row r="8" spans="1:9">
      <c r="A8" s="3488"/>
      <c r="B8" s="3489" t="s">
        <v>2484</v>
      </c>
      <c r="C8" s="3489"/>
      <c r="D8" s="2507"/>
      <c r="E8" s="2505"/>
      <c r="F8" s="2508"/>
      <c r="G8" s="2508"/>
      <c r="H8" s="2509"/>
      <c r="I8" s="2510">
        <f t="shared" si="0"/>
        <v>0</v>
      </c>
    </row>
    <row r="9" spans="1:9">
      <c r="A9" s="3488"/>
      <c r="B9" s="3489" t="s">
        <v>2485</v>
      </c>
      <c r="C9" s="3489"/>
      <c r="D9" s="2507"/>
      <c r="E9" s="2505"/>
      <c r="F9" s="2508"/>
      <c r="G9" s="2508"/>
      <c r="H9" s="2509"/>
      <c r="I9" s="2510">
        <f t="shared" si="0"/>
        <v>0</v>
      </c>
    </row>
    <row r="10" spans="1:9">
      <c r="A10" s="3488"/>
      <c r="B10" s="3490" t="s">
        <v>2486</v>
      </c>
      <c r="C10" s="3490"/>
      <c r="D10" s="2511">
        <v>527</v>
      </c>
      <c r="E10" s="2511" t="e">
        <f>ROUND(D1*10000/D10/H9,0)</f>
        <v>#DIV/0!</v>
      </c>
      <c r="F10" s="2512"/>
      <c r="G10" s="2512"/>
      <c r="H10" s="2513"/>
      <c r="I10" s="2514">
        <f>SUM(I3:I9)</f>
        <v>0</v>
      </c>
    </row>
    <row r="11" spans="1:9" ht="14.25">
      <c r="A11" s="3488" t="s">
        <v>2487</v>
      </c>
      <c r="B11" s="3489" t="s">
        <v>2488</v>
      </c>
      <c r="C11" s="3489"/>
      <c r="D11" s="2507" t="s">
        <v>2489</v>
      </c>
      <c r="E11" s="2507" t="s">
        <v>2490</v>
      </c>
      <c r="F11" s="2508" t="s">
        <v>2491</v>
      </c>
      <c r="G11" s="2508" t="s">
        <v>2492</v>
      </c>
      <c r="H11" s="2515" t="s">
        <v>2493</v>
      </c>
      <c r="I11" s="2506" t="s">
        <v>2494</v>
      </c>
    </row>
    <row r="12" spans="1:9">
      <c r="A12" s="3488"/>
      <c r="B12" s="3489" t="s">
        <v>2495</v>
      </c>
      <c r="C12" s="3489"/>
      <c r="D12" s="2507"/>
      <c r="E12" s="2507"/>
      <c r="F12" s="2508"/>
      <c r="G12" s="2509"/>
      <c r="H12" s="2516"/>
      <c r="I12" s="2506">
        <f>ROUND(D12*E12*F12*G12/10000,0)</f>
        <v>0</v>
      </c>
    </row>
    <row r="13" spans="1:9">
      <c r="A13" s="3488"/>
      <c r="B13" s="3489" t="s">
        <v>2496</v>
      </c>
      <c r="C13" s="3489"/>
      <c r="D13" s="2507"/>
      <c r="E13" s="2507"/>
      <c r="F13" s="2508"/>
      <c r="G13" s="2509"/>
      <c r="H13" s="2516"/>
      <c r="I13" s="2506">
        <f>ROUND(D13*E13*F13*G13/10000,0)</f>
        <v>0</v>
      </c>
    </row>
    <row r="14" spans="1:9">
      <c r="A14" s="3488"/>
      <c r="B14" s="3489" t="s">
        <v>2497</v>
      </c>
      <c r="C14" s="3489"/>
      <c r="D14" s="2507"/>
      <c r="E14" s="2507"/>
      <c r="F14" s="2508"/>
      <c r="G14" s="2509"/>
      <c r="H14" s="2516"/>
      <c r="I14" s="2506">
        <f>ROUND(D14*E14*F14*G14/10000,0)</f>
        <v>0</v>
      </c>
    </row>
    <row r="15" spans="1:9">
      <c r="A15" s="3488"/>
      <c r="B15" s="3490" t="s">
        <v>2486</v>
      </c>
      <c r="C15" s="3490"/>
      <c r="D15" s="2511"/>
      <c r="E15" s="2511">
        <f>SUM(E12:E14)</f>
        <v>0</v>
      </c>
      <c r="F15" s="2512"/>
      <c r="G15" s="2509"/>
      <c r="H15" s="2516"/>
      <c r="I15" s="2517">
        <f>SUM(I12:I14)</f>
        <v>0</v>
      </c>
    </row>
    <row r="16" spans="1:9" ht="24">
      <c r="A16" s="3488" t="s">
        <v>2498</v>
      </c>
      <c r="B16" s="3489" t="s">
        <v>2499</v>
      </c>
      <c r="C16" s="3489"/>
      <c r="D16" s="2507" t="s">
        <v>2500</v>
      </c>
      <c r="E16" s="2518" t="s">
        <v>2501</v>
      </c>
      <c r="F16" s="2508" t="s">
        <v>2502</v>
      </c>
      <c r="G16" s="2509" t="s">
        <v>2492</v>
      </c>
      <c r="H16" s="2515" t="s">
        <v>2493</v>
      </c>
      <c r="I16" s="2506" t="s">
        <v>2494</v>
      </c>
    </row>
    <row r="17" spans="1:9" ht="14.25">
      <c r="A17" s="3488"/>
      <c r="B17" s="3489" t="s">
        <v>2503</v>
      </c>
      <c r="C17" s="3489"/>
      <c r="D17" s="2507"/>
      <c r="E17" s="2507"/>
      <c r="F17" s="2508"/>
      <c r="G17" s="2509"/>
      <c r="H17" s="2519"/>
      <c r="I17" s="2520">
        <f>ROUND(D17*E17*F17*G17/10000,0)</f>
        <v>0</v>
      </c>
    </row>
    <row r="18" spans="1:9" ht="14.25">
      <c r="A18" s="3488"/>
      <c r="B18" s="3489" t="s">
        <v>2504</v>
      </c>
      <c r="C18" s="3489"/>
      <c r="D18" s="2507"/>
      <c r="E18" s="2507"/>
      <c r="F18" s="2508"/>
      <c r="G18" s="2509"/>
      <c r="H18" s="2519"/>
      <c r="I18" s="2520">
        <f>ROUND(D18*E18*F18*G18/10000,0)</f>
        <v>0</v>
      </c>
    </row>
    <row r="19" spans="1:9" ht="14.25">
      <c r="A19" s="3488"/>
      <c r="B19" s="3489" t="s">
        <v>2505</v>
      </c>
      <c r="C19" s="3489"/>
      <c r="D19" s="2507"/>
      <c r="E19" s="2507"/>
      <c r="F19" s="2508"/>
      <c r="G19" s="2509"/>
      <c r="H19" s="2519"/>
      <c r="I19" s="2520">
        <f>ROUND(D19*E19*F19*G19/10000,0)</f>
        <v>0</v>
      </c>
    </row>
    <row r="20" spans="1:9">
      <c r="A20" s="3488"/>
      <c r="B20" s="3490" t="s">
        <v>2486</v>
      </c>
      <c r="C20" s="3490"/>
      <c r="D20" s="2511">
        <f>SUM(D17:D19)</f>
        <v>0</v>
      </c>
      <c r="E20" s="2511"/>
      <c r="F20" s="2512"/>
      <c r="G20" s="2509"/>
      <c r="H20" s="2516"/>
      <c r="I20" s="2517">
        <f>SUM(I17:I19)</f>
        <v>0</v>
      </c>
    </row>
    <row r="21" spans="1:9">
      <c r="A21" s="3488" t="s">
        <v>2506</v>
      </c>
      <c r="B21" s="3492"/>
      <c r="C21" s="3492"/>
      <c r="D21" s="3492"/>
      <c r="E21" s="3492"/>
      <c r="F21" s="3492"/>
      <c r="G21" s="3492"/>
      <c r="H21" s="2521">
        <v>0.1</v>
      </c>
      <c r="I21" s="2514">
        <f>ROUND(I10*H21,0)</f>
        <v>0</v>
      </c>
    </row>
    <row r="22" spans="1:9" ht="14.25">
      <c r="A22" s="3493" t="s">
        <v>2507</v>
      </c>
      <c r="B22" s="3494"/>
      <c r="C22" s="3495"/>
      <c r="D22" s="2522" t="s">
        <v>2508</v>
      </c>
      <c r="E22" s="2522" t="s">
        <v>2509</v>
      </c>
      <c r="F22" s="2523" t="s">
        <v>2510</v>
      </c>
      <c r="G22" s="2523" t="s">
        <v>2511</v>
      </c>
      <c r="H22" s="2515" t="s">
        <v>2512</v>
      </c>
      <c r="I22" s="2506" t="s">
        <v>2513</v>
      </c>
    </row>
    <row r="23" spans="1:9" ht="14.25" thickBot="1">
      <c r="A23" s="3496"/>
      <c r="B23" s="3497"/>
      <c r="C23" s="3498"/>
      <c r="D23" s="2524"/>
      <c r="E23" s="2524"/>
      <c r="F23" s="2524"/>
      <c r="G23" s="2525"/>
      <c r="H23" s="2526"/>
      <c r="I23" s="2527">
        <f>ROUND(E23*D23*F23*(1-G23)/10000,0)</f>
        <v>0</v>
      </c>
    </row>
    <row r="26" spans="1:9">
      <c r="A26" s="2528" t="s">
        <v>2514</v>
      </c>
      <c r="B26" s="2528"/>
      <c r="C26" s="2528"/>
      <c r="D26" s="2528"/>
      <c r="E26" s="3499">
        <f>C27-C30-C31-C32</f>
        <v>0</v>
      </c>
      <c r="F26" s="3499"/>
      <c r="G26" s="3499"/>
      <c r="H26" s="3040" t="s">
        <v>2842</v>
      </c>
    </row>
    <row r="27" spans="1:9">
      <c r="A27" s="2529">
        <v>1</v>
      </c>
      <c r="B27" s="2530" t="s">
        <v>2515</v>
      </c>
      <c r="C27" s="2530"/>
      <c r="D27" s="2530"/>
      <c r="E27" s="3500"/>
      <c r="F27" s="3500"/>
      <c r="G27" s="3500"/>
    </row>
    <row r="28" spans="1:9">
      <c r="A28" s="2531" t="s">
        <v>2516</v>
      </c>
      <c r="B28" s="2530" t="s">
        <v>2517</v>
      </c>
      <c r="C28" s="2530"/>
      <c r="D28" s="2530"/>
      <c r="E28" s="3500"/>
      <c r="F28" s="3500"/>
      <c r="G28" s="3500"/>
    </row>
    <row r="29" spans="1:9">
      <c r="A29" s="2531" t="s">
        <v>2518</v>
      </c>
      <c r="B29" s="2530" t="s">
        <v>2459</v>
      </c>
      <c r="C29" s="2530"/>
      <c r="D29" s="2530"/>
      <c r="E29" s="2530" t="s">
        <v>2519</v>
      </c>
      <c r="F29" s="2530"/>
      <c r="G29" s="2530"/>
    </row>
    <row r="30" spans="1:9">
      <c r="A30" s="2529">
        <v>2</v>
      </c>
      <c r="B30" s="2530" t="s">
        <v>2520</v>
      </c>
      <c r="C30" s="2530">
        <f>C27*D30</f>
        <v>0</v>
      </c>
      <c r="D30" s="2532">
        <v>0.2</v>
      </c>
      <c r="E30" s="2530" t="s">
        <v>2521</v>
      </c>
      <c r="F30" s="2530"/>
      <c r="G30" s="2530"/>
    </row>
    <row r="31" spans="1:9">
      <c r="A31" s="2529">
        <v>3</v>
      </c>
      <c r="B31" s="2530" t="s">
        <v>2522</v>
      </c>
      <c r="C31" s="2530">
        <f>C25*D31</f>
        <v>0</v>
      </c>
      <c r="D31" s="2532">
        <v>0.15</v>
      </c>
      <c r="E31" s="2530" t="s">
        <v>2523</v>
      </c>
      <c r="F31" s="2530"/>
      <c r="G31" s="2530"/>
    </row>
    <row r="32" spans="1:9">
      <c r="A32" s="2529">
        <v>4</v>
      </c>
      <c r="B32" s="2530" t="s">
        <v>2524</v>
      </c>
      <c r="C32" s="2530">
        <f>C27*D32</f>
        <v>0</v>
      </c>
      <c r="D32" s="2532">
        <v>0.05</v>
      </c>
      <c r="E32" s="3491"/>
      <c r="F32" s="3491"/>
      <c r="G32" s="3491"/>
    </row>
    <row r="33" spans="1:7" hidden="1">
      <c r="A33" s="3501" t="s">
        <v>2525</v>
      </c>
      <c r="B33" s="3502"/>
      <c r="C33" s="3502"/>
      <c r="D33" s="3503"/>
      <c r="E33" s="3499"/>
      <c r="F33" s="3499"/>
      <c r="G33" s="3499"/>
    </row>
    <row r="34" spans="1:7" hidden="1">
      <c r="A34" s="2533">
        <v>1</v>
      </c>
      <c r="B34" s="2530" t="s">
        <v>2526</v>
      </c>
      <c r="C34" s="2530"/>
      <c r="D34" s="2530"/>
      <c r="E34" s="3500"/>
      <c r="F34" s="3500"/>
      <c r="G34" s="3500"/>
    </row>
    <row r="35" spans="1:7" hidden="1">
      <c r="A35" s="2533">
        <v>2</v>
      </c>
      <c r="B35" s="2530" t="s">
        <v>2527</v>
      </c>
      <c r="C35" s="2530"/>
      <c r="D35" s="2530"/>
      <c r="E35" s="3500"/>
      <c r="F35" s="3500"/>
      <c r="G35" s="3500"/>
    </row>
    <row r="36" spans="1:7" hidden="1">
      <c r="A36" s="2533">
        <v>3</v>
      </c>
      <c r="B36" s="2530" t="s">
        <v>2528</v>
      </c>
      <c r="C36" s="2530"/>
      <c r="D36" s="2530"/>
      <c r="E36" s="3500"/>
      <c r="F36" s="3500"/>
      <c r="G36" s="3500"/>
    </row>
    <row r="37" spans="1:7" hidden="1">
      <c r="A37" s="2533">
        <v>4</v>
      </c>
      <c r="B37" s="2530" t="s">
        <v>2529</v>
      </c>
      <c r="C37" s="2530"/>
      <c r="D37" s="2530"/>
      <c r="E37" s="3500"/>
      <c r="F37" s="3500"/>
      <c r="G37" s="3500"/>
    </row>
    <row r="38" spans="1:7" hidden="1">
      <c r="A38" s="3501" t="s">
        <v>2530</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8"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2439</v>
      </c>
      <c r="B8" s="2470" t="s">
        <v>2441</v>
      </c>
      <c r="C8" s="2471"/>
      <c r="D8" s="747"/>
      <c r="E8" s="748"/>
      <c r="F8" s="748"/>
      <c r="G8" s="749"/>
    </row>
    <row r="9" spans="1:25" s="2181" customFormat="1" ht="13.5" customHeight="1">
      <c r="A9" s="2467" t="s">
        <v>2440</v>
      </c>
      <c r="B9" s="2470" t="s">
        <v>2442</v>
      </c>
      <c r="C9" s="2471"/>
      <c r="D9" s="747"/>
      <c r="E9" s="748"/>
      <c r="F9" s="748"/>
      <c r="G9" s="749"/>
    </row>
    <row r="10" spans="1:25" s="2181" customFormat="1" ht="36">
      <c r="A10" s="2467">
        <v>2</v>
      </c>
      <c r="B10" s="746" t="s">
        <v>613</v>
      </c>
      <c r="C10" s="747">
        <f>C11+C14+C15</f>
        <v>0</v>
      </c>
      <c r="D10" s="758">
        <f>'数据-汇总表'!E3</f>
        <v>195640.36</v>
      </c>
      <c r="E10" s="747">
        <f>'数据-取费表'!B31</f>
        <v>80</v>
      </c>
      <c r="F10" s="759"/>
      <c r="G10" s="757" t="s">
        <v>614</v>
      </c>
    </row>
    <row r="11" spans="1:25" s="2181" customFormat="1" ht="13.5" customHeight="1">
      <c r="A11" s="2467" t="s">
        <v>2439</v>
      </c>
      <c r="B11" s="750" t="s">
        <v>610</v>
      </c>
      <c r="C11" s="751">
        <f>'数据-取费表'!B29</f>
        <v>0</v>
      </c>
      <c r="D11" s="752"/>
      <c r="E11" s="751"/>
      <c r="F11" s="753"/>
      <c r="G11" s="2476" t="s">
        <v>2450</v>
      </c>
    </row>
    <row r="12" spans="1:25" s="2181" customFormat="1" ht="13.5" customHeight="1">
      <c r="A12" s="2474" t="s">
        <v>2447</v>
      </c>
      <c r="B12" s="754" t="s">
        <v>611</v>
      </c>
      <c r="C12" s="755">
        <f>ROUND(D12*E12/10000,0)</f>
        <v>387</v>
      </c>
      <c r="D12" s="756">
        <f>'数据-汇总表'!E5</f>
        <v>119144.43999999997</v>
      </c>
      <c r="E12" s="755">
        <f>'数据-取费表'!B27</f>
        <v>32.5</v>
      </c>
      <c r="F12" s="753"/>
      <c r="G12" s="757"/>
    </row>
    <row r="13" spans="1:25" s="2181" customFormat="1" ht="13.5" customHeight="1">
      <c r="A13" s="2474" t="s">
        <v>2446</v>
      </c>
      <c r="B13" s="754" t="s">
        <v>612</v>
      </c>
      <c r="C13" s="755">
        <f>ROUND(D13*E13/10000,0)</f>
        <v>219</v>
      </c>
      <c r="D13" s="756">
        <f>'数据-汇总表'!E6</f>
        <v>76495.920000000013</v>
      </c>
      <c r="E13" s="755">
        <f>'数据-取费表'!B28</f>
        <v>28.6</v>
      </c>
      <c r="F13" s="753"/>
      <c r="G13" s="757"/>
    </row>
    <row r="14" spans="1:25" s="2181" customFormat="1" ht="13.5" customHeight="1">
      <c r="A14" s="2467" t="s">
        <v>2440</v>
      </c>
      <c r="B14" s="2473" t="s">
        <v>2443</v>
      </c>
      <c r="C14" s="2471"/>
      <c r="D14" s="756"/>
      <c r="E14" s="755"/>
      <c r="F14" s="2472"/>
      <c r="G14" s="2475" t="s">
        <v>2448</v>
      </c>
    </row>
    <row r="15" spans="1:25" s="2181" customFormat="1" ht="13.5" customHeight="1">
      <c r="A15" s="2467" t="s">
        <v>2445</v>
      </c>
      <c r="B15" s="2473" t="s">
        <v>2444</v>
      </c>
      <c r="C15" s="2471"/>
      <c r="D15" s="756"/>
      <c r="E15" s="755"/>
      <c r="F15" s="2472"/>
      <c r="G15" s="2475" t="s">
        <v>2449</v>
      </c>
    </row>
    <row r="16" spans="1:25" s="2182" customFormat="1" ht="48">
      <c r="A16" s="2467">
        <v>3</v>
      </c>
      <c r="B16" s="746" t="s">
        <v>615</v>
      </c>
      <c r="C16" s="2471"/>
      <c r="D16" s="758"/>
      <c r="E16" s="747"/>
      <c r="F16" s="759"/>
      <c r="G16" s="757"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0.15</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0.90100000000000002</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8"/>
      <c r="E1" s="504"/>
      <c r="F1" s="2805"/>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6"/>
    </row>
    <row r="4" spans="1:29" ht="15">
      <c r="A4" s="510" t="s">
        <v>521</v>
      </c>
      <c r="B4" s="511"/>
      <c r="C4" s="3392" t="s">
        <v>522</v>
      </c>
      <c r="D4" s="3393"/>
      <c r="E4" s="3427" t="s">
        <v>523</v>
      </c>
      <c r="F4" s="3428"/>
      <c r="G4" s="3392" t="s">
        <v>524</v>
      </c>
      <c r="H4" s="3393"/>
      <c r="I4" s="3392" t="s">
        <v>525</v>
      </c>
      <c r="J4" s="3393"/>
      <c r="K4" s="512" t="s">
        <v>526</v>
      </c>
      <c r="L4" s="2131"/>
      <c r="M4" s="2132"/>
      <c r="N4" s="2132"/>
      <c r="O4" s="2132"/>
      <c r="P4" s="3394" t="s">
        <v>527</v>
      </c>
      <c r="Q4" s="3395"/>
      <c r="R4" s="3400" t="s">
        <v>523</v>
      </c>
      <c r="S4" s="3401"/>
      <c r="T4" s="3400" t="s">
        <v>524</v>
      </c>
      <c r="U4" s="3401"/>
      <c r="V4" s="3387" t="s">
        <v>525</v>
      </c>
      <c r="W4" s="3387"/>
      <c r="X4" s="1566"/>
      <c r="Y4" s="3400" t="s">
        <v>527</v>
      </c>
      <c r="Z4" s="3401"/>
      <c r="AA4" s="3389" t="s">
        <v>523</v>
      </c>
      <c r="AB4" s="3387" t="s">
        <v>524</v>
      </c>
      <c r="AC4" s="3389" t="s">
        <v>525</v>
      </c>
    </row>
    <row r="5" spans="1:29" ht="15">
      <c r="A5" s="513"/>
      <c r="B5" s="514"/>
      <c r="C5" s="3408" t="s">
        <v>2913</v>
      </c>
      <c r="D5" s="3409"/>
      <c r="E5" s="3429" t="s">
        <v>2914</v>
      </c>
      <c r="F5" s="3430"/>
      <c r="G5" s="3408" t="s">
        <v>2915</v>
      </c>
      <c r="H5" s="3409"/>
      <c r="I5" s="3408" t="s">
        <v>2916</v>
      </c>
      <c r="J5" s="3409"/>
      <c r="K5" s="512"/>
      <c r="L5" s="2131"/>
      <c r="M5" s="2132"/>
      <c r="N5" s="2132"/>
      <c r="O5" s="2132"/>
      <c r="P5" s="3396"/>
      <c r="Q5" s="3397"/>
      <c r="R5" s="3402"/>
      <c r="S5" s="3403"/>
      <c r="T5" s="3402"/>
      <c r="U5" s="3403"/>
      <c r="V5" s="3387"/>
      <c r="W5" s="3387"/>
      <c r="X5" s="1566"/>
      <c r="Y5" s="3402"/>
      <c r="Z5" s="3403"/>
      <c r="AA5" s="3390"/>
      <c r="AB5" s="3387"/>
      <c r="AC5" s="3390"/>
    </row>
    <row r="6" spans="1:29" ht="15.75" thickBot="1">
      <c r="A6" s="515"/>
      <c r="B6" s="516"/>
      <c r="C6" s="3423" t="s">
        <v>2917</v>
      </c>
      <c r="D6" s="3424"/>
      <c r="E6" s="3425" t="s">
        <v>2917</v>
      </c>
      <c r="F6" s="3426"/>
      <c r="G6" s="3423" t="s">
        <v>2917</v>
      </c>
      <c r="H6" s="3424"/>
      <c r="I6" s="3423" t="s">
        <v>2917</v>
      </c>
      <c r="J6" s="3424"/>
      <c r="K6" s="512" t="s">
        <v>528</v>
      </c>
      <c r="L6" s="2131"/>
      <c r="M6" s="2132"/>
      <c r="N6" s="2132"/>
      <c r="O6" s="2132"/>
      <c r="P6" s="3398"/>
      <c r="Q6" s="3399"/>
      <c r="R6" s="3402"/>
      <c r="S6" s="3403"/>
      <c r="T6" s="3404"/>
      <c r="U6" s="3405"/>
      <c r="V6" s="3387"/>
      <c r="W6" s="3387"/>
      <c r="X6" s="1566"/>
      <c r="Y6" s="3404"/>
      <c r="Z6" s="3405"/>
      <c r="AA6" s="3391"/>
      <c r="AB6" s="3387"/>
      <c r="AC6" s="3391"/>
    </row>
    <row r="7" spans="1:29" s="1218" customFormat="1" ht="15.75" thickBot="1">
      <c r="A7" s="2910"/>
      <c r="B7" s="2917" t="s">
        <v>529</v>
      </c>
      <c r="C7" s="517">
        <f>'数据-取费表'!B2</f>
        <v>43361</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16" t="s">
        <v>530</v>
      </c>
      <c r="Q7" s="3418"/>
      <c r="R7" s="1567" t="s">
        <v>8</v>
      </c>
      <c r="S7" s="1568">
        <f t="shared" ref="S7:S15" si="0">F7</f>
        <v>0</v>
      </c>
      <c r="T7" s="1567" t="s">
        <v>8</v>
      </c>
      <c r="U7" s="1568">
        <f t="shared" ref="U7:U15" si="1">H7</f>
        <v>0</v>
      </c>
      <c r="V7" s="1567" t="s">
        <v>8</v>
      </c>
      <c r="W7" s="1568">
        <f t="shared" ref="W7:W15" si="2">J7</f>
        <v>0</v>
      </c>
      <c r="X7" s="1569"/>
      <c r="Y7" s="3416" t="s">
        <v>530</v>
      </c>
      <c r="Z7" s="3417"/>
      <c r="AA7" s="1570" t="e">
        <f>D7/F7</f>
        <v>#DIV/0!</v>
      </c>
      <c r="AB7" s="1570" t="e">
        <f>D7/H7</f>
        <v>#DIV/0!</v>
      </c>
      <c r="AC7" s="1570" t="e">
        <f>D7/J7</f>
        <v>#DIV/0!</v>
      </c>
    </row>
    <row r="8" spans="1:29" s="1218" customFormat="1" ht="15.75" thickBot="1">
      <c r="A8" s="2911"/>
      <c r="B8" s="2918"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16" t="s">
        <v>533</v>
      </c>
      <c r="Q8" s="3417"/>
      <c r="R8" s="1567" t="s">
        <v>8</v>
      </c>
      <c r="S8" s="1568">
        <f t="shared" si="0"/>
        <v>0</v>
      </c>
      <c r="T8" s="1567" t="s">
        <v>8</v>
      </c>
      <c r="U8" s="1568">
        <f t="shared" si="1"/>
        <v>0</v>
      </c>
      <c r="V8" s="1567" t="s">
        <v>8</v>
      </c>
      <c r="W8" s="1568">
        <f t="shared" si="2"/>
        <v>0</v>
      </c>
      <c r="X8" s="1569"/>
      <c r="Y8" s="3416" t="s">
        <v>533</v>
      </c>
      <c r="Z8" s="3417"/>
      <c r="AA8" s="1570" t="e">
        <f t="shared" ref="AA8:AA46" si="3">D8/F8</f>
        <v>#DIV/0!</v>
      </c>
      <c r="AB8" s="1570" t="e">
        <f t="shared" ref="AB8:AB46" si="4">D8/H8</f>
        <v>#DIV/0!</v>
      </c>
      <c r="AC8" s="1570" t="e">
        <f t="shared" ref="AC8:AC46" si="5">D8/J8</f>
        <v>#DIV/0!</v>
      </c>
    </row>
    <row r="9" spans="1:29" s="1218" customFormat="1" ht="15">
      <c r="A9" s="2912"/>
      <c r="B9" s="2919" t="s">
        <v>2755</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86" t="s">
        <v>535</v>
      </c>
      <c r="Q9" s="1149" t="str">
        <f t="shared" ref="Q9:Q15" si="6">B9</f>
        <v>用途</v>
      </c>
      <c r="R9" s="1567" t="s">
        <v>8</v>
      </c>
      <c r="S9" s="1568">
        <f t="shared" si="0"/>
        <v>100</v>
      </c>
      <c r="T9" s="1567" t="s">
        <v>8</v>
      </c>
      <c r="U9" s="1568">
        <f t="shared" si="1"/>
        <v>100</v>
      </c>
      <c r="V9" s="1567" t="s">
        <v>8</v>
      </c>
      <c r="W9" s="1568">
        <f t="shared" si="2"/>
        <v>100</v>
      </c>
      <c r="X9" s="1569"/>
      <c r="Y9" s="3332" t="s">
        <v>536</v>
      </c>
      <c r="Z9" s="1148" t="str">
        <f t="shared" ref="Z9:Z15" si="7">Q9</f>
        <v>用途</v>
      </c>
      <c r="AA9" s="1570">
        <f t="shared" si="3"/>
        <v>1</v>
      </c>
      <c r="AB9" s="1570">
        <f t="shared" si="4"/>
        <v>1</v>
      </c>
      <c r="AC9" s="1570">
        <f t="shared" si="5"/>
        <v>1</v>
      </c>
    </row>
    <row r="10" spans="1:29" s="1336" customFormat="1" ht="27">
      <c r="A10" s="2913"/>
      <c r="B10" s="2918" t="s">
        <v>2756</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4"/>
      <c r="B11" s="2918"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86"/>
      <c r="Q11" s="1149" t="str">
        <f t="shared" si="6"/>
        <v>容积率</v>
      </c>
      <c r="R11" s="1567" t="s">
        <v>8</v>
      </c>
      <c r="S11" s="1568" t="e">
        <f t="shared" si="0"/>
        <v>#N/A</v>
      </c>
      <c r="T11" s="1567" t="s">
        <v>8</v>
      </c>
      <c r="U11" s="1568" t="e">
        <f t="shared" si="1"/>
        <v>#N/A</v>
      </c>
      <c r="V11" s="1567" t="s">
        <v>8</v>
      </c>
      <c r="W11" s="1568" t="e">
        <f t="shared" si="2"/>
        <v>#N/A</v>
      </c>
      <c r="X11" s="1569"/>
      <c r="Y11" s="3332"/>
      <c r="Z11" s="1148" t="str">
        <f t="shared" si="7"/>
        <v>容积率</v>
      </c>
      <c r="AA11" s="1570" t="e">
        <f t="shared" si="3"/>
        <v>#N/A</v>
      </c>
      <c r="AB11" s="1570" t="e">
        <f t="shared" si="4"/>
        <v>#N/A</v>
      </c>
      <c r="AC11" s="1570" t="e">
        <f t="shared" si="5"/>
        <v>#N/A</v>
      </c>
    </row>
    <row r="12" spans="1:29" s="1218" customFormat="1" ht="15">
      <c r="A12" s="2915"/>
      <c r="B12" s="2921">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386"/>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
      <c r="A13" s="2915"/>
      <c r="B13" s="2921">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386"/>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75" thickBot="1">
      <c r="A14" s="2916"/>
      <c r="B14" s="2922">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86"/>
      <c r="Q14" s="1149">
        <f t="shared" si="6"/>
        <v>111</v>
      </c>
      <c r="R14" s="1567" t="s">
        <v>8</v>
      </c>
      <c r="S14" s="1568">
        <f t="shared" si="0"/>
        <v>100</v>
      </c>
      <c r="T14" s="1567" t="s">
        <v>8</v>
      </c>
      <c r="U14" s="1568">
        <f t="shared" si="1"/>
        <v>100</v>
      </c>
      <c r="V14" s="1567" t="s">
        <v>8</v>
      </c>
      <c r="W14" s="1568">
        <f t="shared" si="2"/>
        <v>100</v>
      </c>
      <c r="X14" s="1569"/>
      <c r="Y14" s="3332"/>
      <c r="Z14" s="1148">
        <f t="shared" si="7"/>
        <v>111</v>
      </c>
      <c r="AA14" s="1570">
        <f t="shared" si="3"/>
        <v>1</v>
      </c>
      <c r="AB14" s="1570">
        <f t="shared" si="4"/>
        <v>1</v>
      </c>
      <c r="AC14" s="1570">
        <f t="shared" si="5"/>
        <v>1</v>
      </c>
    </row>
    <row r="15" spans="1:29" ht="15">
      <c r="A15" s="2908" t="s">
        <v>2753</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19" t="s">
        <v>540</v>
      </c>
      <c r="Q15" s="1571" t="str">
        <f t="shared" si="6"/>
        <v>商业繁华度</v>
      </c>
      <c r="R15" s="1572" t="s">
        <v>8</v>
      </c>
      <c r="S15" s="1573">
        <f t="shared" si="0"/>
        <v>100</v>
      </c>
      <c r="T15" s="1572" t="s">
        <v>8</v>
      </c>
      <c r="U15" s="1573">
        <f t="shared" si="1"/>
        <v>100</v>
      </c>
      <c r="V15" s="1572" t="s">
        <v>8</v>
      </c>
      <c r="W15" s="1573">
        <f t="shared" si="2"/>
        <v>100</v>
      </c>
      <c r="X15" s="1566"/>
      <c r="Y15" s="3419"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20"/>
      <c r="Q16" s="1571"/>
      <c r="R16" s="1572"/>
      <c r="S16" s="1573"/>
      <c r="T16" s="1572"/>
      <c r="U16" s="1573"/>
      <c r="V16" s="1572"/>
      <c r="W16" s="1573"/>
      <c r="X16" s="1566"/>
      <c r="Y16" s="3420"/>
      <c r="Z16" s="1574"/>
      <c r="AA16" s="1575">
        <v>1</v>
      </c>
      <c r="AB16" s="1575">
        <v>1</v>
      </c>
      <c r="AC16" s="1575">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20"/>
      <c r="Q18" s="1571"/>
      <c r="R18" s="1572"/>
      <c r="S18" s="1573"/>
      <c r="T18" s="1572"/>
      <c r="U18" s="1573"/>
      <c r="V18" s="1572"/>
      <c r="W18" s="1573"/>
      <c r="X18" s="1566"/>
      <c r="Y18" s="3420"/>
      <c r="Z18" s="1574"/>
      <c r="AA18" s="1575">
        <v>1</v>
      </c>
      <c r="AB18" s="1575">
        <v>1</v>
      </c>
      <c r="AC18" s="1575">
        <v>1</v>
      </c>
    </row>
    <row r="19" spans="1:29" ht="15">
      <c r="A19" s="530"/>
      <c r="B19" s="2598" t="s">
        <v>2545</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420"/>
      <c r="Q20" s="1571"/>
      <c r="R20" s="1572"/>
      <c r="S20" s="1573"/>
      <c r="T20" s="1572"/>
      <c r="U20" s="1573"/>
      <c r="V20" s="1572"/>
      <c r="W20" s="1573"/>
      <c r="X20" s="1566"/>
      <c r="Y20" s="3420"/>
      <c r="Z20" s="1574"/>
      <c r="AA20" s="1575">
        <v>1</v>
      </c>
      <c r="AB20" s="1575">
        <v>1</v>
      </c>
      <c r="AC20" s="1575">
        <v>1</v>
      </c>
    </row>
    <row r="21" spans="1:29" ht="15">
      <c r="A21" s="530"/>
      <c r="B21" s="2591" t="s">
        <v>2557</v>
      </c>
      <c r="C21" s="870" t="str">
        <f>估价对象房地状况!C8</f>
        <v>六通</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20"/>
      <c r="Q21" s="2577" t="str">
        <f>B21</f>
        <v>基础设施水平</v>
      </c>
      <c r="R21" s="1572" t="s">
        <v>8</v>
      </c>
      <c r="S21" s="1573">
        <f>F21</f>
        <v>100</v>
      </c>
      <c r="T21" s="1572" t="s">
        <v>8</v>
      </c>
      <c r="U21" s="1573">
        <f>H21</f>
        <v>100</v>
      </c>
      <c r="V21" s="1572" t="s">
        <v>8</v>
      </c>
      <c r="W21" s="1573">
        <f>J21</f>
        <v>100</v>
      </c>
      <c r="X21" s="2579"/>
      <c r="Y21" s="3420"/>
      <c r="Z21" s="2578"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00"/>
      <c r="L22" s="2140"/>
      <c r="M22" s="2132"/>
      <c r="N22" s="2132"/>
      <c r="O22" s="2139"/>
      <c r="P22" s="3420"/>
      <c r="Q22" s="2577"/>
      <c r="R22" s="1572"/>
      <c r="S22" s="1573"/>
      <c r="T22" s="1572"/>
      <c r="U22" s="1573"/>
      <c r="V22" s="1572"/>
      <c r="W22" s="1573"/>
      <c r="X22" s="2579"/>
      <c r="Y22" s="3420"/>
      <c r="Z22" s="2578"/>
      <c r="AA22" s="1575">
        <v>1</v>
      </c>
      <c r="AB22" s="1575">
        <v>1</v>
      </c>
      <c r="AC22" s="1575">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20"/>
      <c r="Q23" s="1571" t="str">
        <f>B23</f>
        <v>自然及人文环境</v>
      </c>
      <c r="R23" s="1572" t="s">
        <v>8</v>
      </c>
      <c r="S23" s="1573">
        <f>F23</f>
        <v>100</v>
      </c>
      <c r="T23" s="1572" t="s">
        <v>8</v>
      </c>
      <c r="U23" s="1573">
        <f>H23</f>
        <v>100</v>
      </c>
      <c r="V23" s="1572" t="s">
        <v>8</v>
      </c>
      <c r="W23" s="1573">
        <f>J23</f>
        <v>100</v>
      </c>
      <c r="X23" s="1566"/>
      <c r="Y23" s="342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420"/>
      <c r="Q24" s="1571"/>
      <c r="R24" s="1572"/>
      <c r="S24" s="1573"/>
      <c r="T24" s="1572"/>
      <c r="U24" s="1573"/>
      <c r="V24" s="1572"/>
      <c r="W24" s="1573"/>
      <c r="X24" s="1566"/>
      <c r="Y24" s="3420"/>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20"/>
      <c r="Q25" s="1571" t="str">
        <f t="shared" ref="Q25:Q46" si="11">B25</f>
        <v>临街状况</v>
      </c>
      <c r="R25" s="1572" t="s">
        <v>8</v>
      </c>
      <c r="S25" s="1573">
        <f>F25</f>
        <v>100</v>
      </c>
      <c r="T25" s="1572" t="s">
        <v>8</v>
      </c>
      <c r="U25" s="1573">
        <f>H25</f>
        <v>100</v>
      </c>
      <c r="V25" s="1572" t="s">
        <v>8</v>
      </c>
      <c r="W25" s="1573">
        <f>J25</f>
        <v>100</v>
      </c>
      <c r="X25" s="1566"/>
      <c r="Y25" s="3420"/>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20"/>
      <c r="Q26" s="1571" t="str">
        <f t="shared" si="11"/>
        <v>平面位置/可视性</v>
      </c>
      <c r="R26" s="1572" t="s">
        <v>8</v>
      </c>
      <c r="S26" s="1573">
        <f>F26</f>
        <v>100</v>
      </c>
      <c r="T26" s="1572" t="s">
        <v>8</v>
      </c>
      <c r="U26" s="1573">
        <f>H26</f>
        <v>100</v>
      </c>
      <c r="V26" s="1572" t="s">
        <v>8</v>
      </c>
      <c r="W26" s="1573">
        <f>J26</f>
        <v>100</v>
      </c>
      <c r="X26" s="1566"/>
      <c r="Y26" s="3420"/>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20"/>
      <c r="Q27" s="1149" t="str">
        <f t="shared" si="11"/>
        <v>人流量</v>
      </c>
      <c r="R27" s="1567" t="s">
        <v>8</v>
      </c>
      <c r="S27" s="1568">
        <f>F27</f>
        <v>100</v>
      </c>
      <c r="T27" s="1567" t="s">
        <v>8</v>
      </c>
      <c r="U27" s="1568">
        <f>H27</f>
        <v>100</v>
      </c>
      <c r="V27" s="1567" t="s">
        <v>8</v>
      </c>
      <c r="W27" s="1568">
        <f>J27</f>
        <v>100</v>
      </c>
      <c r="X27" s="1569"/>
      <c r="Y27" s="3420"/>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2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0"/>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20"/>
      <c r="Q29" s="1571">
        <f t="shared" si="11"/>
        <v>111</v>
      </c>
      <c r="R29" s="1572" t="s">
        <v>8</v>
      </c>
      <c r="S29" s="1573">
        <f t="shared" si="12"/>
        <v>100</v>
      </c>
      <c r="T29" s="1572" t="s">
        <v>8</v>
      </c>
      <c r="U29" s="1573">
        <f t="shared" si="13"/>
        <v>100</v>
      </c>
      <c r="V29" s="1572" t="s">
        <v>8</v>
      </c>
      <c r="W29" s="1573">
        <f t="shared" si="14"/>
        <v>100</v>
      </c>
      <c r="X29" s="1566"/>
      <c r="Y29" s="342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20"/>
      <c r="Q30" s="1571">
        <f t="shared" si="11"/>
        <v>111</v>
      </c>
      <c r="R30" s="1572" t="s">
        <v>8</v>
      </c>
      <c r="S30" s="1573">
        <f t="shared" si="12"/>
        <v>100</v>
      </c>
      <c r="T30" s="1572" t="s">
        <v>8</v>
      </c>
      <c r="U30" s="1573">
        <f t="shared" si="13"/>
        <v>100</v>
      </c>
      <c r="V30" s="1572" t="s">
        <v>8</v>
      </c>
      <c r="W30" s="1573">
        <f t="shared" si="14"/>
        <v>100</v>
      </c>
      <c r="X30" s="1566"/>
      <c r="Y30" s="3420"/>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20"/>
      <c r="Q31" s="1571">
        <f t="shared" si="11"/>
        <v>111</v>
      </c>
      <c r="R31" s="1572" t="s">
        <v>8</v>
      </c>
      <c r="S31" s="1573">
        <f t="shared" si="12"/>
        <v>100</v>
      </c>
      <c r="T31" s="1572" t="s">
        <v>8</v>
      </c>
      <c r="U31" s="1573">
        <f t="shared" si="13"/>
        <v>100</v>
      </c>
      <c r="V31" s="1572" t="s">
        <v>8</v>
      </c>
      <c r="W31" s="1573">
        <f t="shared" si="14"/>
        <v>100</v>
      </c>
      <c r="X31" s="1566"/>
      <c r="Y31" s="3420"/>
      <c r="Z31" s="1574">
        <f t="shared" si="15"/>
        <v>111</v>
      </c>
      <c r="AA31" s="1575">
        <f t="shared" si="3"/>
        <v>1</v>
      </c>
      <c r="AB31" s="1575">
        <f t="shared" si="4"/>
        <v>1</v>
      </c>
      <c r="AC31" s="1575">
        <f t="shared" si="5"/>
        <v>1</v>
      </c>
    </row>
    <row r="32" spans="1:29" ht="15">
      <c r="A32" s="2905"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21" t="s">
        <v>550</v>
      </c>
      <c r="Q32" s="1571" t="str">
        <f t="shared" si="11"/>
        <v>商业类型</v>
      </c>
      <c r="R32" s="1572" t="s">
        <v>8</v>
      </c>
      <c r="S32" s="1573">
        <f t="shared" si="12"/>
        <v>100</v>
      </c>
      <c r="T32" s="1572" t="s">
        <v>8</v>
      </c>
      <c r="U32" s="1573">
        <f t="shared" si="13"/>
        <v>100</v>
      </c>
      <c r="V32" s="1572" t="s">
        <v>8</v>
      </c>
      <c r="W32" s="1573">
        <f t="shared" si="14"/>
        <v>100</v>
      </c>
      <c r="X32" s="1566"/>
      <c r="Y32" s="3422"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22"/>
      <c r="Q33" s="1604" t="str">
        <f t="shared" si="11"/>
        <v>项目建筑规模</v>
      </c>
      <c r="R33" s="1576" t="s">
        <v>8</v>
      </c>
      <c r="S33" s="1577" t="e">
        <f t="shared" si="12"/>
        <v>#N/A</v>
      </c>
      <c r="T33" s="1576" t="s">
        <v>8</v>
      </c>
      <c r="U33" s="1577" t="e">
        <f t="shared" si="13"/>
        <v>#N/A</v>
      </c>
      <c r="V33" s="1576" t="s">
        <v>8</v>
      </c>
      <c r="W33" s="1577" t="e">
        <f t="shared" si="14"/>
        <v>#N/A</v>
      </c>
      <c r="X33" s="1578"/>
      <c r="Y33" s="3422"/>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22"/>
      <c r="Q34" s="1571" t="str">
        <f t="shared" si="11"/>
        <v>建筑结构</v>
      </c>
      <c r="R34" s="1572" t="s">
        <v>8</v>
      </c>
      <c r="S34" s="1573">
        <f t="shared" si="12"/>
        <v>100</v>
      </c>
      <c r="T34" s="1572" t="s">
        <v>8</v>
      </c>
      <c r="U34" s="1573">
        <f t="shared" si="13"/>
        <v>100</v>
      </c>
      <c r="V34" s="1572" t="s">
        <v>8</v>
      </c>
      <c r="W34" s="1573">
        <f t="shared" si="14"/>
        <v>100</v>
      </c>
      <c r="X34" s="1566"/>
      <c r="Y34" s="3422"/>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22"/>
      <c r="Q35" s="1571" t="str">
        <f t="shared" si="11"/>
        <v>公共部分装修</v>
      </c>
      <c r="R35" s="1572" t="s">
        <v>8</v>
      </c>
      <c r="S35" s="1573">
        <f t="shared" si="12"/>
        <v>100</v>
      </c>
      <c r="T35" s="1572" t="s">
        <v>8</v>
      </c>
      <c r="U35" s="1573">
        <f t="shared" si="13"/>
        <v>100</v>
      </c>
      <c r="V35" s="1572" t="s">
        <v>8</v>
      </c>
      <c r="W35" s="1573">
        <f t="shared" si="14"/>
        <v>100</v>
      </c>
      <c r="X35" s="1566"/>
      <c r="Y35" s="3422"/>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22"/>
      <c r="Q36" s="1571" t="str">
        <f t="shared" si="11"/>
        <v>成新度</v>
      </c>
      <c r="R36" s="1572" t="s">
        <v>8</v>
      </c>
      <c r="S36" s="1573" t="e">
        <f t="shared" si="12"/>
        <v>#N/A</v>
      </c>
      <c r="T36" s="1572" t="s">
        <v>8</v>
      </c>
      <c r="U36" s="1573" t="e">
        <f t="shared" si="13"/>
        <v>#N/A</v>
      </c>
      <c r="V36" s="1572" t="s">
        <v>8</v>
      </c>
      <c r="W36" s="1573" t="e">
        <f t="shared" si="14"/>
        <v>#N/A</v>
      </c>
      <c r="X36" s="1566"/>
      <c r="Y36" s="3422"/>
      <c r="Z36" s="1574" t="str">
        <f t="shared" si="15"/>
        <v>成新度</v>
      </c>
      <c r="AA36" s="1575" t="e">
        <f t="shared" si="3"/>
        <v>#N/A</v>
      </c>
      <c r="AB36" s="1575" t="e">
        <f t="shared" si="4"/>
        <v>#N/A</v>
      </c>
      <c r="AC36" s="1575" t="e">
        <f t="shared" si="5"/>
        <v>#N/A</v>
      </c>
    </row>
    <row r="37" spans="1:29" s="1218" customFormat="1" ht="15">
      <c r="A37" s="598"/>
      <c r="B37" s="1893"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22"/>
      <c r="Q37" s="1149" t="str">
        <f t="shared" si="11"/>
        <v>市政基础设施</v>
      </c>
      <c r="R37" s="1567" t="s">
        <v>8</v>
      </c>
      <c r="S37" s="1568">
        <f t="shared" si="12"/>
        <v>100</v>
      </c>
      <c r="T37" s="1567" t="s">
        <v>8</v>
      </c>
      <c r="U37" s="1568">
        <f t="shared" si="13"/>
        <v>100</v>
      </c>
      <c r="V37" s="1567" t="s">
        <v>8</v>
      </c>
      <c r="W37" s="1568">
        <f t="shared" si="14"/>
        <v>100</v>
      </c>
      <c r="X37" s="1569"/>
      <c r="Y37" s="3422"/>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22" t="s">
        <v>766</v>
      </c>
      <c r="Q38" s="1571" t="str">
        <f t="shared" si="11"/>
        <v>业态</v>
      </c>
      <c r="R38" s="1572" t="s">
        <v>8</v>
      </c>
      <c r="S38" s="1573">
        <f t="shared" si="12"/>
        <v>100</v>
      </c>
      <c r="T38" s="1572" t="s">
        <v>8</v>
      </c>
      <c r="U38" s="1573">
        <f t="shared" si="13"/>
        <v>100</v>
      </c>
      <c r="V38" s="1572" t="s">
        <v>8</v>
      </c>
      <c r="W38" s="1573">
        <f t="shared" si="14"/>
        <v>100</v>
      </c>
      <c r="X38" s="1566"/>
      <c r="Y38" s="3422"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22"/>
      <c r="Q39" s="1571" t="str">
        <f t="shared" si="11"/>
        <v>层高</v>
      </c>
      <c r="R39" s="1572" t="s">
        <v>8</v>
      </c>
      <c r="S39" s="1573">
        <f t="shared" si="12"/>
        <v>100</v>
      </c>
      <c r="T39" s="1572" t="s">
        <v>8</v>
      </c>
      <c r="U39" s="1573">
        <f t="shared" si="13"/>
        <v>100</v>
      </c>
      <c r="V39" s="1572" t="s">
        <v>8</v>
      </c>
      <c r="W39" s="1573">
        <f t="shared" si="14"/>
        <v>100</v>
      </c>
      <c r="X39" s="1566"/>
      <c r="Y39" s="3422"/>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22"/>
      <c r="Q40" s="1571" t="str">
        <f t="shared" si="11"/>
        <v>单套建筑面积</v>
      </c>
      <c r="R40" s="1572" t="s">
        <v>8</v>
      </c>
      <c r="S40" s="1573">
        <f t="shared" si="12"/>
        <v>100</v>
      </c>
      <c r="T40" s="1572" t="s">
        <v>8</v>
      </c>
      <c r="U40" s="1573">
        <f t="shared" si="13"/>
        <v>100</v>
      </c>
      <c r="V40" s="1572" t="s">
        <v>8</v>
      </c>
      <c r="W40" s="1573">
        <f t="shared" si="14"/>
        <v>100</v>
      </c>
      <c r="X40" s="1566"/>
      <c r="Y40" s="3422"/>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22"/>
      <c r="Q41" s="1604" t="str">
        <f t="shared" si="11"/>
        <v>进深比</v>
      </c>
      <c r="R41" s="1576" t="s">
        <v>8</v>
      </c>
      <c r="S41" s="1577">
        <f t="shared" si="12"/>
        <v>100</v>
      </c>
      <c r="T41" s="1576" t="s">
        <v>8</v>
      </c>
      <c r="U41" s="1577">
        <f t="shared" si="13"/>
        <v>100</v>
      </c>
      <c r="V41" s="1576" t="s">
        <v>8</v>
      </c>
      <c r="W41" s="1577">
        <f t="shared" si="14"/>
        <v>100</v>
      </c>
      <c r="X41" s="1578"/>
      <c r="Y41" s="3422"/>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22"/>
      <c r="Q42" s="1571" t="str">
        <f t="shared" si="11"/>
        <v>内部装修</v>
      </c>
      <c r="R42" s="1572" t="s">
        <v>8</v>
      </c>
      <c r="S42" s="1573">
        <f t="shared" si="12"/>
        <v>100</v>
      </c>
      <c r="T42" s="1572" t="s">
        <v>8</v>
      </c>
      <c r="U42" s="1573">
        <f t="shared" si="13"/>
        <v>100</v>
      </c>
      <c r="V42" s="1572" t="s">
        <v>8</v>
      </c>
      <c r="W42" s="1573">
        <f t="shared" si="14"/>
        <v>100</v>
      </c>
      <c r="X42" s="1566"/>
      <c r="Y42" s="3422"/>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22"/>
      <c r="Q43" s="1571" t="str">
        <f t="shared" si="11"/>
        <v>内部装修维护情况</v>
      </c>
      <c r="R43" s="1572" t="s">
        <v>8</v>
      </c>
      <c r="S43" s="1573">
        <f t="shared" si="12"/>
        <v>100</v>
      </c>
      <c r="T43" s="1572" t="s">
        <v>8</v>
      </c>
      <c r="U43" s="1573">
        <f t="shared" si="13"/>
        <v>100</v>
      </c>
      <c r="V43" s="1572" t="s">
        <v>8</v>
      </c>
      <c r="W43" s="1573">
        <f t="shared" si="14"/>
        <v>100</v>
      </c>
      <c r="X43" s="1566"/>
      <c r="Y43" s="3422"/>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22"/>
      <c r="Q44" s="1149">
        <f t="shared" si="11"/>
        <v>111</v>
      </c>
      <c r="R44" s="1567" t="s">
        <v>8</v>
      </c>
      <c r="S44" s="1568">
        <f t="shared" si="12"/>
        <v>100</v>
      </c>
      <c r="T44" s="1567" t="s">
        <v>8</v>
      </c>
      <c r="U44" s="1568">
        <f t="shared" si="13"/>
        <v>100</v>
      </c>
      <c r="V44" s="1567" t="s">
        <v>8</v>
      </c>
      <c r="W44" s="1568">
        <f t="shared" si="14"/>
        <v>100</v>
      </c>
      <c r="X44" s="1569"/>
      <c r="Y44" s="342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22"/>
      <c r="Q45" s="1571">
        <f t="shared" si="11"/>
        <v>111</v>
      </c>
      <c r="R45" s="1572" t="s">
        <v>8</v>
      </c>
      <c r="S45" s="1573">
        <f t="shared" si="12"/>
        <v>100</v>
      </c>
      <c r="T45" s="1572" t="s">
        <v>8</v>
      </c>
      <c r="U45" s="1573">
        <f t="shared" si="13"/>
        <v>100</v>
      </c>
      <c r="V45" s="1572" t="s">
        <v>8</v>
      </c>
      <c r="W45" s="1573">
        <f t="shared" si="14"/>
        <v>100</v>
      </c>
      <c r="X45" s="1566"/>
      <c r="Y45" s="3422"/>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78"/>
      <c r="Q46" s="1571">
        <f t="shared" si="11"/>
        <v>111</v>
      </c>
      <c r="R46" s="1572" t="s">
        <v>8</v>
      </c>
      <c r="S46" s="1573">
        <f t="shared" si="12"/>
        <v>100</v>
      </c>
      <c r="T46" s="1572" t="s">
        <v>8</v>
      </c>
      <c r="U46" s="1573">
        <f t="shared" si="13"/>
        <v>100</v>
      </c>
      <c r="V46" s="1572" t="s">
        <v>8</v>
      </c>
      <c r="W46" s="1573">
        <f t="shared" si="14"/>
        <v>100</v>
      </c>
      <c r="X46" s="1566"/>
      <c r="Y46" s="3478"/>
      <c r="Z46" s="1574">
        <f t="shared" si="15"/>
        <v>111</v>
      </c>
      <c r="AA46" s="1575">
        <f t="shared" si="3"/>
        <v>1</v>
      </c>
      <c r="AB46" s="1575">
        <f t="shared" si="4"/>
        <v>1</v>
      </c>
      <c r="AC46" s="1575">
        <f t="shared" si="5"/>
        <v>1</v>
      </c>
    </row>
    <row r="47" spans="1:29" ht="15">
      <c r="A47" s="605" t="s">
        <v>736</v>
      </c>
      <c r="B47" s="885"/>
      <c r="C47" s="2625" t="s">
        <v>1</v>
      </c>
      <c r="D47" s="2626"/>
      <c r="E47" s="2627"/>
      <c r="F47" s="2628"/>
      <c r="G47" s="2629"/>
      <c r="H47" s="2630"/>
      <c r="I47" s="2627"/>
      <c r="J47" s="2630"/>
      <c r="K47" s="1610"/>
      <c r="L47" s="2142"/>
      <c r="M47" s="2143"/>
      <c r="N47" s="2132"/>
      <c r="O47" s="2143"/>
      <c r="P47" s="3386" t="str">
        <f>A47</f>
        <v>成交单价（元/平方米）</v>
      </c>
      <c r="Q47" s="3386"/>
      <c r="R47" s="3477">
        <f>E47</f>
        <v>0</v>
      </c>
      <c r="S47" s="3477"/>
      <c r="T47" s="3477">
        <f>G47</f>
        <v>0</v>
      </c>
      <c r="U47" s="3477"/>
      <c r="V47" s="3477">
        <f>I47</f>
        <v>0</v>
      </c>
      <c r="W47" s="3477"/>
      <c r="X47" s="1558"/>
      <c r="Y47" s="1580"/>
      <c r="Z47" s="1558"/>
      <c r="AA47" s="1558"/>
      <c r="AB47" s="1558"/>
      <c r="AC47" s="1558"/>
    </row>
    <row r="48" spans="1:29" ht="15.75" thickBot="1">
      <c r="A48" s="613" t="s">
        <v>2759</v>
      </c>
      <c r="B48" s="886"/>
      <c r="C48" s="2631" t="e">
        <f>R49</f>
        <v>#DIV/0!</v>
      </c>
      <c r="D48" s="2632"/>
      <c r="E48" s="2633" t="e">
        <f>R48</f>
        <v>#DIV/0!</v>
      </c>
      <c r="F48" s="2633"/>
      <c r="G48" s="2631" t="e">
        <f>T48</f>
        <v>#DIV/0!</v>
      </c>
      <c r="H48" s="2632"/>
      <c r="I48" s="2633" t="e">
        <f>V48</f>
        <v>#DIV/0!</v>
      </c>
      <c r="J48" s="2632"/>
      <c r="K48" s="1611"/>
      <c r="L48" s="2142"/>
      <c r="M48" s="2143"/>
      <c r="N48" s="2132"/>
      <c r="O48" s="2143"/>
      <c r="P48" s="3386" t="str">
        <f>A48</f>
        <v>比较价格（元/平方米）</v>
      </c>
      <c r="Q48" s="338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58"/>
      <c r="Y48" s="1558"/>
      <c r="Z48" s="1558"/>
      <c r="AA48" s="1558"/>
      <c r="AB48" s="1558"/>
      <c r="AC48" s="1558"/>
    </row>
    <row r="49" spans="1:29" ht="15.75" thickBot="1">
      <c r="A49" s="619" t="s">
        <v>2919</v>
      </c>
      <c r="B49" s="620"/>
      <c r="C49" s="2634" t="e">
        <f>R49</f>
        <v>#DIV/0!</v>
      </c>
      <c r="D49" s="2634"/>
      <c r="E49" s="2634"/>
      <c r="F49" s="2634"/>
      <c r="G49" s="2634"/>
      <c r="H49" s="2634"/>
      <c r="I49" s="2634"/>
      <c r="J49" s="2634"/>
      <c r="K49" s="1612"/>
      <c r="L49" s="2142"/>
      <c r="M49" s="2143"/>
      <c r="N49" s="2132"/>
      <c r="O49" s="2143"/>
      <c r="P49" s="3383" t="str">
        <f>A49</f>
        <v>估价对象XX用房的比较价格（楼面单价，元/平方米）</v>
      </c>
      <c r="Q49" s="3384"/>
      <c r="R49" s="3476" t="e">
        <f>IF(F1="售价",ROUND(AVERAGE(R48:V48),0),ROUND(AVERAGE(R48:V48),1))</f>
        <v>#DIV/0!</v>
      </c>
      <c r="S49" s="3476"/>
      <c r="T49" s="3476"/>
      <c r="U49" s="3476"/>
      <c r="V49" s="3476"/>
      <c r="W49" s="3476"/>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529</v>
      </c>
      <c r="B58" s="644"/>
      <c r="C58" s="2800"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2557</v>
      </c>
      <c r="C82" s="2596" t="s">
        <v>2558</v>
      </c>
      <c r="D82" s="2596" t="s">
        <v>2559</v>
      </c>
      <c r="E82" s="2596" t="s">
        <v>2560</v>
      </c>
      <c r="F82" s="2596" t="s">
        <v>2561</v>
      </c>
      <c r="G82" s="2596" t="s">
        <v>2562</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2555</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5"/>
      <c r="G1" s="1600" t="s">
        <v>721</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521</v>
      </c>
      <c r="B4" s="511"/>
      <c r="C4" s="3392" t="s">
        <v>522</v>
      </c>
      <c r="D4" s="3393"/>
      <c r="E4" s="3427" t="s">
        <v>523</v>
      </c>
      <c r="F4" s="3428"/>
      <c r="G4" s="3392" t="s">
        <v>524</v>
      </c>
      <c r="H4" s="3393"/>
      <c r="I4" s="3392" t="s">
        <v>525</v>
      </c>
      <c r="J4" s="3393"/>
      <c r="K4" s="512" t="s">
        <v>526</v>
      </c>
      <c r="L4" s="2131"/>
      <c r="M4" s="2132"/>
      <c r="N4" s="2132"/>
      <c r="O4" s="2132"/>
      <c r="P4" s="3505" t="s">
        <v>527</v>
      </c>
      <c r="Q4" s="3395"/>
      <c r="R4" s="3400" t="s">
        <v>523</v>
      </c>
      <c r="S4" s="3401"/>
      <c r="T4" s="3400" t="s">
        <v>524</v>
      </c>
      <c r="U4" s="3401"/>
      <c r="V4" s="3387" t="s">
        <v>525</v>
      </c>
      <c r="W4" s="3387"/>
      <c r="X4" s="1566"/>
      <c r="Y4" s="3400" t="s">
        <v>527</v>
      </c>
      <c r="Z4" s="3401"/>
      <c r="AA4" s="3389" t="s">
        <v>523</v>
      </c>
      <c r="AB4" s="3389" t="s">
        <v>524</v>
      </c>
      <c r="AC4" s="3389" t="s">
        <v>525</v>
      </c>
    </row>
    <row r="5" spans="1:29" ht="15">
      <c r="A5" s="513"/>
      <c r="B5" s="514"/>
      <c r="C5" s="3408" t="s">
        <v>2913</v>
      </c>
      <c r="D5" s="3409"/>
      <c r="E5" s="3429" t="s">
        <v>2914</v>
      </c>
      <c r="F5" s="3430"/>
      <c r="G5" s="3408" t="s">
        <v>2915</v>
      </c>
      <c r="H5" s="3409"/>
      <c r="I5" s="3408" t="s">
        <v>2916</v>
      </c>
      <c r="J5" s="3409"/>
      <c r="K5" s="512"/>
      <c r="L5" s="2131"/>
      <c r="M5" s="2132"/>
      <c r="N5" s="2132"/>
      <c r="O5" s="2132"/>
      <c r="P5" s="3506"/>
      <c r="Q5" s="3397"/>
      <c r="R5" s="3402"/>
      <c r="S5" s="3403"/>
      <c r="T5" s="3402"/>
      <c r="U5" s="3403"/>
      <c r="V5" s="3387"/>
      <c r="W5" s="3387"/>
      <c r="X5" s="1566"/>
      <c r="Y5" s="3402"/>
      <c r="Z5" s="3403"/>
      <c r="AA5" s="3390"/>
      <c r="AB5" s="3390"/>
      <c r="AC5" s="3390"/>
    </row>
    <row r="6" spans="1:29" ht="15.75" thickBot="1">
      <c r="A6" s="515"/>
      <c r="B6" s="516"/>
      <c r="C6" s="3423" t="s">
        <v>2917</v>
      </c>
      <c r="D6" s="3424"/>
      <c r="E6" s="3425" t="s">
        <v>2917</v>
      </c>
      <c r="F6" s="3426"/>
      <c r="G6" s="3423" t="s">
        <v>2917</v>
      </c>
      <c r="H6" s="3424"/>
      <c r="I6" s="3423" t="s">
        <v>2917</v>
      </c>
      <c r="J6" s="3424"/>
      <c r="K6" s="512" t="s">
        <v>528</v>
      </c>
      <c r="L6" s="2131"/>
      <c r="M6" s="2132"/>
      <c r="N6" s="2132"/>
      <c r="O6" s="2132"/>
      <c r="P6" s="3507"/>
      <c r="Q6" s="3399"/>
      <c r="R6" s="3402"/>
      <c r="S6" s="3403"/>
      <c r="T6" s="3404"/>
      <c r="U6" s="3405"/>
      <c r="V6" s="3387"/>
      <c r="W6" s="3387"/>
      <c r="X6" s="1566"/>
      <c r="Y6" s="3404"/>
      <c r="Z6" s="3405"/>
      <c r="AA6" s="3391"/>
      <c r="AB6" s="3391"/>
      <c r="AC6" s="3391"/>
    </row>
    <row r="7" spans="1:29" s="1218" customFormat="1" ht="15.75" thickBot="1">
      <c r="A7" s="2910"/>
      <c r="B7" s="2917" t="s">
        <v>529</v>
      </c>
      <c r="C7" s="517">
        <f>'数据-取费表'!B2</f>
        <v>43361</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18" t="s">
        <v>530</v>
      </c>
      <c r="Q7" s="3418"/>
      <c r="R7" s="1567" t="s">
        <v>8</v>
      </c>
      <c r="S7" s="1568">
        <f t="shared" ref="S7:S15" si="0">F7</f>
        <v>0</v>
      </c>
      <c r="T7" s="1567" t="s">
        <v>8</v>
      </c>
      <c r="U7" s="1568">
        <f t="shared" ref="U7:U15" si="1">H7</f>
        <v>0</v>
      </c>
      <c r="V7" s="1567" t="s">
        <v>8</v>
      </c>
      <c r="W7" s="1568">
        <f t="shared" ref="W7:W15" si="2">J7</f>
        <v>0</v>
      </c>
      <c r="X7" s="1569"/>
      <c r="Y7" s="3416" t="s">
        <v>530</v>
      </c>
      <c r="Z7" s="3417"/>
      <c r="AA7" s="1570" t="e">
        <f>D7/F7</f>
        <v>#DIV/0!</v>
      </c>
      <c r="AB7" s="1570" t="e">
        <f>D7/H7</f>
        <v>#DIV/0!</v>
      </c>
      <c r="AC7" s="1570" t="e">
        <f>D7/J7</f>
        <v>#DIV/0!</v>
      </c>
    </row>
    <row r="8" spans="1:29" s="1218" customFormat="1" ht="15.75" thickBot="1">
      <c r="A8" s="2911"/>
      <c r="B8" s="2918"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18" t="s">
        <v>533</v>
      </c>
      <c r="Q8" s="3417"/>
      <c r="R8" s="1567" t="s">
        <v>8</v>
      </c>
      <c r="S8" s="1568">
        <f t="shared" si="0"/>
        <v>0</v>
      </c>
      <c r="T8" s="1567" t="s">
        <v>8</v>
      </c>
      <c r="U8" s="1568">
        <f t="shared" si="1"/>
        <v>0</v>
      </c>
      <c r="V8" s="1567" t="s">
        <v>8</v>
      </c>
      <c r="W8" s="1568">
        <f t="shared" si="2"/>
        <v>0</v>
      </c>
      <c r="X8" s="1569"/>
      <c r="Y8" s="3416" t="s">
        <v>533</v>
      </c>
      <c r="Z8" s="3417"/>
      <c r="AA8" s="1570" t="e">
        <f t="shared" ref="AA8:AA47" si="3">D8/F8</f>
        <v>#DIV/0!</v>
      </c>
      <c r="AB8" s="1570" t="e">
        <f t="shared" ref="AB8:AB47" si="4">D8/H8</f>
        <v>#DIV/0!</v>
      </c>
      <c r="AC8" s="1570" t="e">
        <f t="shared" ref="AC8:AC47" si="5">D8/J8</f>
        <v>#DIV/0!</v>
      </c>
    </row>
    <row r="9" spans="1:29" s="1218" customFormat="1" ht="15">
      <c r="A9" s="2912"/>
      <c r="B9" s="2919" t="s">
        <v>2755</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86" t="s">
        <v>535</v>
      </c>
      <c r="Q9" s="1149" t="str">
        <f t="shared" ref="Q9:Q15" si="6">B9</f>
        <v>用途</v>
      </c>
      <c r="R9" s="1567" t="s">
        <v>8</v>
      </c>
      <c r="S9" s="1568">
        <f t="shared" si="0"/>
        <v>100</v>
      </c>
      <c r="T9" s="1567" t="s">
        <v>8</v>
      </c>
      <c r="U9" s="1568">
        <f t="shared" si="1"/>
        <v>100</v>
      </c>
      <c r="V9" s="1567" t="s">
        <v>8</v>
      </c>
      <c r="W9" s="1568">
        <f t="shared" si="2"/>
        <v>100</v>
      </c>
      <c r="X9" s="1569"/>
      <c r="Y9" s="3332" t="s">
        <v>536</v>
      </c>
      <c r="Z9" s="1148" t="str">
        <f t="shared" ref="Z9:Z15" si="7">Q9</f>
        <v>用途</v>
      </c>
      <c r="AA9" s="1570">
        <f t="shared" si="3"/>
        <v>1</v>
      </c>
      <c r="AB9" s="1570">
        <f t="shared" si="4"/>
        <v>1</v>
      </c>
      <c r="AC9" s="1570">
        <f t="shared" si="5"/>
        <v>1</v>
      </c>
    </row>
    <row r="10" spans="1:29" s="1336" customFormat="1" ht="27">
      <c r="A10" s="2913"/>
      <c r="B10" s="2918" t="s">
        <v>2756</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86"/>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4"/>
      <c r="B11" s="2918"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86"/>
      <c r="Q11" s="1149" t="str">
        <f t="shared" si="6"/>
        <v>容积率</v>
      </c>
      <c r="R11" s="1567" t="s">
        <v>8</v>
      </c>
      <c r="S11" s="1568" t="e">
        <f t="shared" si="0"/>
        <v>#N/A</v>
      </c>
      <c r="T11" s="1567" t="s">
        <v>8</v>
      </c>
      <c r="U11" s="1568" t="e">
        <f t="shared" si="1"/>
        <v>#N/A</v>
      </c>
      <c r="V11" s="1567" t="s">
        <v>8</v>
      </c>
      <c r="W11" s="1568" t="e">
        <f t="shared" si="2"/>
        <v>#N/A</v>
      </c>
      <c r="X11" s="1569"/>
      <c r="Y11" s="3332"/>
      <c r="Z11" s="1148" t="str">
        <f t="shared" si="7"/>
        <v>容积率</v>
      </c>
      <c r="AA11" s="1570" t="e">
        <f t="shared" si="3"/>
        <v>#N/A</v>
      </c>
      <c r="AB11" s="1570" t="e">
        <f t="shared" si="4"/>
        <v>#N/A</v>
      </c>
      <c r="AC11" s="1570" t="e">
        <f t="shared" si="5"/>
        <v>#N/A</v>
      </c>
    </row>
    <row r="12" spans="1:29" s="1218" customFormat="1" ht="15">
      <c r="A12" s="2915"/>
      <c r="B12" s="2921">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386"/>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
      <c r="A13" s="2915"/>
      <c r="B13" s="2921">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386"/>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75" thickBot="1">
      <c r="A14" s="2916"/>
      <c r="B14" s="2922">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86"/>
      <c r="Q14" s="1149">
        <f t="shared" si="6"/>
        <v>111</v>
      </c>
      <c r="R14" s="1567" t="s">
        <v>8</v>
      </c>
      <c r="S14" s="1568">
        <f t="shared" si="0"/>
        <v>100</v>
      </c>
      <c r="T14" s="1567" t="s">
        <v>8</v>
      </c>
      <c r="U14" s="1568">
        <f t="shared" si="1"/>
        <v>100</v>
      </c>
      <c r="V14" s="1567" t="s">
        <v>8</v>
      </c>
      <c r="W14" s="1568">
        <f t="shared" si="2"/>
        <v>100</v>
      </c>
      <c r="X14" s="1569"/>
      <c r="Y14" s="3332"/>
      <c r="Z14" s="1148">
        <f t="shared" si="7"/>
        <v>111</v>
      </c>
      <c r="AA14" s="1570">
        <f t="shared" si="3"/>
        <v>1</v>
      </c>
      <c r="AB14" s="1570">
        <f t="shared" si="4"/>
        <v>1</v>
      </c>
      <c r="AC14" s="1570">
        <f t="shared" si="5"/>
        <v>1</v>
      </c>
    </row>
    <row r="15" spans="1:29" ht="15">
      <c r="A15" s="2908" t="s">
        <v>2753</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19" t="s">
        <v>540</v>
      </c>
      <c r="Q15" s="1571" t="str">
        <f t="shared" si="6"/>
        <v>办公集聚程度</v>
      </c>
      <c r="R15" s="1572" t="s">
        <v>8</v>
      </c>
      <c r="S15" s="1573">
        <f t="shared" si="0"/>
        <v>100</v>
      </c>
      <c r="T15" s="1572" t="s">
        <v>8</v>
      </c>
      <c r="U15" s="1573">
        <f t="shared" si="1"/>
        <v>100</v>
      </c>
      <c r="V15" s="1572" t="s">
        <v>8</v>
      </c>
      <c r="W15" s="1573">
        <f t="shared" si="2"/>
        <v>100</v>
      </c>
      <c r="X15" s="1566"/>
      <c r="Y15" s="3419" t="s">
        <v>540</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420"/>
      <c r="Q16" s="1571"/>
      <c r="R16" s="1572"/>
      <c r="S16" s="1573"/>
      <c r="T16" s="1572"/>
      <c r="U16" s="1573"/>
      <c r="V16" s="1572"/>
      <c r="W16" s="1573"/>
      <c r="X16" s="1566"/>
      <c r="Y16" s="3420"/>
      <c r="Z16" s="1574"/>
      <c r="AA16" s="1575">
        <v>1</v>
      </c>
      <c r="AB16" s="1575">
        <v>1</v>
      </c>
      <c r="AC16" s="1575">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420"/>
      <c r="Q18" s="1571"/>
      <c r="R18" s="1572"/>
      <c r="S18" s="1573"/>
      <c r="T18" s="1572"/>
      <c r="U18" s="1573"/>
      <c r="V18" s="1572"/>
      <c r="W18" s="1573"/>
      <c r="X18" s="1566"/>
      <c r="Y18" s="3420"/>
      <c r="Z18" s="1574"/>
      <c r="AA18" s="1575">
        <v>1</v>
      </c>
      <c r="AB18" s="1575">
        <v>1</v>
      </c>
      <c r="AC18" s="1575">
        <v>1</v>
      </c>
    </row>
    <row r="19" spans="1:29" ht="15">
      <c r="A19" s="530"/>
      <c r="B19" s="2601" t="s">
        <v>2545</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420"/>
      <c r="Q20" s="1571"/>
      <c r="R20" s="1572"/>
      <c r="S20" s="1573"/>
      <c r="T20" s="1572"/>
      <c r="U20" s="1573"/>
      <c r="V20" s="1572"/>
      <c r="W20" s="1573"/>
      <c r="X20" s="1566"/>
      <c r="Y20" s="3420"/>
      <c r="Z20" s="1574"/>
      <c r="AA20" s="1575">
        <v>1</v>
      </c>
      <c r="AB20" s="1575">
        <v>1</v>
      </c>
      <c r="AC20" s="1575">
        <v>1</v>
      </c>
    </row>
    <row r="21" spans="1:29" ht="15">
      <c r="A21" s="530"/>
      <c r="B21" s="2589" t="s">
        <v>2557</v>
      </c>
      <c r="C21" s="571" t="str">
        <f>估价对象房地状况!C8</f>
        <v>六通</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20"/>
      <c r="Q21" s="2577" t="str">
        <f>B21</f>
        <v>基础设施水平</v>
      </c>
      <c r="R21" s="1572" t="s">
        <v>8</v>
      </c>
      <c r="S21" s="1573">
        <f>F21</f>
        <v>100</v>
      </c>
      <c r="T21" s="1572" t="s">
        <v>8</v>
      </c>
      <c r="U21" s="1573">
        <f>H21</f>
        <v>100</v>
      </c>
      <c r="V21" s="1572" t="s">
        <v>8</v>
      </c>
      <c r="W21" s="1573">
        <f>J21</f>
        <v>100</v>
      </c>
      <c r="X21" s="2579"/>
      <c r="Y21" s="3420"/>
      <c r="Z21" s="2578"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00"/>
      <c r="L22" s="2140"/>
      <c r="M22" s="2132"/>
      <c r="N22" s="2132"/>
      <c r="O22" s="2132"/>
      <c r="P22" s="3420"/>
      <c r="Q22" s="2577"/>
      <c r="R22" s="1572"/>
      <c r="S22" s="1573"/>
      <c r="T22" s="1572"/>
      <c r="U22" s="1573"/>
      <c r="V22" s="1572"/>
      <c r="W22" s="1573"/>
      <c r="X22" s="2579"/>
      <c r="Y22" s="3420"/>
      <c r="Z22" s="2578"/>
      <c r="AA22" s="1575">
        <v>1</v>
      </c>
      <c r="AB22" s="1575">
        <v>1</v>
      </c>
      <c r="AC22" s="1575">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20"/>
      <c r="Q23" s="1571" t="str">
        <f>B23</f>
        <v>环境质量</v>
      </c>
      <c r="R23" s="1572" t="s">
        <v>8</v>
      </c>
      <c r="S23" s="1573">
        <f>F23</f>
        <v>100</v>
      </c>
      <c r="T23" s="1572" t="s">
        <v>8</v>
      </c>
      <c r="U23" s="1573">
        <f>H23</f>
        <v>100</v>
      </c>
      <c r="V23" s="1572" t="s">
        <v>8</v>
      </c>
      <c r="W23" s="1573">
        <f>J23</f>
        <v>100</v>
      </c>
      <c r="X23" s="1566"/>
      <c r="Y23" s="3420"/>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420"/>
      <c r="Q24" s="1571"/>
      <c r="R24" s="1572"/>
      <c r="S24" s="1573"/>
      <c r="T24" s="1572"/>
      <c r="U24" s="1573"/>
      <c r="V24" s="1572"/>
      <c r="W24" s="1573"/>
      <c r="X24" s="1566"/>
      <c r="Y24" s="3420"/>
      <c r="Z24" s="1574"/>
      <c r="AA24" s="1575">
        <v>1</v>
      </c>
      <c r="AB24" s="1575">
        <v>1</v>
      </c>
      <c r="AC24" s="1575">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20"/>
      <c r="Q25" s="1571" t="str">
        <f>B25</f>
        <v>毗邻道路的类型与等级</v>
      </c>
      <c r="R25" s="1572" t="s">
        <v>8</v>
      </c>
      <c r="S25" s="1573">
        <f>F25</f>
        <v>100</v>
      </c>
      <c r="T25" s="1572" t="s">
        <v>8</v>
      </c>
      <c r="U25" s="1573">
        <f>H25</f>
        <v>100</v>
      </c>
      <c r="V25" s="1572" t="s">
        <v>8</v>
      </c>
      <c r="W25" s="1573">
        <f>J25</f>
        <v>100</v>
      </c>
      <c r="X25" s="1566"/>
      <c r="Y25" s="3420"/>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420"/>
      <c r="Q26" s="1571"/>
      <c r="R26" s="1572"/>
      <c r="S26" s="1573"/>
      <c r="T26" s="1572"/>
      <c r="U26" s="1573"/>
      <c r="V26" s="1572"/>
      <c r="W26" s="1573"/>
      <c r="X26" s="1566"/>
      <c r="Y26" s="3420"/>
      <c r="Z26" s="1574"/>
      <c r="AA26" s="1575">
        <v>1</v>
      </c>
      <c r="AB26" s="1575">
        <v>1</v>
      </c>
      <c r="AC26" s="1575">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20"/>
      <c r="Q27" s="1571" t="str">
        <f t="shared" ref="Q27:Q47" si="11">B27</f>
        <v>楼层</v>
      </c>
      <c r="R27" s="1572" t="s">
        <v>8</v>
      </c>
      <c r="S27" s="1573">
        <f>F27</f>
        <v>100</v>
      </c>
      <c r="T27" s="1572" t="s">
        <v>8</v>
      </c>
      <c r="U27" s="1573">
        <f>H27</f>
        <v>100</v>
      </c>
      <c r="V27" s="1572" t="s">
        <v>8</v>
      </c>
      <c r="W27" s="1573">
        <f>J27</f>
        <v>100</v>
      </c>
      <c r="X27" s="1566"/>
      <c r="Y27" s="3420"/>
      <c r="Z27" s="1574" t="str">
        <f>Q27</f>
        <v>楼层</v>
      </c>
      <c r="AA27" s="1575">
        <f t="shared" si="3"/>
        <v>1</v>
      </c>
      <c r="AB27" s="1575">
        <f t="shared" si="4"/>
        <v>1</v>
      </c>
      <c r="AC27" s="1575">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20"/>
      <c r="Q28" s="1149" t="str">
        <f t="shared" si="11"/>
        <v>朝向</v>
      </c>
      <c r="R28" s="1567" t="s">
        <v>8</v>
      </c>
      <c r="S28" s="1568">
        <f>F28</f>
        <v>100</v>
      </c>
      <c r="T28" s="1567" t="s">
        <v>8</v>
      </c>
      <c r="U28" s="1568">
        <f>H28</f>
        <v>100</v>
      </c>
      <c r="V28" s="1567" t="s">
        <v>8</v>
      </c>
      <c r="W28" s="1568">
        <f>J28</f>
        <v>100</v>
      </c>
      <c r="X28" s="1569"/>
      <c r="Y28" s="3420"/>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20"/>
      <c r="Q29" s="1571">
        <f t="shared" si="11"/>
        <v>111</v>
      </c>
      <c r="R29" s="1572" t="s">
        <v>8</v>
      </c>
      <c r="S29" s="1573">
        <f t="shared" ref="S29:S47" si="12">F29</f>
        <v>100</v>
      </c>
      <c r="T29" s="1572" t="s">
        <v>8</v>
      </c>
      <c r="U29" s="1573">
        <f t="shared" ref="U29:U47" si="13">H29</f>
        <v>100</v>
      </c>
      <c r="V29" s="1572" t="s">
        <v>8</v>
      </c>
      <c r="W29" s="1573">
        <f t="shared" ref="W29:W47" si="14">J29</f>
        <v>100</v>
      </c>
      <c r="X29" s="1566"/>
      <c r="Y29" s="3420"/>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20"/>
      <c r="Q30" s="1571">
        <f t="shared" si="11"/>
        <v>111</v>
      </c>
      <c r="R30" s="1572" t="s">
        <v>8</v>
      </c>
      <c r="S30" s="1573">
        <f t="shared" si="12"/>
        <v>100</v>
      </c>
      <c r="T30" s="1572" t="s">
        <v>8</v>
      </c>
      <c r="U30" s="1573">
        <f t="shared" si="13"/>
        <v>100</v>
      </c>
      <c r="V30" s="1572" t="s">
        <v>8</v>
      </c>
      <c r="W30" s="1573">
        <f t="shared" si="14"/>
        <v>100</v>
      </c>
      <c r="X30" s="1566"/>
      <c r="Y30" s="3420"/>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20"/>
      <c r="Q31" s="1571">
        <f t="shared" si="11"/>
        <v>111</v>
      </c>
      <c r="R31" s="1572" t="s">
        <v>8</v>
      </c>
      <c r="S31" s="1573">
        <f t="shared" si="12"/>
        <v>100</v>
      </c>
      <c r="T31" s="1572" t="s">
        <v>8</v>
      </c>
      <c r="U31" s="1573">
        <f t="shared" si="13"/>
        <v>100</v>
      </c>
      <c r="V31" s="1572" t="s">
        <v>8</v>
      </c>
      <c r="W31" s="1573">
        <f t="shared" si="14"/>
        <v>100</v>
      </c>
      <c r="X31" s="1566"/>
      <c r="Y31" s="3420"/>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20"/>
      <c r="Q32" s="1571">
        <f t="shared" si="11"/>
        <v>111</v>
      </c>
      <c r="R32" s="1572" t="s">
        <v>8</v>
      </c>
      <c r="S32" s="1573">
        <f t="shared" si="12"/>
        <v>100</v>
      </c>
      <c r="T32" s="1572" t="s">
        <v>8</v>
      </c>
      <c r="U32" s="1573">
        <f t="shared" si="13"/>
        <v>100</v>
      </c>
      <c r="V32" s="1572" t="s">
        <v>8</v>
      </c>
      <c r="W32" s="1573">
        <f t="shared" si="14"/>
        <v>100</v>
      </c>
      <c r="X32" s="1566"/>
      <c r="Y32" s="3420"/>
      <c r="Z32" s="1574">
        <f t="shared" si="15"/>
        <v>111</v>
      </c>
      <c r="AA32" s="1575">
        <f t="shared" si="3"/>
        <v>1</v>
      </c>
      <c r="AB32" s="1575">
        <f t="shared" si="4"/>
        <v>1</v>
      </c>
      <c r="AC32" s="1575">
        <f t="shared" si="5"/>
        <v>1</v>
      </c>
    </row>
    <row r="33" spans="1:29" ht="15">
      <c r="A33" s="2905" t="s">
        <v>2754</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21" t="s">
        <v>550</v>
      </c>
      <c r="Q33" s="1571" t="str">
        <f t="shared" si="11"/>
        <v>建筑类型</v>
      </c>
      <c r="R33" s="1572" t="s">
        <v>8</v>
      </c>
      <c r="S33" s="1573">
        <f t="shared" si="12"/>
        <v>100</v>
      </c>
      <c r="T33" s="1572" t="s">
        <v>8</v>
      </c>
      <c r="U33" s="1573">
        <f t="shared" si="13"/>
        <v>100</v>
      </c>
      <c r="V33" s="1572" t="s">
        <v>8</v>
      </c>
      <c r="W33" s="1573">
        <f t="shared" si="14"/>
        <v>100</v>
      </c>
      <c r="X33" s="1566"/>
      <c r="Y33" s="3422" t="s">
        <v>550</v>
      </c>
      <c r="Z33" s="1574" t="str">
        <f t="shared" si="15"/>
        <v>建筑类型</v>
      </c>
      <c r="AA33" s="1575">
        <f t="shared" si="3"/>
        <v>1</v>
      </c>
      <c r="AB33" s="1575">
        <f t="shared" si="4"/>
        <v>1</v>
      </c>
      <c r="AC33" s="1575">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22"/>
      <c r="Q34" s="1604" t="str">
        <f t="shared" si="11"/>
        <v>项目建筑规模</v>
      </c>
      <c r="R34" s="1576" t="s">
        <v>8</v>
      </c>
      <c r="S34" s="1577" t="e">
        <f t="shared" si="12"/>
        <v>#N/A</v>
      </c>
      <c r="T34" s="1576" t="s">
        <v>8</v>
      </c>
      <c r="U34" s="1577" t="e">
        <f t="shared" si="13"/>
        <v>#N/A</v>
      </c>
      <c r="V34" s="1576" t="s">
        <v>8</v>
      </c>
      <c r="W34" s="1577" t="e">
        <f t="shared" si="14"/>
        <v>#N/A</v>
      </c>
      <c r="X34" s="1578"/>
      <c r="Y34" s="3422"/>
      <c r="Z34" s="1579" t="str">
        <f t="shared" si="15"/>
        <v>项目建筑规模</v>
      </c>
      <c r="AA34" s="1575" t="e">
        <f t="shared" si="3"/>
        <v>#N/A</v>
      </c>
      <c r="AB34" s="1575" t="e">
        <f t="shared" si="4"/>
        <v>#N/A</v>
      </c>
      <c r="AC34" s="1575"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22"/>
      <c r="Q35" s="1571" t="str">
        <f t="shared" si="11"/>
        <v>建筑结构</v>
      </c>
      <c r="R35" s="1572" t="s">
        <v>8</v>
      </c>
      <c r="S35" s="1573">
        <f t="shared" si="12"/>
        <v>100</v>
      </c>
      <c r="T35" s="1572" t="s">
        <v>8</v>
      </c>
      <c r="U35" s="1573">
        <f t="shared" si="13"/>
        <v>100</v>
      </c>
      <c r="V35" s="1572" t="s">
        <v>8</v>
      </c>
      <c r="W35" s="1573">
        <f t="shared" si="14"/>
        <v>100</v>
      </c>
      <c r="X35" s="1566"/>
      <c r="Y35" s="3422"/>
      <c r="Z35" s="1574" t="str">
        <f t="shared" si="15"/>
        <v>建筑结构</v>
      </c>
      <c r="AA35" s="1575">
        <f t="shared" si="3"/>
        <v>1</v>
      </c>
      <c r="AB35" s="1575">
        <f t="shared" si="4"/>
        <v>1</v>
      </c>
      <c r="AC35" s="1575">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22"/>
      <c r="Q36" s="1571" t="str">
        <f t="shared" si="11"/>
        <v>公共部分装修</v>
      </c>
      <c r="R36" s="1572" t="s">
        <v>8</v>
      </c>
      <c r="S36" s="1573">
        <f t="shared" si="12"/>
        <v>100</v>
      </c>
      <c r="T36" s="1572" t="s">
        <v>8</v>
      </c>
      <c r="U36" s="1573">
        <f t="shared" si="13"/>
        <v>100</v>
      </c>
      <c r="V36" s="1572" t="s">
        <v>8</v>
      </c>
      <c r="W36" s="1573">
        <f t="shared" si="14"/>
        <v>100</v>
      </c>
      <c r="X36" s="1566"/>
      <c r="Y36" s="3422"/>
      <c r="Z36" s="1574" t="str">
        <f t="shared" si="15"/>
        <v>公共部分装修</v>
      </c>
      <c r="AA36" s="1575">
        <f t="shared" si="3"/>
        <v>1</v>
      </c>
      <c r="AB36" s="1575">
        <f t="shared" si="4"/>
        <v>1</v>
      </c>
      <c r="AC36" s="1575">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22"/>
      <c r="Q37" s="1571" t="str">
        <f t="shared" si="11"/>
        <v>成新度</v>
      </c>
      <c r="R37" s="1572" t="s">
        <v>8</v>
      </c>
      <c r="S37" s="1573" t="e">
        <f t="shared" si="12"/>
        <v>#N/A</v>
      </c>
      <c r="T37" s="1572" t="s">
        <v>8</v>
      </c>
      <c r="U37" s="1573" t="e">
        <f t="shared" si="13"/>
        <v>#N/A</v>
      </c>
      <c r="V37" s="1572" t="s">
        <v>8</v>
      </c>
      <c r="W37" s="1573" t="e">
        <f t="shared" si="14"/>
        <v>#N/A</v>
      </c>
      <c r="X37" s="1566"/>
      <c r="Y37" s="3422"/>
      <c r="Z37" s="1574" t="str">
        <f t="shared" si="15"/>
        <v>成新度</v>
      </c>
      <c r="AA37" s="1575" t="e">
        <f t="shared" si="3"/>
        <v>#N/A</v>
      </c>
      <c r="AB37" s="1575" t="e">
        <f t="shared" si="4"/>
        <v>#N/A</v>
      </c>
      <c r="AC37" s="1575"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22"/>
      <c r="Q38" s="1149" t="str">
        <f t="shared" si="11"/>
        <v>写字楼等级</v>
      </c>
      <c r="R38" s="1567" t="s">
        <v>8</v>
      </c>
      <c r="S38" s="1568">
        <f t="shared" si="12"/>
        <v>100</v>
      </c>
      <c r="T38" s="1567" t="s">
        <v>8</v>
      </c>
      <c r="U38" s="1568">
        <f t="shared" si="13"/>
        <v>100</v>
      </c>
      <c r="V38" s="1567" t="s">
        <v>8</v>
      </c>
      <c r="W38" s="1568">
        <f t="shared" si="14"/>
        <v>100</v>
      </c>
      <c r="X38" s="1569"/>
      <c r="Y38" s="3422"/>
      <c r="Z38" s="1148" t="str">
        <f t="shared" si="15"/>
        <v>写字楼等级</v>
      </c>
      <c r="AA38" s="1570">
        <f t="shared" si="3"/>
        <v>1</v>
      </c>
      <c r="AB38" s="1570">
        <f t="shared" si="4"/>
        <v>1</v>
      </c>
      <c r="AC38" s="1570">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22" t="s">
        <v>550</v>
      </c>
      <c r="Q39" s="1571" t="str">
        <f t="shared" si="11"/>
        <v>物业管理</v>
      </c>
      <c r="R39" s="1572" t="s">
        <v>8</v>
      </c>
      <c r="S39" s="1573">
        <f t="shared" si="12"/>
        <v>100</v>
      </c>
      <c r="T39" s="1572" t="s">
        <v>8</v>
      </c>
      <c r="U39" s="1573">
        <f t="shared" si="13"/>
        <v>100</v>
      </c>
      <c r="V39" s="1572" t="s">
        <v>8</v>
      </c>
      <c r="W39" s="1573">
        <f t="shared" si="14"/>
        <v>100</v>
      </c>
      <c r="X39" s="1566"/>
      <c r="Y39" s="3422" t="s">
        <v>550</v>
      </c>
      <c r="Z39" s="1574" t="str">
        <f t="shared" si="15"/>
        <v>物业管理</v>
      </c>
      <c r="AA39" s="1575">
        <f t="shared" si="3"/>
        <v>1</v>
      </c>
      <c r="AB39" s="1575">
        <f t="shared" si="4"/>
        <v>1</v>
      </c>
      <c r="AC39" s="1575">
        <f t="shared" si="5"/>
        <v>1</v>
      </c>
    </row>
    <row r="40" spans="1:29" ht="15">
      <c r="A40" s="592"/>
      <c r="B40" s="1893"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22"/>
      <c r="Q40" s="1571" t="str">
        <f t="shared" si="11"/>
        <v>市政基础设施</v>
      </c>
      <c r="R40" s="1572" t="s">
        <v>8</v>
      </c>
      <c r="S40" s="1573">
        <f t="shared" si="12"/>
        <v>100</v>
      </c>
      <c r="T40" s="1572" t="s">
        <v>8</v>
      </c>
      <c r="U40" s="1573">
        <f t="shared" si="13"/>
        <v>100</v>
      </c>
      <c r="V40" s="1572" t="s">
        <v>8</v>
      </c>
      <c r="W40" s="1573">
        <f t="shared" si="14"/>
        <v>100</v>
      </c>
      <c r="X40" s="1566"/>
      <c r="Y40" s="3422"/>
      <c r="Z40" s="1574" t="str">
        <f t="shared" si="15"/>
        <v>市政基础设施</v>
      </c>
      <c r="AA40" s="1575">
        <f t="shared" si="3"/>
        <v>1</v>
      </c>
      <c r="AB40" s="1575">
        <f t="shared" si="4"/>
        <v>1</v>
      </c>
      <c r="AC40" s="1575">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22"/>
      <c r="Q41" s="1571" t="str">
        <f t="shared" si="11"/>
        <v>层高</v>
      </c>
      <c r="R41" s="1572" t="s">
        <v>8</v>
      </c>
      <c r="S41" s="1573">
        <f t="shared" si="12"/>
        <v>100</v>
      </c>
      <c r="T41" s="1572" t="s">
        <v>8</v>
      </c>
      <c r="U41" s="1573">
        <f t="shared" si="13"/>
        <v>100</v>
      </c>
      <c r="V41" s="1572" t="s">
        <v>8</v>
      </c>
      <c r="W41" s="1573">
        <f t="shared" si="14"/>
        <v>100</v>
      </c>
      <c r="X41" s="1566"/>
      <c r="Y41" s="3422"/>
      <c r="Z41" s="1574" t="str">
        <f t="shared" si="15"/>
        <v>层高</v>
      </c>
      <c r="AA41" s="1575">
        <f t="shared" si="3"/>
        <v>1</v>
      </c>
      <c r="AB41" s="1575">
        <f t="shared" si="4"/>
        <v>1</v>
      </c>
      <c r="AC41" s="1575">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22"/>
      <c r="Q42" s="1604" t="str">
        <f t="shared" si="11"/>
        <v>单套建筑面积</v>
      </c>
      <c r="R42" s="1576" t="s">
        <v>8</v>
      </c>
      <c r="S42" s="1577">
        <f t="shared" si="12"/>
        <v>100</v>
      </c>
      <c r="T42" s="1576" t="s">
        <v>8</v>
      </c>
      <c r="U42" s="1577">
        <f t="shared" si="13"/>
        <v>100</v>
      </c>
      <c r="V42" s="1576" t="s">
        <v>8</v>
      </c>
      <c r="W42" s="1577">
        <f t="shared" si="14"/>
        <v>100</v>
      </c>
      <c r="X42" s="1578"/>
      <c r="Y42" s="3422"/>
      <c r="Z42" s="1579" t="str">
        <f t="shared" si="15"/>
        <v>单套建筑面积</v>
      </c>
      <c r="AA42" s="1575">
        <f t="shared" si="3"/>
        <v>1</v>
      </c>
      <c r="AB42" s="1575">
        <f t="shared" si="4"/>
        <v>1</v>
      </c>
      <c r="AC42" s="1575">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22"/>
      <c r="Q43" s="1571" t="str">
        <f t="shared" si="11"/>
        <v>内部装修</v>
      </c>
      <c r="R43" s="1572" t="s">
        <v>8</v>
      </c>
      <c r="S43" s="1573">
        <f t="shared" si="12"/>
        <v>100</v>
      </c>
      <c r="T43" s="1572" t="s">
        <v>8</v>
      </c>
      <c r="U43" s="1573">
        <f t="shared" si="13"/>
        <v>100</v>
      </c>
      <c r="V43" s="1572" t="s">
        <v>8</v>
      </c>
      <c r="W43" s="1573">
        <f t="shared" si="14"/>
        <v>100</v>
      </c>
      <c r="X43" s="1566"/>
      <c r="Y43" s="3422"/>
      <c r="Z43" s="1574" t="str">
        <f t="shared" si="15"/>
        <v>内部装修</v>
      </c>
      <c r="AA43" s="1575">
        <f t="shared" si="3"/>
        <v>1</v>
      </c>
      <c r="AB43" s="1575">
        <f t="shared" si="4"/>
        <v>1</v>
      </c>
      <c r="AC43" s="1575">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22"/>
      <c r="Q44" s="1571" t="str">
        <f t="shared" si="11"/>
        <v>内部装修维护情况</v>
      </c>
      <c r="R44" s="1572" t="s">
        <v>8</v>
      </c>
      <c r="S44" s="1573">
        <f t="shared" si="12"/>
        <v>100</v>
      </c>
      <c r="T44" s="1572" t="s">
        <v>8</v>
      </c>
      <c r="U44" s="1573">
        <f t="shared" si="13"/>
        <v>100</v>
      </c>
      <c r="V44" s="1572" t="s">
        <v>8</v>
      </c>
      <c r="W44" s="1573">
        <f t="shared" si="14"/>
        <v>100</v>
      </c>
      <c r="X44" s="1566"/>
      <c r="Y44" s="3422"/>
      <c r="Z44" s="1574" t="str">
        <f t="shared" si="15"/>
        <v>内部装修维护情况</v>
      </c>
      <c r="AA44" s="1575">
        <f t="shared" si="3"/>
        <v>1</v>
      </c>
      <c r="AB44" s="1575">
        <f t="shared" si="4"/>
        <v>1</v>
      </c>
      <c r="AC44" s="1575">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22"/>
      <c r="Q45" s="1149">
        <f t="shared" si="11"/>
        <v>111</v>
      </c>
      <c r="R45" s="1567" t="s">
        <v>8</v>
      </c>
      <c r="S45" s="1568">
        <f t="shared" si="12"/>
        <v>100</v>
      </c>
      <c r="T45" s="1567" t="s">
        <v>8</v>
      </c>
      <c r="U45" s="1568">
        <f t="shared" si="13"/>
        <v>100</v>
      </c>
      <c r="V45" s="1567" t="s">
        <v>8</v>
      </c>
      <c r="W45" s="1568">
        <f t="shared" si="14"/>
        <v>100</v>
      </c>
      <c r="X45" s="1569"/>
      <c r="Y45" s="3422"/>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22"/>
      <c r="Q46" s="1571">
        <f t="shared" si="11"/>
        <v>111</v>
      </c>
      <c r="R46" s="1572" t="s">
        <v>8</v>
      </c>
      <c r="S46" s="1573">
        <f t="shared" si="12"/>
        <v>100</v>
      </c>
      <c r="T46" s="1572" t="s">
        <v>8</v>
      </c>
      <c r="U46" s="1573">
        <f t="shared" si="13"/>
        <v>100</v>
      </c>
      <c r="V46" s="1572" t="s">
        <v>8</v>
      </c>
      <c r="W46" s="1573">
        <f t="shared" si="14"/>
        <v>100</v>
      </c>
      <c r="X46" s="1566"/>
      <c r="Y46" s="3422"/>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78"/>
      <c r="Q47" s="1571">
        <f t="shared" si="11"/>
        <v>111</v>
      </c>
      <c r="R47" s="1572" t="s">
        <v>8</v>
      </c>
      <c r="S47" s="1573">
        <f t="shared" si="12"/>
        <v>100</v>
      </c>
      <c r="T47" s="1572" t="s">
        <v>8</v>
      </c>
      <c r="U47" s="1573">
        <f t="shared" si="13"/>
        <v>100</v>
      </c>
      <c r="V47" s="1572" t="s">
        <v>8</v>
      </c>
      <c r="W47" s="1573">
        <f t="shared" si="14"/>
        <v>100</v>
      </c>
      <c r="X47" s="1566"/>
      <c r="Y47" s="3478"/>
      <c r="Z47" s="1574">
        <f t="shared" si="15"/>
        <v>111</v>
      </c>
      <c r="AA47" s="1575">
        <f t="shared" si="3"/>
        <v>1</v>
      </c>
      <c r="AB47" s="1575">
        <f t="shared" si="4"/>
        <v>1</v>
      </c>
      <c r="AC47" s="1575">
        <f t="shared" si="5"/>
        <v>1</v>
      </c>
    </row>
    <row r="48" spans="1:29" ht="15">
      <c r="A48" s="605" t="s">
        <v>736</v>
      </c>
      <c r="B48" s="885"/>
      <c r="C48" s="2625" t="s">
        <v>1</v>
      </c>
      <c r="D48" s="2626"/>
      <c r="E48" s="2627"/>
      <c r="F48" s="2628"/>
      <c r="G48" s="2629"/>
      <c r="H48" s="2630"/>
      <c r="I48" s="2627"/>
      <c r="J48" s="2630"/>
      <c r="K48" s="1610"/>
      <c r="L48" s="2142"/>
      <c r="M48" s="2132"/>
      <c r="N48" s="2132"/>
      <c r="O48" s="2132"/>
      <c r="P48" s="3384" t="str">
        <f>A48</f>
        <v>成交单价（元/平方米）</v>
      </c>
      <c r="Q48" s="3386"/>
      <c r="R48" s="3477">
        <f>E48</f>
        <v>0</v>
      </c>
      <c r="S48" s="3477"/>
      <c r="T48" s="3477">
        <f>G48</f>
        <v>0</v>
      </c>
      <c r="U48" s="3477"/>
      <c r="V48" s="3477">
        <f>I48</f>
        <v>0</v>
      </c>
      <c r="W48" s="3477"/>
      <c r="X48" s="1558"/>
      <c r="Y48" s="1580"/>
      <c r="Z48" s="1558"/>
      <c r="AA48" s="1558"/>
      <c r="AB48" s="1558"/>
      <c r="AC48" s="1558"/>
    </row>
    <row r="49" spans="1:29" ht="15.75" thickBot="1">
      <c r="A49" s="613" t="s">
        <v>2759</v>
      </c>
      <c r="B49" s="886"/>
      <c r="C49" s="2631" t="e">
        <f>R50</f>
        <v>#DIV/0!</v>
      </c>
      <c r="D49" s="2632"/>
      <c r="E49" s="2633" t="e">
        <f>R49</f>
        <v>#DIV/0!</v>
      </c>
      <c r="F49" s="2633"/>
      <c r="G49" s="2631" t="e">
        <f>T49</f>
        <v>#DIV/0!</v>
      </c>
      <c r="H49" s="2632"/>
      <c r="I49" s="2633" t="e">
        <f>V49</f>
        <v>#DIV/0!</v>
      </c>
      <c r="J49" s="2632"/>
      <c r="K49" s="1611"/>
      <c r="L49" s="2142"/>
      <c r="M49" s="2132"/>
      <c r="N49" s="2132"/>
      <c r="O49" s="2132"/>
      <c r="P49" s="3384" t="str">
        <f>A49</f>
        <v>比较价格（元/平方米）</v>
      </c>
      <c r="Q49" s="3386"/>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58"/>
      <c r="Y49" s="1558"/>
      <c r="Z49" s="1558"/>
      <c r="AA49" s="1558"/>
      <c r="AB49" s="1558"/>
      <c r="AC49" s="1558"/>
    </row>
    <row r="50" spans="1:29" ht="15.75" thickBot="1">
      <c r="A50" s="619" t="s">
        <v>2919</v>
      </c>
      <c r="B50" s="620"/>
      <c r="C50" s="2634" t="e">
        <f>R50</f>
        <v>#DIV/0!</v>
      </c>
      <c r="D50" s="2634"/>
      <c r="E50" s="2634"/>
      <c r="F50" s="2634"/>
      <c r="G50" s="2634"/>
      <c r="H50" s="2634"/>
      <c r="I50" s="2634"/>
      <c r="J50" s="2634"/>
      <c r="K50" s="1612"/>
      <c r="L50" s="2142"/>
      <c r="M50" s="2132"/>
      <c r="N50" s="2132"/>
      <c r="O50" s="2132"/>
      <c r="P50" s="3504" t="str">
        <f>A50</f>
        <v>估价对象XX用房的比较价格（楼面单价，元/平方米）</v>
      </c>
      <c r="Q50" s="3384"/>
      <c r="R50" s="3476" t="e">
        <f>IF(F1="售价",ROUND(AVERAGE(R49:V49),0),ROUND(AVERAGE(R49:V49),1))</f>
        <v>#DIV/0!</v>
      </c>
      <c r="S50" s="3476"/>
      <c r="T50" s="3476"/>
      <c r="U50" s="3476"/>
      <c r="V50" s="3476"/>
      <c r="W50" s="3476"/>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529</v>
      </c>
      <c r="B59" s="644"/>
      <c r="C59" s="2800" t="str">
        <f>YEAR(C7)&amp;"-"&amp;MONTH(C7)</f>
        <v>2018-9</v>
      </c>
      <c r="D59" s="2802">
        <f>EDATE(C59,-1)</f>
        <v>43313</v>
      </c>
      <c r="E59" s="2802">
        <f t="shared" ref="E59:O59" si="16">EDATE(D59,-1)</f>
        <v>43282</v>
      </c>
      <c r="F59" s="2802">
        <f t="shared" si="16"/>
        <v>43252</v>
      </c>
      <c r="G59" s="2802">
        <f t="shared" si="16"/>
        <v>43221</v>
      </c>
      <c r="H59" s="2802">
        <f t="shared" si="16"/>
        <v>43191</v>
      </c>
      <c r="I59" s="2802">
        <f t="shared" si="16"/>
        <v>43160</v>
      </c>
      <c r="J59" s="2802">
        <f t="shared" si="16"/>
        <v>43132</v>
      </c>
      <c r="K59" s="2802">
        <f t="shared" si="16"/>
        <v>43101</v>
      </c>
      <c r="L59" s="2802">
        <f t="shared" si="16"/>
        <v>43070</v>
      </c>
      <c r="M59" s="2802">
        <f t="shared" si="16"/>
        <v>43040</v>
      </c>
      <c r="N59" s="2802">
        <f t="shared" si="16"/>
        <v>43009</v>
      </c>
      <c r="O59" s="2802">
        <f t="shared" si="16"/>
        <v>42979</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2556</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95" t="s">
        <v>2557</v>
      </c>
      <c r="C83" s="2596" t="s">
        <v>2558</v>
      </c>
      <c r="D83" s="2596" t="s">
        <v>2559</v>
      </c>
      <c r="E83" s="2596" t="s">
        <v>2560</v>
      </c>
      <c r="F83" s="2596" t="s">
        <v>2561</v>
      </c>
      <c r="G83" s="2596" t="s">
        <v>2562</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2555</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5"/>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521</v>
      </c>
      <c r="B4" s="511"/>
      <c r="C4" s="3392" t="s">
        <v>522</v>
      </c>
      <c r="D4" s="3393"/>
      <c r="E4" s="3427" t="s">
        <v>523</v>
      </c>
      <c r="F4" s="3428"/>
      <c r="G4" s="3392" t="s">
        <v>524</v>
      </c>
      <c r="H4" s="3393"/>
      <c r="I4" s="3392" t="s">
        <v>525</v>
      </c>
      <c r="J4" s="3393"/>
      <c r="K4" s="512" t="s">
        <v>526</v>
      </c>
      <c r="L4" s="2131"/>
      <c r="M4" s="2132"/>
      <c r="N4" s="2132"/>
      <c r="O4" s="2132"/>
      <c r="P4" s="3394" t="s">
        <v>527</v>
      </c>
      <c r="Q4" s="3395"/>
      <c r="R4" s="3400" t="s">
        <v>523</v>
      </c>
      <c r="S4" s="3401"/>
      <c r="T4" s="3400" t="s">
        <v>524</v>
      </c>
      <c r="U4" s="3401"/>
      <c r="V4" s="3387" t="s">
        <v>525</v>
      </c>
      <c r="W4" s="3387"/>
      <c r="X4" s="1566"/>
      <c r="Y4" s="3400" t="s">
        <v>527</v>
      </c>
      <c r="Z4" s="3401"/>
      <c r="AA4" s="3389" t="s">
        <v>523</v>
      </c>
      <c r="AB4" s="3390" t="s">
        <v>524</v>
      </c>
      <c r="AC4" s="3389" t="s">
        <v>525</v>
      </c>
    </row>
    <row r="5" spans="1:29" ht="15">
      <c r="A5" s="513"/>
      <c r="B5" s="514"/>
      <c r="C5" s="3408" t="s">
        <v>2913</v>
      </c>
      <c r="D5" s="3409"/>
      <c r="E5" s="3429" t="s">
        <v>2914</v>
      </c>
      <c r="F5" s="3430"/>
      <c r="G5" s="3408" t="s">
        <v>2915</v>
      </c>
      <c r="H5" s="3409"/>
      <c r="I5" s="3408" t="s">
        <v>2916</v>
      </c>
      <c r="J5" s="3409"/>
      <c r="K5" s="512"/>
      <c r="L5" s="2131"/>
      <c r="M5" s="2132"/>
      <c r="N5" s="2132"/>
      <c r="O5" s="2132"/>
      <c r="P5" s="3396"/>
      <c r="Q5" s="3397"/>
      <c r="R5" s="3402"/>
      <c r="S5" s="3403"/>
      <c r="T5" s="3402"/>
      <c r="U5" s="3403"/>
      <c r="V5" s="3387"/>
      <c r="W5" s="3387"/>
      <c r="X5" s="1566"/>
      <c r="Y5" s="3402"/>
      <c r="Z5" s="3403"/>
      <c r="AA5" s="3390"/>
      <c r="AB5" s="3390"/>
      <c r="AC5" s="3390"/>
    </row>
    <row r="6" spans="1:29" ht="15.75" thickBot="1">
      <c r="A6" s="515"/>
      <c r="B6" s="516"/>
      <c r="C6" s="3423" t="s">
        <v>2917</v>
      </c>
      <c r="D6" s="3424"/>
      <c r="E6" s="3425" t="s">
        <v>2917</v>
      </c>
      <c r="F6" s="3426"/>
      <c r="G6" s="3423" t="s">
        <v>2917</v>
      </c>
      <c r="H6" s="3424"/>
      <c r="I6" s="3423" t="s">
        <v>2917</v>
      </c>
      <c r="J6" s="3424"/>
      <c r="K6" s="512" t="s">
        <v>528</v>
      </c>
      <c r="L6" s="2131"/>
      <c r="M6" s="2132"/>
      <c r="N6" s="2132"/>
      <c r="O6" s="2132"/>
      <c r="P6" s="3398"/>
      <c r="Q6" s="3399"/>
      <c r="R6" s="3402"/>
      <c r="S6" s="3403"/>
      <c r="T6" s="3404"/>
      <c r="U6" s="3405"/>
      <c r="V6" s="3387"/>
      <c r="W6" s="3387"/>
      <c r="X6" s="1566"/>
      <c r="Y6" s="3404"/>
      <c r="Z6" s="3405"/>
      <c r="AA6" s="3391"/>
      <c r="AB6" s="3391"/>
      <c r="AC6" s="3391"/>
    </row>
    <row r="7" spans="1:29" s="1218" customFormat="1" ht="15.75" thickBot="1">
      <c r="A7" s="2910"/>
      <c r="B7" s="2917" t="s">
        <v>529</v>
      </c>
      <c r="C7" s="517">
        <f>'数据-取费表'!B2</f>
        <v>43361</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16" t="s">
        <v>530</v>
      </c>
      <c r="Q7" s="3418"/>
      <c r="R7" s="1567" t="s">
        <v>8</v>
      </c>
      <c r="S7" s="1568">
        <f t="shared" ref="S7:S15" si="0">F7</f>
        <v>0</v>
      </c>
      <c r="T7" s="1567" t="s">
        <v>8</v>
      </c>
      <c r="U7" s="1568">
        <f t="shared" ref="U7:U15" si="1">H7</f>
        <v>0</v>
      </c>
      <c r="V7" s="1567" t="s">
        <v>8</v>
      </c>
      <c r="W7" s="1568">
        <f t="shared" ref="W7:W15" si="2">J7</f>
        <v>0</v>
      </c>
      <c r="X7" s="1569"/>
      <c r="Y7" s="3416" t="s">
        <v>530</v>
      </c>
      <c r="Z7" s="3417"/>
      <c r="AA7" s="1570" t="e">
        <f>D7/F7</f>
        <v>#DIV/0!</v>
      </c>
      <c r="AB7" s="1570" t="e">
        <f>D7/H7</f>
        <v>#DIV/0!</v>
      </c>
      <c r="AC7" s="1570" t="e">
        <f>D7/J7</f>
        <v>#DIV/0!</v>
      </c>
    </row>
    <row r="8" spans="1:29" s="1218" customFormat="1" ht="15.75" thickBot="1">
      <c r="A8" s="2911"/>
      <c r="B8" s="2918"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16" t="s">
        <v>533</v>
      </c>
      <c r="Q8" s="3417"/>
      <c r="R8" s="1567" t="s">
        <v>8</v>
      </c>
      <c r="S8" s="1568">
        <f t="shared" si="0"/>
        <v>0</v>
      </c>
      <c r="T8" s="1567" t="s">
        <v>8</v>
      </c>
      <c r="U8" s="1568">
        <f t="shared" si="1"/>
        <v>0</v>
      </c>
      <c r="V8" s="1567" t="s">
        <v>8</v>
      </c>
      <c r="W8" s="1568">
        <f t="shared" si="2"/>
        <v>0</v>
      </c>
      <c r="X8" s="1569"/>
      <c r="Y8" s="3416" t="s">
        <v>533</v>
      </c>
      <c r="Z8" s="3417"/>
      <c r="AA8" s="1570" t="e">
        <f t="shared" ref="AA8:AA40" si="3">D8/F8</f>
        <v>#DIV/0!</v>
      </c>
      <c r="AB8" s="1570" t="e">
        <f t="shared" ref="AB8:AB40" si="4">D8/H8</f>
        <v>#DIV/0!</v>
      </c>
      <c r="AC8" s="1570" t="e">
        <f t="shared" ref="AC8:AC40" si="5">D8/J8</f>
        <v>#DIV/0!</v>
      </c>
    </row>
    <row r="9" spans="1:29" s="1218" customFormat="1" ht="15">
      <c r="A9" s="2912"/>
      <c r="B9" s="2919" t="s">
        <v>2755</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86" t="s">
        <v>535</v>
      </c>
      <c r="Q9" s="1149" t="str">
        <f t="shared" ref="Q9:Q15" si="6">B9</f>
        <v>用途</v>
      </c>
      <c r="R9" s="1567" t="s">
        <v>8</v>
      </c>
      <c r="S9" s="1568">
        <f t="shared" si="0"/>
        <v>100</v>
      </c>
      <c r="T9" s="1567" t="s">
        <v>8</v>
      </c>
      <c r="U9" s="1568">
        <f t="shared" si="1"/>
        <v>100</v>
      </c>
      <c r="V9" s="1567" t="s">
        <v>8</v>
      </c>
      <c r="W9" s="1568">
        <f t="shared" si="2"/>
        <v>100</v>
      </c>
      <c r="X9" s="1569"/>
      <c r="Y9" s="3332" t="s">
        <v>536</v>
      </c>
      <c r="Z9" s="1148" t="str">
        <f t="shared" ref="Z9:Z15" si="7">Q9</f>
        <v>用途</v>
      </c>
      <c r="AA9" s="1570">
        <f t="shared" si="3"/>
        <v>1</v>
      </c>
      <c r="AB9" s="1570">
        <f t="shared" si="4"/>
        <v>1</v>
      </c>
      <c r="AC9" s="1570">
        <f t="shared" si="5"/>
        <v>1</v>
      </c>
    </row>
    <row r="10" spans="1:29" s="1336" customFormat="1" ht="27">
      <c r="A10" s="2913"/>
      <c r="B10" s="2918" t="s">
        <v>2756</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4"/>
      <c r="B11" s="2918"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86"/>
      <c r="Q11" s="1149" t="str">
        <f t="shared" si="6"/>
        <v>容积率</v>
      </c>
      <c r="R11" s="1567" t="s">
        <v>8</v>
      </c>
      <c r="S11" s="1568" t="e">
        <f t="shared" si="0"/>
        <v>#N/A</v>
      </c>
      <c r="T11" s="1567" t="s">
        <v>8</v>
      </c>
      <c r="U11" s="1568" t="e">
        <f t="shared" si="1"/>
        <v>#N/A</v>
      </c>
      <c r="V11" s="1567" t="s">
        <v>8</v>
      </c>
      <c r="W11" s="1568" t="e">
        <f t="shared" si="2"/>
        <v>#N/A</v>
      </c>
      <c r="X11" s="1569"/>
      <c r="Y11" s="3332"/>
      <c r="Z11" s="1148" t="str">
        <f t="shared" si="7"/>
        <v>容积率</v>
      </c>
      <c r="AA11" s="1570" t="e">
        <f t="shared" si="3"/>
        <v>#N/A</v>
      </c>
      <c r="AB11" s="1570" t="e">
        <f t="shared" si="4"/>
        <v>#N/A</v>
      </c>
      <c r="AC11" s="1570" t="e">
        <f t="shared" si="5"/>
        <v>#N/A</v>
      </c>
    </row>
    <row r="12" spans="1:29" s="1218" customFormat="1" ht="15">
      <c r="A12" s="2915"/>
      <c r="B12" s="2921">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386"/>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
      <c r="A13" s="2915"/>
      <c r="B13" s="2921">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386"/>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75" thickBot="1">
      <c r="A14" s="2916"/>
      <c r="B14" s="2922">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86"/>
      <c r="Q14" s="1149">
        <f t="shared" si="6"/>
        <v>111</v>
      </c>
      <c r="R14" s="1567" t="s">
        <v>8</v>
      </c>
      <c r="S14" s="1568">
        <f t="shared" si="0"/>
        <v>100</v>
      </c>
      <c r="T14" s="1567" t="s">
        <v>8</v>
      </c>
      <c r="U14" s="1568">
        <f t="shared" si="1"/>
        <v>100</v>
      </c>
      <c r="V14" s="1567" t="s">
        <v>8</v>
      </c>
      <c r="W14" s="1568">
        <f t="shared" si="2"/>
        <v>100</v>
      </c>
      <c r="X14" s="1569"/>
      <c r="Y14" s="3332"/>
      <c r="Z14" s="1148">
        <f t="shared" si="7"/>
        <v>111</v>
      </c>
      <c r="AA14" s="1570">
        <f t="shared" si="3"/>
        <v>1</v>
      </c>
      <c r="AB14" s="1570">
        <f t="shared" si="4"/>
        <v>1</v>
      </c>
      <c r="AC14" s="1570">
        <f t="shared" si="5"/>
        <v>1</v>
      </c>
    </row>
    <row r="15" spans="1:29" ht="57">
      <c r="A15" s="2908" t="s">
        <v>2753</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19" t="s">
        <v>540</v>
      </c>
      <c r="Q15" s="1571" t="str">
        <f t="shared" si="6"/>
        <v>产业集聚程度</v>
      </c>
      <c r="R15" s="1572" t="s">
        <v>8</v>
      </c>
      <c r="S15" s="1573">
        <f t="shared" si="0"/>
        <v>100</v>
      </c>
      <c r="T15" s="1572" t="s">
        <v>8</v>
      </c>
      <c r="U15" s="1573">
        <f t="shared" si="1"/>
        <v>100</v>
      </c>
      <c r="V15" s="1572" t="s">
        <v>8</v>
      </c>
      <c r="W15" s="1573">
        <f t="shared" si="2"/>
        <v>100</v>
      </c>
      <c r="X15" s="1566"/>
      <c r="Y15" s="3419"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20"/>
      <c r="Q16" s="1571"/>
      <c r="R16" s="1572"/>
      <c r="S16" s="1573"/>
      <c r="T16" s="1572"/>
      <c r="U16" s="1573"/>
      <c r="V16" s="1572"/>
      <c r="W16" s="1573"/>
      <c r="X16" s="1566"/>
      <c r="Y16" s="3420"/>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20"/>
      <c r="Q17" s="1571" t="str">
        <f>B17</f>
        <v>交通便捷度</v>
      </c>
      <c r="R17" s="1572" t="s">
        <v>8</v>
      </c>
      <c r="S17" s="1573">
        <f>F17</f>
        <v>100</v>
      </c>
      <c r="T17" s="1572" t="s">
        <v>8</v>
      </c>
      <c r="U17" s="1573">
        <f>H17</f>
        <v>100</v>
      </c>
      <c r="V17" s="1572" t="s">
        <v>8</v>
      </c>
      <c r="W17" s="1573">
        <f>J17</f>
        <v>100</v>
      </c>
      <c r="X17" s="1566"/>
      <c r="Y17" s="342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20"/>
      <c r="Q18" s="1571"/>
      <c r="R18" s="1572"/>
      <c r="S18" s="1573"/>
      <c r="T18" s="1572"/>
      <c r="U18" s="1573"/>
      <c r="V18" s="1572"/>
      <c r="W18" s="1573"/>
      <c r="X18" s="1566"/>
      <c r="Y18" s="3420"/>
      <c r="Z18" s="1574"/>
      <c r="AA18" s="1575">
        <v>1</v>
      </c>
      <c r="AB18" s="1575">
        <v>1</v>
      </c>
      <c r="AC18" s="1575">
        <v>1</v>
      </c>
    </row>
    <row r="19" spans="1:29" ht="42.75">
      <c r="A19" s="530"/>
      <c r="B19" s="2601"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20"/>
      <c r="Q19" s="1571" t="str">
        <f>B19</f>
        <v>公共配套设施</v>
      </c>
      <c r="R19" s="1572" t="s">
        <v>8</v>
      </c>
      <c r="S19" s="1573">
        <f>F19</f>
        <v>100</v>
      </c>
      <c r="T19" s="1572" t="s">
        <v>8</v>
      </c>
      <c r="U19" s="1573">
        <f>H19</f>
        <v>100</v>
      </c>
      <c r="V19" s="1572" t="s">
        <v>8</v>
      </c>
      <c r="W19" s="1573">
        <f>J19</f>
        <v>100</v>
      </c>
      <c r="X19" s="1566"/>
      <c r="Y19" s="3420"/>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420"/>
      <c r="Q20" s="1571"/>
      <c r="R20" s="1572"/>
      <c r="S20" s="1573"/>
      <c r="T20" s="1572"/>
      <c r="U20" s="1573"/>
      <c r="V20" s="1572"/>
      <c r="W20" s="1573"/>
      <c r="X20" s="1566"/>
      <c r="Y20" s="3420"/>
      <c r="Z20" s="1574"/>
      <c r="AA20" s="1575">
        <v>1</v>
      </c>
      <c r="AB20" s="1575">
        <v>1</v>
      </c>
      <c r="AC20" s="1575">
        <v>1</v>
      </c>
    </row>
    <row r="21" spans="1:29" ht="28.5">
      <c r="A21" s="530"/>
      <c r="B21" s="2589"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20"/>
      <c r="Q21" s="2577" t="str">
        <f>B21</f>
        <v>基础设施水平</v>
      </c>
      <c r="R21" s="1572" t="s">
        <v>8</v>
      </c>
      <c r="S21" s="1573">
        <f>F21</f>
        <v>100</v>
      </c>
      <c r="T21" s="1572" t="s">
        <v>8</v>
      </c>
      <c r="U21" s="1573">
        <f>H21</f>
        <v>100</v>
      </c>
      <c r="V21" s="1572" t="s">
        <v>8</v>
      </c>
      <c r="W21" s="1573">
        <f>J21</f>
        <v>100</v>
      </c>
      <c r="X21" s="2579"/>
      <c r="Y21" s="3420"/>
      <c r="Z21" s="2578"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00"/>
      <c r="L22" s="2140"/>
      <c r="M22" s="2132"/>
      <c r="N22" s="2132"/>
      <c r="O22" s="2139"/>
      <c r="P22" s="3420"/>
      <c r="Q22" s="2577"/>
      <c r="R22" s="1572"/>
      <c r="S22" s="1573"/>
      <c r="T22" s="1572"/>
      <c r="U22" s="1573"/>
      <c r="V22" s="1572"/>
      <c r="W22" s="1573"/>
      <c r="X22" s="2579"/>
      <c r="Y22" s="3420"/>
      <c r="Z22" s="2578"/>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20"/>
      <c r="Q23" s="1571" t="str">
        <f>B23</f>
        <v>环境质量</v>
      </c>
      <c r="R23" s="1572" t="s">
        <v>8</v>
      </c>
      <c r="S23" s="1573">
        <f>F23</f>
        <v>100</v>
      </c>
      <c r="T23" s="1572" t="s">
        <v>8</v>
      </c>
      <c r="U23" s="1573">
        <f>H23</f>
        <v>100</v>
      </c>
      <c r="V23" s="1572" t="s">
        <v>8</v>
      </c>
      <c r="W23" s="1573">
        <f>J23</f>
        <v>100</v>
      </c>
      <c r="X23" s="1566"/>
      <c r="Y23" s="3420"/>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420"/>
      <c r="Q24" s="1571"/>
      <c r="R24" s="1572"/>
      <c r="S24" s="1573"/>
      <c r="T24" s="1572"/>
      <c r="U24" s="1573"/>
      <c r="V24" s="1572"/>
      <c r="W24" s="1573"/>
      <c r="X24" s="1566"/>
      <c r="Y24" s="3420"/>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20"/>
      <c r="Q25" s="1571">
        <f>B25</f>
        <v>111</v>
      </c>
      <c r="R25" s="1572" t="s">
        <v>8</v>
      </c>
      <c r="S25" s="1573">
        <f>F25</f>
        <v>100</v>
      </c>
      <c r="T25" s="1572" t="s">
        <v>8</v>
      </c>
      <c r="U25" s="1573">
        <f>H25</f>
        <v>100</v>
      </c>
      <c r="V25" s="1572" t="s">
        <v>8</v>
      </c>
      <c r="W25" s="1573">
        <f>J25</f>
        <v>100</v>
      </c>
      <c r="X25" s="1566"/>
      <c r="Y25" s="3420"/>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20"/>
      <c r="Q26" s="1571">
        <f t="shared" ref="Q26:Q40" si="11">B26</f>
        <v>111</v>
      </c>
      <c r="R26" s="1572" t="s">
        <v>8</v>
      </c>
      <c r="S26" s="1573">
        <f>F26</f>
        <v>100</v>
      </c>
      <c r="T26" s="1572" t="s">
        <v>8</v>
      </c>
      <c r="U26" s="1573">
        <f>H26</f>
        <v>100</v>
      </c>
      <c r="V26" s="1572" t="s">
        <v>8</v>
      </c>
      <c r="W26" s="1573">
        <f>J26</f>
        <v>100</v>
      </c>
      <c r="X26" s="1566"/>
      <c r="Y26" s="3420"/>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20"/>
      <c r="Q27" s="1149">
        <f t="shared" si="11"/>
        <v>111</v>
      </c>
      <c r="R27" s="1567" t="s">
        <v>8</v>
      </c>
      <c r="S27" s="1568">
        <f>F27</f>
        <v>100</v>
      </c>
      <c r="T27" s="1567" t="s">
        <v>8</v>
      </c>
      <c r="U27" s="1568">
        <f>H27</f>
        <v>100</v>
      </c>
      <c r="V27" s="1567" t="s">
        <v>8</v>
      </c>
      <c r="W27" s="1568">
        <f>J27</f>
        <v>100</v>
      </c>
      <c r="X27" s="1569"/>
      <c r="Y27" s="3420"/>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20"/>
      <c r="Q28" s="1571">
        <f t="shared" si="11"/>
        <v>111</v>
      </c>
      <c r="R28" s="1572" t="s">
        <v>8</v>
      </c>
      <c r="S28" s="1573">
        <f t="shared" ref="S28:S40" si="12">F28</f>
        <v>100</v>
      </c>
      <c r="T28" s="1572" t="s">
        <v>8</v>
      </c>
      <c r="U28" s="1573">
        <f t="shared" ref="U28:U40" si="13">H28</f>
        <v>100</v>
      </c>
      <c r="V28" s="1572" t="s">
        <v>8</v>
      </c>
      <c r="W28" s="1573">
        <f t="shared" ref="W28:W40" si="14">J28</f>
        <v>100</v>
      </c>
      <c r="X28" s="1566"/>
      <c r="Y28" s="3420"/>
      <c r="Z28" s="1574">
        <f t="shared" ref="Z28:Z40" si="15">Q28</f>
        <v>111</v>
      </c>
      <c r="AA28" s="1575">
        <f t="shared" si="3"/>
        <v>1</v>
      </c>
      <c r="AB28" s="1575">
        <f t="shared" si="4"/>
        <v>1</v>
      </c>
      <c r="AC28" s="1575">
        <f t="shared" si="5"/>
        <v>1</v>
      </c>
    </row>
    <row r="29" spans="1:29" ht="15">
      <c r="A29" s="2905" t="s">
        <v>2754</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21" t="s">
        <v>550</v>
      </c>
      <c r="Q29" s="1571" t="str">
        <f t="shared" si="11"/>
        <v>建筑类型</v>
      </c>
      <c r="R29" s="1572" t="s">
        <v>8</v>
      </c>
      <c r="S29" s="1573">
        <f t="shared" si="12"/>
        <v>100</v>
      </c>
      <c r="T29" s="1572" t="s">
        <v>8</v>
      </c>
      <c r="U29" s="1573">
        <f t="shared" si="13"/>
        <v>100</v>
      </c>
      <c r="V29" s="1572" t="s">
        <v>8</v>
      </c>
      <c r="W29" s="1573">
        <f t="shared" si="14"/>
        <v>100</v>
      </c>
      <c r="X29" s="1566"/>
      <c r="Y29" s="3422"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22"/>
      <c r="Q30" s="1604" t="str">
        <f t="shared" si="11"/>
        <v>项目建筑规模</v>
      </c>
      <c r="R30" s="1576" t="s">
        <v>8</v>
      </c>
      <c r="S30" s="1577" t="e">
        <f t="shared" si="12"/>
        <v>#N/A</v>
      </c>
      <c r="T30" s="1576" t="s">
        <v>8</v>
      </c>
      <c r="U30" s="1577" t="e">
        <f t="shared" si="13"/>
        <v>#N/A</v>
      </c>
      <c r="V30" s="1576" t="s">
        <v>8</v>
      </c>
      <c r="W30" s="1577" t="e">
        <f t="shared" si="14"/>
        <v>#N/A</v>
      </c>
      <c r="X30" s="1578"/>
      <c r="Y30" s="3422"/>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22"/>
      <c r="Q31" s="1571" t="str">
        <f t="shared" si="11"/>
        <v>建筑结构</v>
      </c>
      <c r="R31" s="1572" t="s">
        <v>8</v>
      </c>
      <c r="S31" s="1573">
        <f t="shared" si="12"/>
        <v>100</v>
      </c>
      <c r="T31" s="1572" t="s">
        <v>8</v>
      </c>
      <c r="U31" s="1573">
        <f t="shared" si="13"/>
        <v>100</v>
      </c>
      <c r="V31" s="1572" t="s">
        <v>8</v>
      </c>
      <c r="W31" s="1573">
        <f t="shared" si="14"/>
        <v>100</v>
      </c>
      <c r="X31" s="1566"/>
      <c r="Y31" s="3422"/>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22"/>
      <c r="Q32" s="1571" t="str">
        <f t="shared" si="11"/>
        <v>公共部分装修</v>
      </c>
      <c r="R32" s="1572" t="s">
        <v>8</v>
      </c>
      <c r="S32" s="1573">
        <f t="shared" si="12"/>
        <v>100</v>
      </c>
      <c r="T32" s="1572" t="s">
        <v>8</v>
      </c>
      <c r="U32" s="1573">
        <f t="shared" si="13"/>
        <v>100</v>
      </c>
      <c r="V32" s="1572" t="s">
        <v>8</v>
      </c>
      <c r="W32" s="1573">
        <f t="shared" si="14"/>
        <v>100</v>
      </c>
      <c r="X32" s="1566"/>
      <c r="Y32" s="3422"/>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22"/>
      <c r="Q33" s="1571" t="str">
        <f t="shared" si="11"/>
        <v>成新度</v>
      </c>
      <c r="R33" s="1572" t="s">
        <v>8</v>
      </c>
      <c r="S33" s="1573" t="e">
        <f t="shared" si="12"/>
        <v>#N/A</v>
      </c>
      <c r="T33" s="1572" t="s">
        <v>8</v>
      </c>
      <c r="U33" s="1573" t="e">
        <f t="shared" si="13"/>
        <v>#N/A</v>
      </c>
      <c r="V33" s="1572" t="s">
        <v>8</v>
      </c>
      <c r="W33" s="1573" t="e">
        <f t="shared" si="14"/>
        <v>#N/A</v>
      </c>
      <c r="X33" s="1566"/>
      <c r="Y33" s="3422"/>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22"/>
      <c r="Q34" s="1149" t="str">
        <f t="shared" si="11"/>
        <v>物业管理</v>
      </c>
      <c r="R34" s="1567" t="s">
        <v>8</v>
      </c>
      <c r="S34" s="1568">
        <f t="shared" si="12"/>
        <v>100</v>
      </c>
      <c r="T34" s="1567" t="s">
        <v>8</v>
      </c>
      <c r="U34" s="1568">
        <f t="shared" si="13"/>
        <v>100</v>
      </c>
      <c r="V34" s="1567" t="s">
        <v>8</v>
      </c>
      <c r="W34" s="1568">
        <f t="shared" si="14"/>
        <v>100</v>
      </c>
      <c r="X34" s="1569"/>
      <c r="Y34" s="3422"/>
      <c r="Z34" s="1148" t="str">
        <f t="shared" si="15"/>
        <v>物业管理</v>
      </c>
      <c r="AA34" s="1570">
        <f t="shared" si="3"/>
        <v>1</v>
      </c>
      <c r="AB34" s="1570">
        <f t="shared" si="4"/>
        <v>1</v>
      </c>
      <c r="AC34" s="1570">
        <f t="shared" si="5"/>
        <v>1</v>
      </c>
    </row>
    <row r="35" spans="1:29" ht="15">
      <c r="A35" s="592"/>
      <c r="B35" s="1893"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22" t="s">
        <v>550</v>
      </c>
      <c r="Q35" s="1571" t="str">
        <f t="shared" si="11"/>
        <v>市政基础设施</v>
      </c>
      <c r="R35" s="1572" t="s">
        <v>8</v>
      </c>
      <c r="S35" s="1573">
        <f t="shared" si="12"/>
        <v>100</v>
      </c>
      <c r="T35" s="1572" t="s">
        <v>8</v>
      </c>
      <c r="U35" s="1573">
        <f t="shared" si="13"/>
        <v>100</v>
      </c>
      <c r="V35" s="1572" t="s">
        <v>8</v>
      </c>
      <c r="W35" s="1573">
        <f t="shared" si="14"/>
        <v>100</v>
      </c>
      <c r="X35" s="1566"/>
      <c r="Y35" s="3422"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22"/>
      <c r="Q36" s="1571" t="str">
        <f t="shared" si="11"/>
        <v>内部装修</v>
      </c>
      <c r="R36" s="1572" t="s">
        <v>8</v>
      </c>
      <c r="S36" s="1573">
        <f t="shared" si="12"/>
        <v>100</v>
      </c>
      <c r="T36" s="1572" t="s">
        <v>8</v>
      </c>
      <c r="U36" s="1573">
        <f t="shared" si="13"/>
        <v>100</v>
      </c>
      <c r="V36" s="1572" t="s">
        <v>8</v>
      </c>
      <c r="W36" s="1573">
        <f t="shared" si="14"/>
        <v>100</v>
      </c>
      <c r="X36" s="1566"/>
      <c r="Y36" s="3422"/>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22"/>
      <c r="Q37" s="1571" t="str">
        <f t="shared" si="11"/>
        <v>内部装修状况</v>
      </c>
      <c r="R37" s="1572" t="s">
        <v>8</v>
      </c>
      <c r="S37" s="1573">
        <f t="shared" si="12"/>
        <v>100</v>
      </c>
      <c r="T37" s="1572" t="s">
        <v>8</v>
      </c>
      <c r="U37" s="1573">
        <f t="shared" si="13"/>
        <v>100</v>
      </c>
      <c r="V37" s="1572" t="s">
        <v>8</v>
      </c>
      <c r="W37" s="1573">
        <f t="shared" si="14"/>
        <v>100</v>
      </c>
      <c r="X37" s="1566"/>
      <c r="Y37" s="3422"/>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22"/>
      <c r="Q38" s="1604">
        <f t="shared" si="11"/>
        <v>111</v>
      </c>
      <c r="R38" s="1576" t="s">
        <v>8</v>
      </c>
      <c r="S38" s="1577">
        <f t="shared" si="12"/>
        <v>100</v>
      </c>
      <c r="T38" s="1576" t="s">
        <v>8</v>
      </c>
      <c r="U38" s="1577">
        <f t="shared" si="13"/>
        <v>100</v>
      </c>
      <c r="V38" s="1576" t="s">
        <v>8</v>
      </c>
      <c r="W38" s="1577">
        <f t="shared" si="14"/>
        <v>100</v>
      </c>
      <c r="X38" s="1578"/>
      <c r="Y38" s="3422"/>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22"/>
      <c r="Q39" s="1571">
        <f t="shared" si="11"/>
        <v>111</v>
      </c>
      <c r="R39" s="1572" t="s">
        <v>8</v>
      </c>
      <c r="S39" s="1573">
        <f t="shared" si="12"/>
        <v>100</v>
      </c>
      <c r="T39" s="1572" t="s">
        <v>8</v>
      </c>
      <c r="U39" s="1573">
        <f t="shared" si="13"/>
        <v>100</v>
      </c>
      <c r="V39" s="1572" t="s">
        <v>8</v>
      </c>
      <c r="W39" s="1573">
        <f t="shared" si="14"/>
        <v>100</v>
      </c>
      <c r="X39" s="1566"/>
      <c r="Y39" s="3422"/>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78"/>
      <c r="Q40" s="1571">
        <f t="shared" si="11"/>
        <v>111</v>
      </c>
      <c r="R40" s="1572" t="s">
        <v>8</v>
      </c>
      <c r="S40" s="1573">
        <f t="shared" si="12"/>
        <v>100</v>
      </c>
      <c r="T40" s="1572" t="s">
        <v>8</v>
      </c>
      <c r="U40" s="1573">
        <f t="shared" si="13"/>
        <v>100</v>
      </c>
      <c r="V40" s="1572" t="s">
        <v>8</v>
      </c>
      <c r="W40" s="1573">
        <f t="shared" si="14"/>
        <v>100</v>
      </c>
      <c r="X40" s="1566"/>
      <c r="Y40" s="3478"/>
      <c r="Z40" s="1574">
        <f t="shared" si="15"/>
        <v>111</v>
      </c>
      <c r="AA40" s="1575">
        <f t="shared" si="3"/>
        <v>1</v>
      </c>
      <c r="AB40" s="1575">
        <f t="shared" si="4"/>
        <v>1</v>
      </c>
      <c r="AC40" s="1575">
        <f t="shared" si="5"/>
        <v>1</v>
      </c>
    </row>
    <row r="41" spans="1:29" ht="15">
      <c r="A41" s="605" t="s">
        <v>736</v>
      </c>
      <c r="B41" s="885"/>
      <c r="C41" s="2625" t="s">
        <v>1</v>
      </c>
      <c r="D41" s="2626"/>
      <c r="E41" s="2627"/>
      <c r="F41" s="2628"/>
      <c r="G41" s="2629"/>
      <c r="H41" s="2630"/>
      <c r="I41" s="2627"/>
      <c r="J41" s="2630"/>
      <c r="K41" s="1610"/>
      <c r="L41" s="2142"/>
      <c r="M41" s="2143"/>
      <c r="N41" s="2132"/>
      <c r="O41" s="2143"/>
      <c r="P41" s="3386" t="str">
        <f>A41</f>
        <v>成交单价（元/平方米）</v>
      </c>
      <c r="Q41" s="3386"/>
      <c r="R41" s="3477">
        <f>E41</f>
        <v>0</v>
      </c>
      <c r="S41" s="3477"/>
      <c r="T41" s="3477">
        <f>G41</f>
        <v>0</v>
      </c>
      <c r="U41" s="3477"/>
      <c r="V41" s="3477">
        <f>I41</f>
        <v>0</v>
      </c>
      <c r="W41" s="3477"/>
      <c r="X41" s="1558"/>
      <c r="Y41" s="1580"/>
      <c r="Z41" s="1558"/>
      <c r="AA41" s="1558"/>
      <c r="AB41" s="1558"/>
      <c r="AC41" s="1558"/>
    </row>
    <row r="42" spans="1:29" ht="15.75" thickBot="1">
      <c r="A42" s="613" t="s">
        <v>2759</v>
      </c>
      <c r="B42" s="886"/>
      <c r="C42" s="2631" t="e">
        <f>R43</f>
        <v>#DIV/0!</v>
      </c>
      <c r="D42" s="2632"/>
      <c r="E42" s="2633" t="e">
        <f>R42</f>
        <v>#DIV/0!</v>
      </c>
      <c r="F42" s="2633"/>
      <c r="G42" s="2631" t="e">
        <f>T42</f>
        <v>#DIV/0!</v>
      </c>
      <c r="H42" s="2632"/>
      <c r="I42" s="2633" t="e">
        <f>V42</f>
        <v>#DIV/0!</v>
      </c>
      <c r="J42" s="2632"/>
      <c r="K42" s="1611"/>
      <c r="L42" s="2142"/>
      <c r="M42" s="2143"/>
      <c r="N42" s="2132"/>
      <c r="O42" s="2143"/>
      <c r="P42" s="3386" t="str">
        <f>A42</f>
        <v>比较价格（元/平方米）</v>
      </c>
      <c r="Q42" s="3386"/>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58"/>
      <c r="Y42" s="1558"/>
      <c r="Z42" s="1558"/>
      <c r="AA42" s="1558"/>
      <c r="AB42" s="1558"/>
      <c r="AC42" s="1558"/>
    </row>
    <row r="43" spans="1:29" ht="15.75" thickBot="1">
      <c r="A43" s="619" t="s">
        <v>2919</v>
      </c>
      <c r="B43" s="620"/>
      <c r="C43" s="2634" t="e">
        <f>R43</f>
        <v>#DIV/0!</v>
      </c>
      <c r="D43" s="2634"/>
      <c r="E43" s="2634"/>
      <c r="F43" s="2634"/>
      <c r="G43" s="2634"/>
      <c r="H43" s="2634"/>
      <c r="I43" s="2634"/>
      <c r="J43" s="2634"/>
      <c r="K43" s="1612"/>
      <c r="L43" s="2142"/>
      <c r="M43" s="2143"/>
      <c r="N43" s="2143"/>
      <c r="O43" s="2143"/>
      <c r="P43" s="3383" t="str">
        <f>A43</f>
        <v>估价对象XX用房的比较价格（楼面单价，元/平方米）</v>
      </c>
      <c r="Q43" s="3384"/>
      <c r="R43" s="3476" t="e">
        <f>IF(F1="售价",ROUND(AVERAGE(R42:V42),0),ROUND(AVERAGE(R42:V42),1))</f>
        <v>#DIV/0!</v>
      </c>
      <c r="S43" s="3476"/>
      <c r="T43" s="3476"/>
      <c r="U43" s="3476"/>
      <c r="V43" s="3476"/>
      <c r="W43" s="3476"/>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529</v>
      </c>
      <c r="B52" s="644"/>
      <c r="C52" s="2800" t="str">
        <f>YEAR(C7)&amp;"-"&amp;MONTH(C7)</f>
        <v>2018-9</v>
      </c>
      <c r="D52" s="2802">
        <f>EDATE(C52,-1)</f>
        <v>43313</v>
      </c>
      <c r="E52" s="2802">
        <f t="shared" ref="E52:O52" si="16">EDATE(D52,-1)</f>
        <v>43282</v>
      </c>
      <c r="F52" s="2802">
        <f t="shared" si="16"/>
        <v>43252</v>
      </c>
      <c r="G52" s="2802">
        <f t="shared" si="16"/>
        <v>43221</v>
      </c>
      <c r="H52" s="2802">
        <f t="shared" si="16"/>
        <v>43191</v>
      </c>
      <c r="I52" s="2802">
        <f t="shared" si="16"/>
        <v>43160</v>
      </c>
      <c r="J52" s="2802">
        <f t="shared" si="16"/>
        <v>43132</v>
      </c>
      <c r="K52" s="2802">
        <f t="shared" si="16"/>
        <v>43101</v>
      </c>
      <c r="L52" s="2802">
        <f t="shared" si="16"/>
        <v>43070</v>
      </c>
      <c r="M52" s="2802">
        <f t="shared" si="16"/>
        <v>43040</v>
      </c>
      <c r="N52" s="2802">
        <f t="shared" si="16"/>
        <v>43009</v>
      </c>
      <c r="O52" s="2802">
        <f t="shared" si="16"/>
        <v>42979</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2556</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95" t="s">
        <v>2557</v>
      </c>
      <c r="C76" s="2596" t="s">
        <v>2558</v>
      </c>
      <c r="D76" s="2596" t="s">
        <v>2559</v>
      </c>
      <c r="E76" s="2596" t="s">
        <v>2560</v>
      </c>
      <c r="F76" s="2596" t="s">
        <v>2561</v>
      </c>
      <c r="G76" s="2596" t="s">
        <v>2562</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2555</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0" sqref="M2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6" t="s">
        <v>2077</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392" t="s">
        <v>798</v>
      </c>
      <c r="D4" s="3393"/>
      <c r="E4" s="3392" t="s">
        <v>799</v>
      </c>
      <c r="F4" s="3393"/>
      <c r="G4" s="3392" t="s">
        <v>800</v>
      </c>
      <c r="H4" s="3393"/>
      <c r="I4" s="3392" t="s">
        <v>801</v>
      </c>
      <c r="J4" s="3393"/>
      <c r="K4" s="512" t="s">
        <v>802</v>
      </c>
      <c r="L4" s="2131"/>
      <c r="M4" s="2132"/>
      <c r="N4" s="2132"/>
      <c r="O4" s="2132"/>
      <c r="P4" s="3394" t="s">
        <v>803</v>
      </c>
      <c r="Q4" s="3395"/>
      <c r="R4" s="3400" t="s">
        <v>799</v>
      </c>
      <c r="S4" s="3401"/>
      <c r="T4" s="3400" t="s">
        <v>800</v>
      </c>
      <c r="U4" s="3401"/>
      <c r="V4" s="3387" t="s">
        <v>801</v>
      </c>
      <c r="W4" s="3387"/>
      <c r="X4" s="1566"/>
      <c r="Y4" s="3400" t="s">
        <v>803</v>
      </c>
      <c r="Z4" s="3401"/>
      <c r="AA4" s="3389" t="s">
        <v>799</v>
      </c>
      <c r="AB4" s="3390" t="s">
        <v>800</v>
      </c>
      <c r="AC4" s="3389" t="s">
        <v>801</v>
      </c>
    </row>
    <row r="5" spans="1:29" ht="15">
      <c r="A5" s="513"/>
      <c r="B5" s="514"/>
      <c r="C5" s="3408" t="s">
        <v>2913</v>
      </c>
      <c r="D5" s="3409"/>
      <c r="E5" s="3408" t="s">
        <v>2914</v>
      </c>
      <c r="F5" s="3409"/>
      <c r="G5" s="3408" t="s">
        <v>2915</v>
      </c>
      <c r="H5" s="3409"/>
      <c r="I5" s="3408" t="s">
        <v>2916</v>
      </c>
      <c r="J5" s="3409"/>
      <c r="K5" s="512"/>
      <c r="L5" s="2131"/>
      <c r="M5" s="2132"/>
      <c r="N5" s="2132"/>
      <c r="O5" s="2132"/>
      <c r="P5" s="3396"/>
      <c r="Q5" s="3397"/>
      <c r="R5" s="3402"/>
      <c r="S5" s="3403"/>
      <c r="T5" s="3402"/>
      <c r="U5" s="3403"/>
      <c r="V5" s="3387"/>
      <c r="W5" s="3387"/>
      <c r="X5" s="1566"/>
      <c r="Y5" s="3402"/>
      <c r="Z5" s="3403"/>
      <c r="AA5" s="3390"/>
      <c r="AB5" s="3390"/>
      <c r="AC5" s="3390"/>
    </row>
    <row r="6" spans="1:29" ht="15.75" thickBot="1">
      <c r="A6" s="515"/>
      <c r="B6" s="516"/>
      <c r="C6" s="3423" t="s">
        <v>2917</v>
      </c>
      <c r="D6" s="3424"/>
      <c r="E6" s="3508" t="s">
        <v>2917</v>
      </c>
      <c r="F6" s="3407"/>
      <c r="G6" s="3423" t="s">
        <v>2917</v>
      </c>
      <c r="H6" s="3424"/>
      <c r="I6" s="3423" t="s">
        <v>2917</v>
      </c>
      <c r="J6" s="3424"/>
      <c r="K6" s="512" t="s">
        <v>528</v>
      </c>
      <c r="L6" s="2131"/>
      <c r="M6" s="2132"/>
      <c r="N6" s="2132"/>
      <c r="O6" s="2132"/>
      <c r="P6" s="3398"/>
      <c r="Q6" s="3399"/>
      <c r="R6" s="3402"/>
      <c r="S6" s="3403"/>
      <c r="T6" s="3404"/>
      <c r="U6" s="3405"/>
      <c r="V6" s="3387"/>
      <c r="W6" s="3387"/>
      <c r="X6" s="1566"/>
      <c r="Y6" s="3404"/>
      <c r="Z6" s="3405"/>
      <c r="AA6" s="3391"/>
      <c r="AB6" s="3391"/>
      <c r="AC6" s="3391"/>
    </row>
    <row r="7" spans="1:29" s="1218" customFormat="1" ht="15.75" thickBot="1">
      <c r="A7" s="2910"/>
      <c r="B7" s="2917" t="s">
        <v>529</v>
      </c>
      <c r="C7" s="517">
        <f>'数据-取费表'!B2</f>
        <v>43361</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16" t="s">
        <v>530</v>
      </c>
      <c r="Q7" s="3418"/>
      <c r="R7" s="1567" t="s">
        <v>8</v>
      </c>
      <c r="S7" s="1568">
        <f t="shared" ref="S7:S14" si="0">F7</f>
        <v>0</v>
      </c>
      <c r="T7" s="1567" t="s">
        <v>8</v>
      </c>
      <c r="U7" s="1568">
        <f t="shared" ref="U7:U14" si="1">H7</f>
        <v>0</v>
      </c>
      <c r="V7" s="1567" t="s">
        <v>8</v>
      </c>
      <c r="W7" s="1568">
        <f t="shared" ref="W7:W14" si="2">J7</f>
        <v>0</v>
      </c>
      <c r="X7" s="1569"/>
      <c r="Y7" s="3416" t="s">
        <v>530</v>
      </c>
      <c r="Z7" s="3417"/>
      <c r="AA7" s="1570" t="e">
        <f>D7/F7</f>
        <v>#DIV/0!</v>
      </c>
      <c r="AB7" s="1570" t="e">
        <f>D7/H7</f>
        <v>#DIV/0!</v>
      </c>
      <c r="AC7" s="1570" t="e">
        <f>D7/J7</f>
        <v>#DIV/0!</v>
      </c>
    </row>
    <row r="8" spans="1:29" s="1218" customFormat="1" ht="15.75" thickBot="1">
      <c r="A8" s="2911"/>
      <c r="B8" s="2918"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16" t="s">
        <v>533</v>
      </c>
      <c r="Q8" s="3417"/>
      <c r="R8" s="1567" t="s">
        <v>8</v>
      </c>
      <c r="S8" s="1568">
        <f t="shared" si="0"/>
        <v>0</v>
      </c>
      <c r="T8" s="1567" t="s">
        <v>8</v>
      </c>
      <c r="U8" s="1568">
        <f t="shared" si="1"/>
        <v>0</v>
      </c>
      <c r="V8" s="1567" t="s">
        <v>8</v>
      </c>
      <c r="W8" s="1568">
        <f t="shared" si="2"/>
        <v>0</v>
      </c>
      <c r="X8" s="1569"/>
      <c r="Y8" s="3416" t="s">
        <v>533</v>
      </c>
      <c r="Z8" s="3417"/>
      <c r="AA8" s="1570" t="e">
        <f t="shared" ref="AA8:AA36" si="3">D8/F8</f>
        <v>#DIV/0!</v>
      </c>
      <c r="AB8" s="1570" t="e">
        <f t="shared" ref="AB8:AB36" si="4">D8/H8</f>
        <v>#DIV/0!</v>
      </c>
      <c r="AC8" s="1570" t="e">
        <f t="shared" ref="AC8:AC36" si="5">D8/J8</f>
        <v>#DIV/0!</v>
      </c>
    </row>
    <row r="9" spans="1:29" s="1218" customFormat="1" ht="15">
      <c r="A9" s="2912"/>
      <c r="B9" s="2919" t="s">
        <v>2755</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86" t="s">
        <v>535</v>
      </c>
      <c r="Q9" s="1149" t="str">
        <f t="shared" ref="Q9:Q14" si="6">B9</f>
        <v>用途</v>
      </c>
      <c r="R9" s="1567" t="s">
        <v>8</v>
      </c>
      <c r="S9" s="1568">
        <f t="shared" si="0"/>
        <v>100</v>
      </c>
      <c r="T9" s="1567" t="s">
        <v>8</v>
      </c>
      <c r="U9" s="1568">
        <f t="shared" si="1"/>
        <v>100</v>
      </c>
      <c r="V9" s="1567" t="s">
        <v>8</v>
      </c>
      <c r="W9" s="1568">
        <f t="shared" si="2"/>
        <v>100</v>
      </c>
      <c r="X9" s="1569"/>
      <c r="Y9" s="3332" t="s">
        <v>536</v>
      </c>
      <c r="Z9" s="1148" t="str">
        <f t="shared" ref="Z9:Z14" si="7">Q9</f>
        <v>用途</v>
      </c>
      <c r="AA9" s="1570">
        <f t="shared" si="3"/>
        <v>1</v>
      </c>
      <c r="AB9" s="1570">
        <f t="shared" si="4"/>
        <v>1</v>
      </c>
      <c r="AC9" s="1570">
        <f t="shared" si="5"/>
        <v>1</v>
      </c>
    </row>
    <row r="10" spans="1:29" s="1336" customFormat="1" ht="27">
      <c r="A10" s="2913"/>
      <c r="B10" s="2918" t="s">
        <v>2756</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5"/>
      <c r="B11" s="2921">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86"/>
      <c r="Q11" s="1149">
        <f t="shared" si="6"/>
        <v>111</v>
      </c>
      <c r="R11" s="1567" t="s">
        <v>8</v>
      </c>
      <c r="S11" s="1568">
        <f t="shared" si="0"/>
        <v>100</v>
      </c>
      <c r="T11" s="1567" t="s">
        <v>8</v>
      </c>
      <c r="U11" s="1568">
        <f t="shared" si="1"/>
        <v>100</v>
      </c>
      <c r="V11" s="1567" t="s">
        <v>8</v>
      </c>
      <c r="W11" s="1568">
        <f t="shared" si="2"/>
        <v>100</v>
      </c>
      <c r="X11" s="1569"/>
      <c r="Y11" s="3332"/>
      <c r="Z11" s="1148">
        <f t="shared" si="7"/>
        <v>111</v>
      </c>
      <c r="AA11" s="1570">
        <f t="shared" si="3"/>
        <v>1</v>
      </c>
      <c r="AB11" s="1570">
        <f t="shared" si="4"/>
        <v>1</v>
      </c>
      <c r="AC11" s="1570">
        <f t="shared" si="5"/>
        <v>1</v>
      </c>
    </row>
    <row r="12" spans="1:29" s="1218" customFormat="1" ht="15">
      <c r="A12" s="2915"/>
      <c r="B12" s="2921">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86"/>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75" thickBot="1">
      <c r="A13" s="2916"/>
      <c r="B13" s="2922">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86"/>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
      <c r="A14" s="2908" t="s">
        <v>2753</v>
      </c>
      <c r="B14" s="545" t="s">
        <v>543</v>
      </c>
      <c r="C14" s="919"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19" t="s">
        <v>540</v>
      </c>
      <c r="Q14" s="1571" t="str">
        <f t="shared" si="6"/>
        <v>交通便捷度</v>
      </c>
      <c r="R14" s="1572" t="s">
        <v>8</v>
      </c>
      <c r="S14" s="1573">
        <f t="shared" si="0"/>
        <v>100</v>
      </c>
      <c r="T14" s="1572" t="s">
        <v>8</v>
      </c>
      <c r="U14" s="1573">
        <f t="shared" si="1"/>
        <v>100</v>
      </c>
      <c r="V14" s="1572" t="s">
        <v>8</v>
      </c>
      <c r="W14" s="1573">
        <f t="shared" si="2"/>
        <v>100</v>
      </c>
      <c r="X14" s="1566"/>
      <c r="Y14" s="3419"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420"/>
      <c r="Q15" s="1571"/>
      <c r="R15" s="1572"/>
      <c r="S15" s="1573"/>
      <c r="T15" s="1572"/>
      <c r="U15" s="1573"/>
      <c r="V15" s="1572"/>
      <c r="W15" s="1573"/>
      <c r="X15" s="1566"/>
      <c r="Y15" s="3420"/>
      <c r="Z15" s="1574"/>
      <c r="AA15" s="1575">
        <v>1</v>
      </c>
      <c r="AB15" s="1575">
        <v>1</v>
      </c>
      <c r="AC15" s="1575">
        <v>1</v>
      </c>
    </row>
    <row r="16" spans="1:29" ht="15">
      <c r="A16" s="513"/>
      <c r="B16" s="2601" t="s">
        <v>2545</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20"/>
      <c r="Q16" s="1571" t="str">
        <f>B16</f>
        <v>公共配套设施</v>
      </c>
      <c r="R16" s="1572" t="s">
        <v>8</v>
      </c>
      <c r="S16" s="1573">
        <f>F16</f>
        <v>100</v>
      </c>
      <c r="T16" s="1572" t="s">
        <v>8</v>
      </c>
      <c r="U16" s="1573">
        <f>H16</f>
        <v>100</v>
      </c>
      <c r="V16" s="1572" t="s">
        <v>8</v>
      </c>
      <c r="W16" s="1573">
        <f>J16</f>
        <v>100</v>
      </c>
      <c r="X16" s="1566"/>
      <c r="Y16" s="3420"/>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420"/>
      <c r="Q17" s="1571"/>
      <c r="R17" s="1572"/>
      <c r="S17" s="1573"/>
      <c r="T17" s="1572"/>
      <c r="U17" s="1573"/>
      <c r="V17" s="1572"/>
      <c r="W17" s="1573"/>
      <c r="X17" s="1566"/>
      <c r="Y17" s="3420"/>
      <c r="Z17" s="1574"/>
      <c r="AA17" s="1575">
        <v>1</v>
      </c>
      <c r="AB17" s="1575">
        <v>1</v>
      </c>
      <c r="AC17" s="1575">
        <v>1</v>
      </c>
    </row>
    <row r="18" spans="1:29" ht="15">
      <c r="A18" s="513"/>
      <c r="B18" s="2589" t="s">
        <v>2557</v>
      </c>
      <c r="C18" s="870" t="str">
        <f>IF(B1="工业",估价对象房地状况!G6,估价对象房地状况!C8)</f>
        <v>六通</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20"/>
      <c r="Q18" s="2577" t="str">
        <f>B18</f>
        <v>基础设施水平</v>
      </c>
      <c r="R18" s="1572" t="s">
        <v>8</v>
      </c>
      <c r="S18" s="1573">
        <f>F18</f>
        <v>100</v>
      </c>
      <c r="T18" s="1572" t="s">
        <v>8</v>
      </c>
      <c r="U18" s="1573">
        <f>H18</f>
        <v>100</v>
      </c>
      <c r="V18" s="1572" t="s">
        <v>8</v>
      </c>
      <c r="W18" s="1573">
        <f>J18</f>
        <v>100</v>
      </c>
      <c r="X18" s="2579"/>
      <c r="Y18" s="3420"/>
      <c r="Z18" s="2578"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00"/>
      <c r="L19" s="2140"/>
      <c r="M19" s="2132"/>
      <c r="N19" s="2132"/>
      <c r="O19" s="2139"/>
      <c r="P19" s="3420"/>
      <c r="Q19" s="2577"/>
      <c r="R19" s="1572"/>
      <c r="S19" s="1573"/>
      <c r="T19" s="1572"/>
      <c r="U19" s="1573"/>
      <c r="V19" s="1572"/>
      <c r="W19" s="1573"/>
      <c r="X19" s="2579"/>
      <c r="Y19" s="3420"/>
      <c r="Z19" s="2578"/>
      <c r="AA19" s="1575">
        <v>1</v>
      </c>
      <c r="AB19" s="1575">
        <v>1</v>
      </c>
      <c r="AC19" s="1575">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20"/>
      <c r="Q20" s="1571" t="str">
        <f>B20</f>
        <v>自然及人文环境</v>
      </c>
      <c r="R20" s="1572" t="s">
        <v>8</v>
      </c>
      <c r="S20" s="1573">
        <f>F20</f>
        <v>100</v>
      </c>
      <c r="T20" s="1572" t="s">
        <v>8</v>
      </c>
      <c r="U20" s="1573">
        <f>H20</f>
        <v>100</v>
      </c>
      <c r="V20" s="1572" t="s">
        <v>8</v>
      </c>
      <c r="W20" s="1573">
        <f>J20</f>
        <v>100</v>
      </c>
      <c r="X20" s="1566"/>
      <c r="Y20" s="3420"/>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420"/>
      <c r="Q21" s="1571"/>
      <c r="R21" s="1572"/>
      <c r="S21" s="1573"/>
      <c r="T21" s="1572"/>
      <c r="U21" s="1573"/>
      <c r="V21" s="1572"/>
      <c r="W21" s="1573"/>
      <c r="X21" s="1566"/>
      <c r="Y21" s="3420"/>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20"/>
      <c r="Q22" s="1571" t="str">
        <f>B22</f>
        <v>楼层</v>
      </c>
      <c r="R22" s="1572" t="s">
        <v>8</v>
      </c>
      <c r="S22" s="1573">
        <f>F22</f>
        <v>100</v>
      </c>
      <c r="T22" s="1572" t="s">
        <v>8</v>
      </c>
      <c r="U22" s="1573">
        <f>H22</f>
        <v>100</v>
      </c>
      <c r="V22" s="1572" t="s">
        <v>8</v>
      </c>
      <c r="W22" s="1573">
        <f>J22</f>
        <v>100</v>
      </c>
      <c r="X22" s="1566"/>
      <c r="Y22" s="3420"/>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20"/>
      <c r="Q23" s="1571">
        <f>B23</f>
        <v>111</v>
      </c>
      <c r="R23" s="1572" t="s">
        <v>8</v>
      </c>
      <c r="S23" s="1573">
        <f>F23</f>
        <v>100</v>
      </c>
      <c r="T23" s="1572" t="s">
        <v>8</v>
      </c>
      <c r="U23" s="1573">
        <f>H23</f>
        <v>100</v>
      </c>
      <c r="V23" s="1572" t="s">
        <v>8</v>
      </c>
      <c r="W23" s="1573">
        <f>J23</f>
        <v>100</v>
      </c>
      <c r="X23" s="1566"/>
      <c r="Y23" s="3420"/>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20"/>
      <c r="Q24" s="1571">
        <f t="shared" ref="Q24:Q36" si="11">B24</f>
        <v>111</v>
      </c>
      <c r="R24" s="1572" t="s">
        <v>8</v>
      </c>
      <c r="S24" s="1573">
        <f>F24</f>
        <v>100</v>
      </c>
      <c r="T24" s="1572" t="s">
        <v>8</v>
      </c>
      <c r="U24" s="1573">
        <f>H24</f>
        <v>100</v>
      </c>
      <c r="V24" s="1572" t="s">
        <v>8</v>
      </c>
      <c r="W24" s="1573">
        <f>J24</f>
        <v>100</v>
      </c>
      <c r="X24" s="1566"/>
      <c r="Y24" s="3420"/>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20"/>
      <c r="Q25" s="1149">
        <f t="shared" si="11"/>
        <v>111</v>
      </c>
      <c r="R25" s="1567" t="s">
        <v>8</v>
      </c>
      <c r="S25" s="1568">
        <f>F25</f>
        <v>100</v>
      </c>
      <c r="T25" s="1567" t="s">
        <v>8</v>
      </c>
      <c r="U25" s="1568">
        <f>H25</f>
        <v>100</v>
      </c>
      <c r="V25" s="1567" t="s">
        <v>8</v>
      </c>
      <c r="W25" s="1568">
        <f>J25</f>
        <v>100</v>
      </c>
      <c r="X25" s="1569"/>
      <c r="Y25" s="3420"/>
      <c r="Z25" s="1148">
        <f>Q25</f>
        <v>111</v>
      </c>
      <c r="AA25" s="1575">
        <f>D25/F25</f>
        <v>1</v>
      </c>
      <c r="AB25" s="1575">
        <f>D25/H25</f>
        <v>1</v>
      </c>
      <c r="AC25" s="1575">
        <f>D25/J25</f>
        <v>1</v>
      </c>
    </row>
    <row r="26" spans="1:29" ht="15">
      <c r="A26" s="2905" t="s">
        <v>2754</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21"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2"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22"/>
      <c r="Q27" s="1604" t="str">
        <f t="shared" si="11"/>
        <v>项目停车位配比</v>
      </c>
      <c r="R27" s="1576" t="s">
        <v>8</v>
      </c>
      <c r="S27" s="1577">
        <f t="shared" si="12"/>
        <v>100</v>
      </c>
      <c r="T27" s="1576" t="s">
        <v>8</v>
      </c>
      <c r="U27" s="1577">
        <f t="shared" si="13"/>
        <v>100</v>
      </c>
      <c r="V27" s="1576" t="s">
        <v>8</v>
      </c>
      <c r="W27" s="1577">
        <f t="shared" si="14"/>
        <v>100</v>
      </c>
      <c r="X27" s="1578"/>
      <c r="Y27" s="3422"/>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22"/>
      <c r="Q28" s="1571" t="str">
        <f t="shared" si="11"/>
        <v>公共部分装修</v>
      </c>
      <c r="R28" s="1572" t="s">
        <v>8</v>
      </c>
      <c r="S28" s="1573">
        <f t="shared" si="12"/>
        <v>100</v>
      </c>
      <c r="T28" s="1572" t="s">
        <v>8</v>
      </c>
      <c r="U28" s="1573">
        <f t="shared" si="13"/>
        <v>100</v>
      </c>
      <c r="V28" s="1572" t="s">
        <v>8</v>
      </c>
      <c r="W28" s="1573">
        <f t="shared" si="14"/>
        <v>100</v>
      </c>
      <c r="X28" s="1566"/>
      <c r="Y28" s="3422"/>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22"/>
      <c r="Q29" s="1571" t="str">
        <f t="shared" si="11"/>
        <v>成新率</v>
      </c>
      <c r="R29" s="1572" t="s">
        <v>8</v>
      </c>
      <c r="S29" s="1573" t="e">
        <f t="shared" si="12"/>
        <v>#N/A</v>
      </c>
      <c r="T29" s="1572" t="s">
        <v>8</v>
      </c>
      <c r="U29" s="1573" t="e">
        <f t="shared" si="13"/>
        <v>#N/A</v>
      </c>
      <c r="V29" s="1572" t="s">
        <v>8</v>
      </c>
      <c r="W29" s="1573" t="e">
        <f t="shared" si="14"/>
        <v>#N/A</v>
      </c>
      <c r="X29" s="1566"/>
      <c r="Y29" s="3422"/>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22"/>
      <c r="Q30" s="1571" t="str">
        <f t="shared" si="11"/>
        <v>物业等级</v>
      </c>
      <c r="R30" s="1572" t="s">
        <v>8</v>
      </c>
      <c r="S30" s="1573">
        <f t="shared" si="12"/>
        <v>100</v>
      </c>
      <c r="T30" s="1572" t="s">
        <v>8</v>
      </c>
      <c r="U30" s="1573">
        <f t="shared" si="13"/>
        <v>100</v>
      </c>
      <c r="V30" s="1572" t="s">
        <v>8</v>
      </c>
      <c r="W30" s="1573">
        <f t="shared" si="14"/>
        <v>100</v>
      </c>
      <c r="X30" s="1566"/>
      <c r="Y30" s="3422"/>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22"/>
      <c r="Q31" s="1149" t="str">
        <f t="shared" si="11"/>
        <v>停车位面积</v>
      </c>
      <c r="R31" s="1567" t="s">
        <v>8</v>
      </c>
      <c r="S31" s="1568" t="e">
        <f t="shared" si="12"/>
        <v>#N/A</v>
      </c>
      <c r="T31" s="1567" t="s">
        <v>8</v>
      </c>
      <c r="U31" s="1568" t="e">
        <f t="shared" si="13"/>
        <v>#N/A</v>
      </c>
      <c r="V31" s="1567" t="s">
        <v>8</v>
      </c>
      <c r="W31" s="1568" t="e">
        <f t="shared" si="14"/>
        <v>#N/A</v>
      </c>
      <c r="X31" s="1569"/>
      <c r="Y31" s="3422"/>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22" t="s">
        <v>550</v>
      </c>
      <c r="Q32" s="1571" t="str">
        <f t="shared" si="11"/>
        <v>车位类型</v>
      </c>
      <c r="R32" s="1572" t="s">
        <v>8</v>
      </c>
      <c r="S32" s="1573">
        <f t="shared" si="12"/>
        <v>100</v>
      </c>
      <c r="T32" s="1572" t="s">
        <v>8</v>
      </c>
      <c r="U32" s="1573">
        <f t="shared" si="13"/>
        <v>100</v>
      </c>
      <c r="V32" s="1572" t="s">
        <v>8</v>
      </c>
      <c r="W32" s="1573">
        <f t="shared" si="14"/>
        <v>100</v>
      </c>
      <c r="X32" s="1566"/>
      <c r="Y32" s="3422"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22"/>
      <c r="Q33" s="1571" t="str">
        <f t="shared" si="11"/>
        <v>是否直接入户</v>
      </c>
      <c r="R33" s="1572" t="s">
        <v>8</v>
      </c>
      <c r="S33" s="1573">
        <f t="shared" si="12"/>
        <v>100</v>
      </c>
      <c r="T33" s="1572" t="s">
        <v>8</v>
      </c>
      <c r="U33" s="1573">
        <f t="shared" si="13"/>
        <v>100</v>
      </c>
      <c r="V33" s="1572" t="s">
        <v>8</v>
      </c>
      <c r="W33" s="1573">
        <f t="shared" si="14"/>
        <v>100</v>
      </c>
      <c r="X33" s="1566"/>
      <c r="Y33" s="3422"/>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22"/>
      <c r="Q34" s="1571">
        <f t="shared" si="11"/>
        <v>111</v>
      </c>
      <c r="R34" s="1572" t="s">
        <v>8</v>
      </c>
      <c r="S34" s="1573">
        <f t="shared" si="12"/>
        <v>100</v>
      </c>
      <c r="T34" s="1572" t="s">
        <v>8</v>
      </c>
      <c r="U34" s="1573">
        <f t="shared" si="13"/>
        <v>100</v>
      </c>
      <c r="V34" s="1572" t="s">
        <v>8</v>
      </c>
      <c r="W34" s="1573">
        <f t="shared" si="14"/>
        <v>100</v>
      </c>
      <c r="X34" s="1566"/>
      <c r="Y34" s="3422"/>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22"/>
      <c r="Q35" s="1604">
        <f t="shared" si="11"/>
        <v>111</v>
      </c>
      <c r="R35" s="1576" t="s">
        <v>8</v>
      </c>
      <c r="S35" s="1577">
        <f t="shared" si="12"/>
        <v>100</v>
      </c>
      <c r="T35" s="1576" t="s">
        <v>8</v>
      </c>
      <c r="U35" s="1577">
        <f t="shared" si="13"/>
        <v>100</v>
      </c>
      <c r="V35" s="1576" t="s">
        <v>8</v>
      </c>
      <c r="W35" s="1577">
        <f t="shared" si="14"/>
        <v>100</v>
      </c>
      <c r="X35" s="1578"/>
      <c r="Y35" s="3422"/>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22"/>
      <c r="Q36" s="1571">
        <f t="shared" si="11"/>
        <v>111</v>
      </c>
      <c r="R36" s="1572" t="s">
        <v>8</v>
      </c>
      <c r="S36" s="1573">
        <f t="shared" si="12"/>
        <v>100</v>
      </c>
      <c r="T36" s="1572" t="s">
        <v>8</v>
      </c>
      <c r="U36" s="1573">
        <f t="shared" si="13"/>
        <v>100</v>
      </c>
      <c r="V36" s="1572" t="s">
        <v>8</v>
      </c>
      <c r="W36" s="1573">
        <f t="shared" si="14"/>
        <v>100</v>
      </c>
      <c r="X36" s="1566"/>
      <c r="Y36" s="3422"/>
      <c r="Z36" s="1574">
        <f t="shared" si="15"/>
        <v>111</v>
      </c>
      <c r="AA36" s="1575">
        <f t="shared" si="3"/>
        <v>1</v>
      </c>
      <c r="AB36" s="1575">
        <f t="shared" si="4"/>
        <v>1</v>
      </c>
      <c r="AC36" s="1575">
        <f t="shared" si="5"/>
        <v>1</v>
      </c>
    </row>
    <row r="37" spans="1:29" ht="15">
      <c r="A37" s="1844" t="s">
        <v>2078</v>
      </c>
      <c r="B37" s="1845" t="s">
        <v>2079</v>
      </c>
      <c r="C37" s="2625" t="s">
        <v>1</v>
      </c>
      <c r="D37" s="2626"/>
      <c r="E37" s="2627"/>
      <c r="F37" s="2628"/>
      <c r="G37" s="2629"/>
      <c r="H37" s="2630"/>
      <c r="I37" s="2627"/>
      <c r="J37" s="2630"/>
      <c r="K37" s="1610"/>
      <c r="L37" s="2142"/>
      <c r="M37" s="2143"/>
      <c r="N37" s="2132"/>
      <c r="O37" s="2143"/>
      <c r="P37" s="3386" t="str">
        <f>A37</f>
        <v>成交单价</v>
      </c>
      <c r="Q37" s="3386"/>
      <c r="R37" s="3477">
        <f>E37</f>
        <v>0</v>
      </c>
      <c r="S37" s="3477"/>
      <c r="T37" s="3477">
        <f>G37</f>
        <v>0</v>
      </c>
      <c r="U37" s="3477"/>
      <c r="V37" s="3477">
        <f>I37</f>
        <v>0</v>
      </c>
      <c r="W37" s="3477"/>
      <c r="X37" s="1558"/>
      <c r="Y37" s="1580"/>
      <c r="Z37" s="1558"/>
      <c r="AA37" s="1558"/>
      <c r="AB37" s="1558"/>
      <c r="AC37" s="1558"/>
    </row>
    <row r="38" spans="1:29" ht="15.75" thickBot="1">
      <c r="A38" s="613" t="s">
        <v>2759</v>
      </c>
      <c r="B38" s="886"/>
      <c r="C38" s="2631" t="e">
        <f>R39</f>
        <v>#DIV/0!</v>
      </c>
      <c r="D38" s="2632"/>
      <c r="E38" s="2633" t="e">
        <f>R38</f>
        <v>#DIV/0!</v>
      </c>
      <c r="F38" s="2633"/>
      <c r="G38" s="2631" t="e">
        <f>T38</f>
        <v>#DIV/0!</v>
      </c>
      <c r="H38" s="2632"/>
      <c r="I38" s="2633" t="e">
        <f>V38</f>
        <v>#DIV/0!</v>
      </c>
      <c r="J38" s="2632"/>
      <c r="K38" s="1611"/>
      <c r="L38" s="2142"/>
      <c r="M38" s="2143"/>
      <c r="N38" s="2143"/>
      <c r="O38" s="2143"/>
      <c r="P38" s="3386" t="str">
        <f>A38</f>
        <v>比较价格（元/平方米）</v>
      </c>
      <c r="Q38" s="3386"/>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58"/>
      <c r="Y38" s="1558"/>
      <c r="Z38" s="1558"/>
      <c r="AA38" s="1558"/>
      <c r="AB38" s="1558"/>
      <c r="AC38" s="1558"/>
    </row>
    <row r="39" spans="1:29" ht="15.75" thickBot="1">
      <c r="A39" s="619" t="s">
        <v>2919</v>
      </c>
      <c r="B39" s="620"/>
      <c r="C39" s="2634" t="e">
        <f>R39</f>
        <v>#DIV/0!</v>
      </c>
      <c r="D39" s="2634"/>
      <c r="E39" s="2634"/>
      <c r="F39" s="2634"/>
      <c r="G39" s="2634"/>
      <c r="H39" s="2634"/>
      <c r="I39" s="2634"/>
      <c r="J39" s="2634"/>
      <c r="K39" s="1612"/>
      <c r="L39" s="2142"/>
      <c r="M39" s="2143"/>
      <c r="N39" s="2143"/>
      <c r="O39" s="2143"/>
      <c r="P39" s="3383" t="str">
        <f>A39</f>
        <v>估价对象XX用房的比较价格（楼面单价，元/平方米）</v>
      </c>
      <c r="Q39" s="3384"/>
      <c r="R39" s="3476" t="e">
        <f>IF(F1="售价",ROUND(AVERAGE(R38:V38),0),ROUND(AVERAGE(R38:V38),1))</f>
        <v>#DIV/0!</v>
      </c>
      <c r="S39" s="3476"/>
      <c r="T39" s="3476"/>
      <c r="U39" s="3476"/>
      <c r="V39" s="3476"/>
      <c r="W39" s="3476"/>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00" t="str">
        <f>YEAR(C7)&amp;"-"&amp;MONTH(C7)</f>
        <v>2018-9</v>
      </c>
      <c r="D48" s="2802">
        <f>EDATE(C48,-1)</f>
        <v>43313</v>
      </c>
      <c r="E48" s="2802">
        <f t="shared" ref="E48:O48" si="16">EDATE(D48,-1)</f>
        <v>43282</v>
      </c>
      <c r="F48" s="2802">
        <f t="shared" si="16"/>
        <v>43252</v>
      </c>
      <c r="G48" s="2802">
        <f t="shared" si="16"/>
        <v>43221</v>
      </c>
      <c r="H48" s="2802">
        <f t="shared" si="16"/>
        <v>43191</v>
      </c>
      <c r="I48" s="2802">
        <f t="shared" si="16"/>
        <v>43160</v>
      </c>
      <c r="J48" s="2802">
        <f t="shared" si="16"/>
        <v>43132</v>
      </c>
      <c r="K48" s="2802">
        <f t="shared" si="16"/>
        <v>43101</v>
      </c>
      <c r="L48" s="2802">
        <f t="shared" si="16"/>
        <v>43070</v>
      </c>
      <c r="M48" s="2802">
        <f t="shared" si="16"/>
        <v>43040</v>
      </c>
      <c r="N48" s="2802">
        <f t="shared" si="16"/>
        <v>43009</v>
      </c>
      <c r="O48" s="2802">
        <f t="shared" si="16"/>
        <v>42979</v>
      </c>
      <c r="P48" s="2158"/>
      <c r="Q48" s="2159"/>
      <c r="R48" s="2159"/>
      <c r="S48" s="2159"/>
      <c r="T48" s="2159"/>
      <c r="U48" s="2159"/>
      <c r="V48" s="2159"/>
      <c r="W48" s="2159"/>
      <c r="X48" s="2159"/>
      <c r="Y48" s="2159"/>
      <c r="Z48" s="2159"/>
      <c r="AA48" s="2159"/>
      <c r="AB48" s="2159"/>
      <c r="AC48" s="2159"/>
    </row>
    <row r="49" spans="1:29" s="1218" customFormat="1" ht="15">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2556</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95" t="s">
        <v>2557</v>
      </c>
      <c r="C67" s="2596" t="s">
        <v>2558</v>
      </c>
      <c r="D67" s="2596" t="s">
        <v>2559</v>
      </c>
      <c r="E67" s="2596" t="s">
        <v>2560</v>
      </c>
      <c r="F67" s="2596" t="s">
        <v>2561</v>
      </c>
      <c r="G67" s="2596" t="s">
        <v>2562</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797</v>
      </c>
      <c r="B4" s="511"/>
      <c r="C4" s="3392" t="s">
        <v>798</v>
      </c>
      <c r="D4" s="3393"/>
      <c r="E4" s="3427" t="s">
        <v>799</v>
      </c>
      <c r="F4" s="3428"/>
      <c r="G4" s="3392" t="s">
        <v>800</v>
      </c>
      <c r="H4" s="3393"/>
      <c r="I4" s="3392" t="s">
        <v>801</v>
      </c>
      <c r="J4" s="3393"/>
      <c r="K4" s="512" t="s">
        <v>802</v>
      </c>
      <c r="L4" s="2131"/>
      <c r="M4" s="2132"/>
      <c r="N4" s="2132"/>
      <c r="O4" s="2132"/>
      <c r="P4" s="3394" t="s">
        <v>803</v>
      </c>
      <c r="Q4" s="3395"/>
      <c r="R4" s="3400" t="s">
        <v>799</v>
      </c>
      <c r="S4" s="3401"/>
      <c r="T4" s="3400" t="s">
        <v>800</v>
      </c>
      <c r="U4" s="3401"/>
      <c r="V4" s="3387" t="s">
        <v>801</v>
      </c>
      <c r="W4" s="3387"/>
      <c r="X4" s="1566"/>
      <c r="Y4" s="3400" t="s">
        <v>803</v>
      </c>
      <c r="Z4" s="3401"/>
      <c r="AA4" s="3389" t="s">
        <v>799</v>
      </c>
      <c r="AB4" s="3390" t="s">
        <v>800</v>
      </c>
      <c r="AC4" s="3389" t="s">
        <v>801</v>
      </c>
    </row>
    <row r="5" spans="1:29" ht="15">
      <c r="A5" s="513"/>
      <c r="B5" s="514"/>
      <c r="C5" s="3408" t="s">
        <v>2913</v>
      </c>
      <c r="D5" s="3409"/>
      <c r="E5" s="3429" t="s">
        <v>2914</v>
      </c>
      <c r="F5" s="3430"/>
      <c r="G5" s="3408" t="s">
        <v>2915</v>
      </c>
      <c r="H5" s="3409"/>
      <c r="I5" s="3408" t="s">
        <v>2916</v>
      </c>
      <c r="J5" s="3409"/>
      <c r="K5" s="512"/>
      <c r="L5" s="2131"/>
      <c r="M5" s="2132"/>
      <c r="N5" s="2132"/>
      <c r="O5" s="2132"/>
      <c r="P5" s="3396"/>
      <c r="Q5" s="3397"/>
      <c r="R5" s="3402"/>
      <c r="S5" s="3403"/>
      <c r="T5" s="3402"/>
      <c r="U5" s="3403"/>
      <c r="V5" s="3387"/>
      <c r="W5" s="3387"/>
      <c r="X5" s="1566"/>
      <c r="Y5" s="3402"/>
      <c r="Z5" s="3403"/>
      <c r="AA5" s="3390"/>
      <c r="AB5" s="3390"/>
      <c r="AC5" s="3390"/>
    </row>
    <row r="6" spans="1:29" ht="15.75" thickBot="1">
      <c r="A6" s="515"/>
      <c r="B6" s="516"/>
      <c r="C6" s="3423" t="s">
        <v>2917</v>
      </c>
      <c r="D6" s="3424"/>
      <c r="E6" s="3425" t="s">
        <v>2917</v>
      </c>
      <c r="F6" s="3426"/>
      <c r="G6" s="3423" t="s">
        <v>2917</v>
      </c>
      <c r="H6" s="3424"/>
      <c r="I6" s="3423" t="s">
        <v>2917</v>
      </c>
      <c r="J6" s="3424"/>
      <c r="K6" s="512" t="s">
        <v>528</v>
      </c>
      <c r="L6" s="2131"/>
      <c r="M6" s="2132"/>
      <c r="N6" s="2132"/>
      <c r="O6" s="2132"/>
      <c r="P6" s="3398"/>
      <c r="Q6" s="3399"/>
      <c r="R6" s="3402"/>
      <c r="S6" s="3403"/>
      <c r="T6" s="3404"/>
      <c r="U6" s="3405"/>
      <c r="V6" s="3387"/>
      <c r="W6" s="3387"/>
      <c r="X6" s="1566"/>
      <c r="Y6" s="3404"/>
      <c r="Z6" s="3405"/>
      <c r="AA6" s="3391"/>
      <c r="AB6" s="3391"/>
      <c r="AC6" s="3391"/>
    </row>
    <row r="7" spans="1:29" s="1218" customFormat="1" ht="15.75" thickBot="1">
      <c r="A7" s="2910"/>
      <c r="B7" s="2917" t="s">
        <v>529</v>
      </c>
      <c r="C7" s="517">
        <f>'数据-取费表'!B2</f>
        <v>43361</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16" t="s">
        <v>530</v>
      </c>
      <c r="Q7" s="3418"/>
      <c r="R7" s="1567" t="s">
        <v>8</v>
      </c>
      <c r="S7" s="1568">
        <f t="shared" ref="S7:S14" si="0">F7</f>
        <v>0</v>
      </c>
      <c r="T7" s="1567" t="s">
        <v>8</v>
      </c>
      <c r="U7" s="1568">
        <f t="shared" ref="U7:U14" si="1">H7</f>
        <v>0</v>
      </c>
      <c r="V7" s="1567" t="s">
        <v>8</v>
      </c>
      <c r="W7" s="1568">
        <f t="shared" ref="W7:W14" si="2">J7</f>
        <v>0</v>
      </c>
      <c r="X7" s="1569"/>
      <c r="Y7" s="3416" t="s">
        <v>530</v>
      </c>
      <c r="Z7" s="3417"/>
      <c r="AA7" s="1570" t="e">
        <f>D7/F7</f>
        <v>#DIV/0!</v>
      </c>
      <c r="AB7" s="1570" t="e">
        <f>D7/H7</f>
        <v>#DIV/0!</v>
      </c>
      <c r="AC7" s="1570" t="e">
        <f>D7/J7</f>
        <v>#DIV/0!</v>
      </c>
    </row>
    <row r="8" spans="1:29" s="1218" customFormat="1" ht="15.75" thickBot="1">
      <c r="A8" s="2911"/>
      <c r="B8" s="2918"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16" t="s">
        <v>533</v>
      </c>
      <c r="Q8" s="3417"/>
      <c r="R8" s="1567" t="s">
        <v>8</v>
      </c>
      <c r="S8" s="1568">
        <f t="shared" si="0"/>
        <v>0</v>
      </c>
      <c r="T8" s="1567" t="s">
        <v>8</v>
      </c>
      <c r="U8" s="1568">
        <f t="shared" si="1"/>
        <v>0</v>
      </c>
      <c r="V8" s="1567" t="s">
        <v>8</v>
      </c>
      <c r="W8" s="1568">
        <f t="shared" si="2"/>
        <v>0</v>
      </c>
      <c r="X8" s="1569"/>
      <c r="Y8" s="3416" t="s">
        <v>533</v>
      </c>
      <c r="Z8" s="3417"/>
      <c r="AA8" s="1570" t="e">
        <f t="shared" ref="AA8:AA34" si="3">D8/F8</f>
        <v>#DIV/0!</v>
      </c>
      <c r="AB8" s="1570" t="e">
        <f t="shared" ref="AB8:AB34" si="4">D8/H8</f>
        <v>#DIV/0!</v>
      </c>
      <c r="AC8" s="1570" t="e">
        <f t="shared" ref="AC8:AC34" si="5">D8/J8</f>
        <v>#DIV/0!</v>
      </c>
    </row>
    <row r="9" spans="1:29" s="1218" customFormat="1" ht="15">
      <c r="A9" s="2912"/>
      <c r="B9" s="2919" t="s">
        <v>2755</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86" t="s">
        <v>535</v>
      </c>
      <c r="Q9" s="1149" t="str">
        <f t="shared" ref="Q9:Q14" si="6">B9</f>
        <v>用途</v>
      </c>
      <c r="R9" s="1567" t="s">
        <v>8</v>
      </c>
      <c r="S9" s="1568">
        <f t="shared" si="0"/>
        <v>100</v>
      </c>
      <c r="T9" s="1567" t="s">
        <v>8</v>
      </c>
      <c r="U9" s="1568">
        <f t="shared" si="1"/>
        <v>100</v>
      </c>
      <c r="V9" s="1567" t="s">
        <v>8</v>
      </c>
      <c r="W9" s="1568">
        <f t="shared" si="2"/>
        <v>100</v>
      </c>
      <c r="X9" s="1569"/>
      <c r="Y9" s="3332" t="s">
        <v>536</v>
      </c>
      <c r="Z9" s="1148" t="str">
        <f t="shared" ref="Z9:Z14" si="7">Q9</f>
        <v>用途</v>
      </c>
      <c r="AA9" s="1570">
        <f t="shared" si="3"/>
        <v>1</v>
      </c>
      <c r="AB9" s="1570">
        <f t="shared" si="4"/>
        <v>1</v>
      </c>
      <c r="AC9" s="1570">
        <f t="shared" si="5"/>
        <v>1</v>
      </c>
    </row>
    <row r="10" spans="1:29" s="1336" customFormat="1" ht="27">
      <c r="A10" s="2913"/>
      <c r="B10" s="2918" t="s">
        <v>2756</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86"/>
      <c r="Q10" s="1149" t="str">
        <f t="shared" si="6"/>
        <v>土地使用年限（年）</v>
      </c>
      <c r="R10" s="1567" t="s">
        <v>8</v>
      </c>
      <c r="S10" s="1568">
        <f t="shared" si="0"/>
        <v>100</v>
      </c>
      <c r="T10" s="1567" t="s">
        <v>8</v>
      </c>
      <c r="U10" s="1568">
        <f t="shared" si="1"/>
        <v>100</v>
      </c>
      <c r="V10" s="1567" t="s">
        <v>8</v>
      </c>
      <c r="W10" s="1568">
        <f t="shared" si="2"/>
        <v>100</v>
      </c>
      <c r="X10" s="1569"/>
      <c r="Y10" s="3332"/>
      <c r="Z10" s="1148" t="str">
        <f t="shared" si="7"/>
        <v>土地使用年限（年）</v>
      </c>
      <c r="AA10" s="1570">
        <f t="shared" si="3"/>
        <v>1</v>
      </c>
      <c r="AB10" s="1570">
        <f t="shared" si="4"/>
        <v>1</v>
      </c>
      <c r="AC10" s="1570">
        <f t="shared" si="5"/>
        <v>1</v>
      </c>
    </row>
    <row r="11" spans="1:29" ht="15">
      <c r="A11" s="2915"/>
      <c r="B11" s="2921">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386"/>
      <c r="Q11" s="1149">
        <f t="shared" si="6"/>
        <v>111</v>
      </c>
      <c r="R11" s="1567" t="s">
        <v>8</v>
      </c>
      <c r="S11" s="1568">
        <f t="shared" si="0"/>
        <v>100</v>
      </c>
      <c r="T11" s="1567" t="s">
        <v>8</v>
      </c>
      <c r="U11" s="1568">
        <f t="shared" si="1"/>
        <v>100</v>
      </c>
      <c r="V11" s="1567" t="s">
        <v>8</v>
      </c>
      <c r="W11" s="1568">
        <f t="shared" si="2"/>
        <v>100</v>
      </c>
      <c r="X11" s="1569"/>
      <c r="Y11" s="3332"/>
      <c r="Z11" s="1148">
        <f t="shared" si="7"/>
        <v>111</v>
      </c>
      <c r="AA11" s="1570">
        <f t="shared" si="3"/>
        <v>1</v>
      </c>
      <c r="AB11" s="1570">
        <f t="shared" si="4"/>
        <v>1</v>
      </c>
      <c r="AC11" s="1570">
        <f t="shared" si="5"/>
        <v>1</v>
      </c>
    </row>
    <row r="12" spans="1:29" s="1218" customFormat="1" ht="15">
      <c r="A12" s="2915"/>
      <c r="B12" s="2921">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386"/>
      <c r="Q12" s="1149">
        <f t="shared" si="6"/>
        <v>111</v>
      </c>
      <c r="R12" s="1567" t="s">
        <v>8</v>
      </c>
      <c r="S12" s="1568">
        <f t="shared" si="0"/>
        <v>100</v>
      </c>
      <c r="T12" s="1567" t="s">
        <v>8</v>
      </c>
      <c r="U12" s="1568">
        <f t="shared" si="1"/>
        <v>100</v>
      </c>
      <c r="V12" s="1567" t="s">
        <v>8</v>
      </c>
      <c r="W12" s="1568">
        <f t="shared" si="2"/>
        <v>100</v>
      </c>
      <c r="X12" s="1569"/>
      <c r="Y12" s="3332"/>
      <c r="Z12" s="1148">
        <f t="shared" si="7"/>
        <v>111</v>
      </c>
      <c r="AA12" s="1570">
        <f>D12/F12</f>
        <v>1</v>
      </c>
      <c r="AB12" s="1570">
        <f>D12/H12</f>
        <v>1</v>
      </c>
      <c r="AC12" s="1570">
        <f>D12/J12</f>
        <v>1</v>
      </c>
    </row>
    <row r="13" spans="1:29" ht="15.75" thickBot="1">
      <c r="A13" s="2916"/>
      <c r="B13" s="2922">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386"/>
      <c r="Q13" s="1149">
        <f t="shared" si="6"/>
        <v>111</v>
      </c>
      <c r="R13" s="1567" t="s">
        <v>8</v>
      </c>
      <c r="S13" s="1568">
        <f t="shared" si="0"/>
        <v>100</v>
      </c>
      <c r="T13" s="1567" t="s">
        <v>8</v>
      </c>
      <c r="U13" s="1568">
        <f t="shared" si="1"/>
        <v>100</v>
      </c>
      <c r="V13" s="1567" t="s">
        <v>8</v>
      </c>
      <c r="W13" s="1568">
        <f t="shared" si="2"/>
        <v>100</v>
      </c>
      <c r="X13" s="1569"/>
      <c r="Y13" s="3332"/>
      <c r="Z13" s="1148">
        <f t="shared" si="7"/>
        <v>111</v>
      </c>
      <c r="AA13" s="1570">
        <f t="shared" si="3"/>
        <v>1</v>
      </c>
      <c r="AB13" s="1570">
        <f t="shared" si="4"/>
        <v>1</v>
      </c>
      <c r="AC13" s="1570">
        <f t="shared" si="5"/>
        <v>1</v>
      </c>
    </row>
    <row r="14" spans="1:29" ht="15">
      <c r="A14" s="2908" t="s">
        <v>2753</v>
      </c>
      <c r="B14" s="166"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19" t="s">
        <v>540</v>
      </c>
      <c r="Q14" s="1571" t="str">
        <f t="shared" si="6"/>
        <v>交通便捷度</v>
      </c>
      <c r="R14" s="1572" t="s">
        <v>8</v>
      </c>
      <c r="S14" s="1573">
        <f t="shared" si="0"/>
        <v>100</v>
      </c>
      <c r="T14" s="1572" t="s">
        <v>8</v>
      </c>
      <c r="U14" s="1573">
        <f t="shared" si="1"/>
        <v>100</v>
      </c>
      <c r="V14" s="1572" t="s">
        <v>8</v>
      </c>
      <c r="W14" s="1573">
        <f t="shared" si="2"/>
        <v>100</v>
      </c>
      <c r="X14" s="1566"/>
      <c r="Y14" s="3419"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420"/>
      <c r="Q15" s="1571"/>
      <c r="R15" s="1572"/>
      <c r="S15" s="1573"/>
      <c r="T15" s="1572"/>
      <c r="U15" s="1573"/>
      <c r="V15" s="1572"/>
      <c r="W15" s="1573"/>
      <c r="X15" s="1566"/>
      <c r="Y15" s="3420"/>
      <c r="Z15" s="1574"/>
      <c r="AA15" s="1575">
        <v>1</v>
      </c>
      <c r="AB15" s="1575">
        <v>1</v>
      </c>
      <c r="AC15" s="1575">
        <v>1</v>
      </c>
    </row>
    <row r="16" spans="1:29" ht="15">
      <c r="A16" s="530"/>
      <c r="B16" s="2601" t="s">
        <v>2545</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20"/>
      <c r="Q16" s="1571" t="str">
        <f>B16</f>
        <v>公共配套设施</v>
      </c>
      <c r="R16" s="1572" t="s">
        <v>8</v>
      </c>
      <c r="S16" s="1573">
        <f>F16</f>
        <v>100</v>
      </c>
      <c r="T16" s="1572" t="s">
        <v>8</v>
      </c>
      <c r="U16" s="1573">
        <f>H16</f>
        <v>100</v>
      </c>
      <c r="V16" s="1572" t="s">
        <v>8</v>
      </c>
      <c r="W16" s="1573">
        <f>J16</f>
        <v>100</v>
      </c>
      <c r="X16" s="1566"/>
      <c r="Y16" s="3420"/>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420"/>
      <c r="Q17" s="1571"/>
      <c r="R17" s="1572"/>
      <c r="S17" s="1573"/>
      <c r="T17" s="1572"/>
      <c r="U17" s="1573"/>
      <c r="V17" s="1572"/>
      <c r="W17" s="1573"/>
      <c r="X17" s="1566"/>
      <c r="Y17" s="3420"/>
      <c r="Z17" s="1574"/>
      <c r="AA17" s="1575">
        <v>1</v>
      </c>
      <c r="AB17" s="1575">
        <v>1</v>
      </c>
      <c r="AC17" s="1575">
        <v>1</v>
      </c>
    </row>
    <row r="18" spans="1:29" ht="15">
      <c r="A18" s="530"/>
      <c r="B18" s="2589" t="s">
        <v>2557</v>
      </c>
      <c r="C18" s="870" t="str">
        <f>IF(B1="工业",估价对象房地状况!G6,估价对象房地状况!C8)</f>
        <v>六通</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20"/>
      <c r="Q18" s="2577" t="str">
        <f>B18</f>
        <v>基础设施水平</v>
      </c>
      <c r="R18" s="1572" t="s">
        <v>8</v>
      </c>
      <c r="S18" s="1573">
        <f>F18</f>
        <v>100</v>
      </c>
      <c r="T18" s="1572" t="s">
        <v>8</v>
      </c>
      <c r="U18" s="1573">
        <f>H18</f>
        <v>100</v>
      </c>
      <c r="V18" s="1572" t="s">
        <v>8</v>
      </c>
      <c r="W18" s="1573">
        <f>J18</f>
        <v>100</v>
      </c>
      <c r="X18" s="2579"/>
      <c r="Y18" s="3420"/>
      <c r="Z18" s="2578"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00"/>
      <c r="L19" s="2140"/>
      <c r="M19" s="2132"/>
      <c r="N19" s="2132"/>
      <c r="O19" s="2139"/>
      <c r="P19" s="3420"/>
      <c r="Q19" s="2577"/>
      <c r="R19" s="1572"/>
      <c r="S19" s="1573"/>
      <c r="T19" s="1572"/>
      <c r="U19" s="1573"/>
      <c r="V19" s="1572"/>
      <c r="W19" s="1573"/>
      <c r="X19" s="2579"/>
      <c r="Y19" s="3420"/>
      <c r="Z19" s="2578"/>
      <c r="AA19" s="1575">
        <v>1</v>
      </c>
      <c r="AB19" s="1575">
        <v>1</v>
      </c>
      <c r="AC19" s="1575">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20"/>
      <c r="Q20" s="1571" t="str">
        <f>B20</f>
        <v>自然及人文环境</v>
      </c>
      <c r="R20" s="1572" t="s">
        <v>8</v>
      </c>
      <c r="S20" s="1573">
        <f>F20</f>
        <v>100</v>
      </c>
      <c r="T20" s="1572" t="s">
        <v>8</v>
      </c>
      <c r="U20" s="1573">
        <f>H20</f>
        <v>100</v>
      </c>
      <c r="V20" s="1572" t="s">
        <v>8</v>
      </c>
      <c r="W20" s="1573">
        <f>J20</f>
        <v>100</v>
      </c>
      <c r="X20" s="1566"/>
      <c r="Y20" s="3420"/>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420"/>
      <c r="Q21" s="1571"/>
      <c r="R21" s="1572"/>
      <c r="S21" s="1573"/>
      <c r="T21" s="1572"/>
      <c r="U21" s="1573"/>
      <c r="V21" s="1572"/>
      <c r="W21" s="1573"/>
      <c r="X21" s="1566"/>
      <c r="Y21" s="3420"/>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20"/>
      <c r="Q22" s="1571" t="str">
        <f>B22</f>
        <v>楼层</v>
      </c>
      <c r="R22" s="1572" t="s">
        <v>8</v>
      </c>
      <c r="S22" s="1573">
        <f>F22</f>
        <v>100</v>
      </c>
      <c r="T22" s="1572" t="s">
        <v>8</v>
      </c>
      <c r="U22" s="1573">
        <f>H22</f>
        <v>100</v>
      </c>
      <c r="V22" s="1572" t="s">
        <v>8</v>
      </c>
      <c r="W22" s="1573">
        <f>J22</f>
        <v>100</v>
      </c>
      <c r="X22" s="1566"/>
      <c r="Y22" s="3420"/>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20"/>
      <c r="Q23" s="1571">
        <f>B23</f>
        <v>111</v>
      </c>
      <c r="R23" s="1572" t="s">
        <v>8</v>
      </c>
      <c r="S23" s="1573">
        <f>F23</f>
        <v>100</v>
      </c>
      <c r="T23" s="1572" t="s">
        <v>8</v>
      </c>
      <c r="U23" s="1573">
        <f>H23</f>
        <v>100</v>
      </c>
      <c r="V23" s="1572" t="s">
        <v>8</v>
      </c>
      <c r="W23" s="1573">
        <f>J23</f>
        <v>100</v>
      </c>
      <c r="X23" s="1566"/>
      <c r="Y23" s="3420"/>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20"/>
      <c r="Q24" s="1571">
        <f t="shared" ref="Q24:Q34" si="11">B24</f>
        <v>111</v>
      </c>
      <c r="R24" s="1572" t="s">
        <v>8</v>
      </c>
      <c r="S24" s="1573">
        <f>F24</f>
        <v>100</v>
      </c>
      <c r="T24" s="1572" t="s">
        <v>8</v>
      </c>
      <c r="U24" s="1573">
        <f>H24</f>
        <v>100</v>
      </c>
      <c r="V24" s="1572" t="s">
        <v>8</v>
      </c>
      <c r="W24" s="1573">
        <f>J24</f>
        <v>100</v>
      </c>
      <c r="X24" s="1566"/>
      <c r="Y24" s="3420"/>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20"/>
      <c r="Q25" s="1149">
        <f t="shared" si="11"/>
        <v>111</v>
      </c>
      <c r="R25" s="1567" t="s">
        <v>8</v>
      </c>
      <c r="S25" s="1568">
        <f>F25</f>
        <v>100</v>
      </c>
      <c r="T25" s="1567" t="s">
        <v>8</v>
      </c>
      <c r="U25" s="1568">
        <f>H25</f>
        <v>100</v>
      </c>
      <c r="V25" s="1567" t="s">
        <v>8</v>
      </c>
      <c r="W25" s="1568">
        <f>J25</f>
        <v>100</v>
      </c>
      <c r="X25" s="1569"/>
      <c r="Y25" s="3420"/>
      <c r="Z25" s="1148">
        <f>Q25</f>
        <v>111</v>
      </c>
      <c r="AA25" s="1575">
        <f>D25/F25</f>
        <v>1</v>
      </c>
      <c r="AB25" s="1575">
        <f>D25/H25</f>
        <v>1</v>
      </c>
      <c r="AC25" s="1575">
        <f>D25/J25</f>
        <v>1</v>
      </c>
    </row>
    <row r="26" spans="1:29" ht="15">
      <c r="A26" s="2905" t="s">
        <v>2754</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21"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2"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22"/>
      <c r="Q27" s="1604" t="str">
        <f t="shared" si="11"/>
        <v>成新率</v>
      </c>
      <c r="R27" s="1576" t="s">
        <v>8</v>
      </c>
      <c r="S27" s="1577" t="e">
        <f t="shared" si="12"/>
        <v>#N/A</v>
      </c>
      <c r="T27" s="1576" t="s">
        <v>8</v>
      </c>
      <c r="U27" s="1577" t="e">
        <f t="shared" si="13"/>
        <v>#N/A</v>
      </c>
      <c r="V27" s="1576" t="s">
        <v>8</v>
      </c>
      <c r="W27" s="1577" t="e">
        <f t="shared" si="14"/>
        <v>#N/A</v>
      </c>
      <c r="X27" s="1578"/>
      <c r="Y27" s="3422"/>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22"/>
      <c r="Q28" s="1571" t="str">
        <f t="shared" si="11"/>
        <v>物业等级</v>
      </c>
      <c r="R28" s="1572" t="s">
        <v>8</v>
      </c>
      <c r="S28" s="1573">
        <f t="shared" si="12"/>
        <v>100</v>
      </c>
      <c r="T28" s="1572" t="s">
        <v>8</v>
      </c>
      <c r="U28" s="1573">
        <f t="shared" si="13"/>
        <v>100</v>
      </c>
      <c r="V28" s="1572" t="s">
        <v>8</v>
      </c>
      <c r="W28" s="1573">
        <f t="shared" si="14"/>
        <v>100</v>
      </c>
      <c r="X28" s="1566"/>
      <c r="Y28" s="3422"/>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22"/>
      <c r="Q29" s="1571" t="str">
        <f t="shared" si="11"/>
        <v>有无电梯</v>
      </c>
      <c r="R29" s="1572" t="s">
        <v>8</v>
      </c>
      <c r="S29" s="1573">
        <f t="shared" si="12"/>
        <v>100</v>
      </c>
      <c r="T29" s="1572" t="s">
        <v>8</v>
      </c>
      <c r="U29" s="1573">
        <f t="shared" si="13"/>
        <v>100</v>
      </c>
      <c r="V29" s="1572" t="s">
        <v>8</v>
      </c>
      <c r="W29" s="1573">
        <f t="shared" si="14"/>
        <v>100</v>
      </c>
      <c r="X29" s="1566"/>
      <c r="Y29" s="3422"/>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22"/>
      <c r="Q30" s="1571" t="str">
        <f t="shared" si="11"/>
        <v>建筑面积</v>
      </c>
      <c r="R30" s="1572" t="s">
        <v>8</v>
      </c>
      <c r="S30" s="1573" t="e">
        <f t="shared" si="12"/>
        <v>#N/A</v>
      </c>
      <c r="T30" s="1572" t="s">
        <v>8</v>
      </c>
      <c r="U30" s="1573" t="e">
        <f t="shared" si="13"/>
        <v>#N/A</v>
      </c>
      <c r="V30" s="1572" t="s">
        <v>8</v>
      </c>
      <c r="W30" s="1573" t="e">
        <f t="shared" si="14"/>
        <v>#N/A</v>
      </c>
      <c r="X30" s="1566"/>
      <c r="Y30" s="3422"/>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22"/>
      <c r="Q31" s="1149" t="str">
        <f t="shared" si="11"/>
        <v>是否封闭</v>
      </c>
      <c r="R31" s="1567" t="s">
        <v>8</v>
      </c>
      <c r="S31" s="1568">
        <f t="shared" si="12"/>
        <v>100</v>
      </c>
      <c r="T31" s="1567" t="s">
        <v>8</v>
      </c>
      <c r="U31" s="1568">
        <f t="shared" si="13"/>
        <v>100</v>
      </c>
      <c r="V31" s="1567" t="s">
        <v>8</v>
      </c>
      <c r="W31" s="1568">
        <f t="shared" si="14"/>
        <v>100</v>
      </c>
      <c r="X31" s="1569"/>
      <c r="Y31" s="3422"/>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22" t="s">
        <v>550</v>
      </c>
      <c r="Q32" s="1571">
        <f t="shared" si="11"/>
        <v>111</v>
      </c>
      <c r="R32" s="1572" t="s">
        <v>8</v>
      </c>
      <c r="S32" s="1573">
        <f t="shared" si="12"/>
        <v>100</v>
      </c>
      <c r="T32" s="1572" t="s">
        <v>8</v>
      </c>
      <c r="U32" s="1573">
        <f t="shared" si="13"/>
        <v>100</v>
      </c>
      <c r="V32" s="1572" t="s">
        <v>8</v>
      </c>
      <c r="W32" s="1573">
        <f t="shared" si="14"/>
        <v>100</v>
      </c>
      <c r="X32" s="1566"/>
      <c r="Y32" s="3422"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22"/>
      <c r="Q33" s="1571">
        <f t="shared" si="11"/>
        <v>111</v>
      </c>
      <c r="R33" s="1572" t="s">
        <v>8</v>
      </c>
      <c r="S33" s="1573">
        <f t="shared" si="12"/>
        <v>100</v>
      </c>
      <c r="T33" s="1572" t="s">
        <v>8</v>
      </c>
      <c r="U33" s="1573">
        <f t="shared" si="13"/>
        <v>100</v>
      </c>
      <c r="V33" s="1572" t="s">
        <v>8</v>
      </c>
      <c r="W33" s="1573">
        <f t="shared" si="14"/>
        <v>100</v>
      </c>
      <c r="X33" s="1566"/>
      <c r="Y33" s="3422"/>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22"/>
      <c r="Q34" s="1571">
        <f t="shared" si="11"/>
        <v>111</v>
      </c>
      <c r="R34" s="1572" t="s">
        <v>8</v>
      </c>
      <c r="S34" s="1573">
        <f t="shared" si="12"/>
        <v>100</v>
      </c>
      <c r="T34" s="1572" t="s">
        <v>8</v>
      </c>
      <c r="U34" s="1573">
        <f t="shared" si="13"/>
        <v>100</v>
      </c>
      <c r="V34" s="1572" t="s">
        <v>8</v>
      </c>
      <c r="W34" s="1573">
        <f t="shared" si="14"/>
        <v>100</v>
      </c>
      <c r="X34" s="1566"/>
      <c r="Y34" s="3422"/>
      <c r="Z34" s="1574">
        <f t="shared" si="15"/>
        <v>111</v>
      </c>
      <c r="AA34" s="1575">
        <f t="shared" si="3"/>
        <v>1</v>
      </c>
      <c r="AB34" s="1575">
        <f t="shared" si="4"/>
        <v>1</v>
      </c>
      <c r="AC34" s="1575">
        <f t="shared" si="5"/>
        <v>1</v>
      </c>
    </row>
    <row r="35" spans="1:29" ht="15">
      <c r="A35" s="605" t="s">
        <v>736</v>
      </c>
      <c r="B35" s="885"/>
      <c r="C35" s="2625" t="s">
        <v>1</v>
      </c>
      <c r="D35" s="2626"/>
      <c r="E35" s="2627"/>
      <c r="F35" s="2628"/>
      <c r="G35" s="2629"/>
      <c r="H35" s="2630"/>
      <c r="I35" s="2627"/>
      <c r="J35" s="2630"/>
      <c r="K35" s="1610"/>
      <c r="L35" s="2142"/>
      <c r="M35" s="2143"/>
      <c r="N35" s="2132"/>
      <c r="O35" s="2143"/>
      <c r="P35" s="3386" t="str">
        <f>A35</f>
        <v>成交单价（元/平方米）</v>
      </c>
      <c r="Q35" s="3386"/>
      <c r="R35" s="3477">
        <f>E35</f>
        <v>0</v>
      </c>
      <c r="S35" s="3477"/>
      <c r="T35" s="3477">
        <f>G35</f>
        <v>0</v>
      </c>
      <c r="U35" s="3477"/>
      <c r="V35" s="3477">
        <f>I35</f>
        <v>0</v>
      </c>
      <c r="W35" s="3477"/>
      <c r="X35" s="1558"/>
      <c r="Y35" s="1580"/>
      <c r="Z35" s="1558"/>
      <c r="AA35" s="1558"/>
      <c r="AB35" s="1558"/>
      <c r="AC35" s="1558"/>
    </row>
    <row r="36" spans="1:29" ht="15.75" thickBot="1">
      <c r="A36" s="613" t="s">
        <v>2759</v>
      </c>
      <c r="B36" s="886"/>
      <c r="C36" s="2631" t="e">
        <f>R37</f>
        <v>#DIV/0!</v>
      </c>
      <c r="D36" s="2632"/>
      <c r="E36" s="2633" t="e">
        <f>R36</f>
        <v>#DIV/0!</v>
      </c>
      <c r="F36" s="2633"/>
      <c r="G36" s="2631" t="e">
        <f>T36</f>
        <v>#DIV/0!</v>
      </c>
      <c r="H36" s="2632"/>
      <c r="I36" s="2633" t="e">
        <f>V36</f>
        <v>#DIV/0!</v>
      </c>
      <c r="J36" s="2632"/>
      <c r="K36" s="1611"/>
      <c r="L36" s="2142"/>
      <c r="M36" s="2143"/>
      <c r="N36" s="2132"/>
      <c r="O36" s="2143"/>
      <c r="P36" s="3386" t="str">
        <f>A36</f>
        <v>比较价格（元/平方米）</v>
      </c>
      <c r="Q36" s="3386"/>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58"/>
      <c r="Y36" s="1558"/>
      <c r="Z36" s="1558"/>
      <c r="AA36" s="1558"/>
      <c r="AB36" s="1558"/>
      <c r="AC36" s="1558"/>
    </row>
    <row r="37" spans="1:29" ht="15.75" thickBot="1">
      <c r="A37" s="619" t="s">
        <v>2919</v>
      </c>
      <c r="B37" s="620"/>
      <c r="C37" s="2634" t="e">
        <f>R37</f>
        <v>#DIV/0!</v>
      </c>
      <c r="D37" s="2634"/>
      <c r="E37" s="2634"/>
      <c r="F37" s="2634"/>
      <c r="G37" s="2634"/>
      <c r="H37" s="2634"/>
      <c r="I37" s="2634"/>
      <c r="J37" s="2634"/>
      <c r="K37" s="1612"/>
      <c r="L37" s="2142"/>
      <c r="M37" s="2143"/>
      <c r="N37" s="2143"/>
      <c r="O37" s="2143"/>
      <c r="P37" s="3383" t="str">
        <f>A37</f>
        <v>估价对象XX用房的比较价格（楼面单价，元/平方米）</v>
      </c>
      <c r="Q37" s="3384"/>
      <c r="R37" s="3476" t="e">
        <f>IF(F1="售价",ROUND(AVERAGE(R36:V36),0),ROUND(AVERAGE(R36:V36),1))</f>
        <v>#DIV/0!</v>
      </c>
      <c r="S37" s="3476"/>
      <c r="T37" s="3476"/>
      <c r="U37" s="3476"/>
      <c r="V37" s="3476"/>
      <c r="W37" s="3476"/>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529</v>
      </c>
      <c r="B46" s="644"/>
      <c r="C46" s="2800" t="str">
        <f>YEAR(C7)&amp;"-"&amp;MONTH(C7)</f>
        <v>2018-9</v>
      </c>
      <c r="D46" s="2802">
        <f>EDATE(C46,-1)</f>
        <v>43313</v>
      </c>
      <c r="E46" s="2802">
        <f t="shared" ref="E46:O46" si="16">EDATE(D46,-1)</f>
        <v>43282</v>
      </c>
      <c r="F46" s="2802">
        <f t="shared" si="16"/>
        <v>43252</v>
      </c>
      <c r="G46" s="2802">
        <f t="shared" si="16"/>
        <v>43221</v>
      </c>
      <c r="H46" s="2802">
        <f t="shared" si="16"/>
        <v>43191</v>
      </c>
      <c r="I46" s="2802">
        <f t="shared" si="16"/>
        <v>43160</v>
      </c>
      <c r="J46" s="2802">
        <f t="shared" si="16"/>
        <v>43132</v>
      </c>
      <c r="K46" s="2802">
        <f t="shared" si="16"/>
        <v>43101</v>
      </c>
      <c r="L46" s="2802">
        <f t="shared" si="16"/>
        <v>43070</v>
      </c>
      <c r="M46" s="2802">
        <f t="shared" si="16"/>
        <v>43040</v>
      </c>
      <c r="N46" s="2802">
        <f t="shared" si="16"/>
        <v>43009</v>
      </c>
      <c r="O46" s="2802">
        <f t="shared" si="16"/>
        <v>42979</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2556</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95" t="s">
        <v>2557</v>
      </c>
      <c r="C65" s="2596" t="s">
        <v>2558</v>
      </c>
      <c r="D65" s="2596" t="s">
        <v>2559</v>
      </c>
      <c r="E65" s="2596" t="s">
        <v>2560</v>
      </c>
      <c r="F65" s="2596" t="s">
        <v>2561</v>
      </c>
      <c r="G65" s="2596" t="s">
        <v>2562</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2" t="s">
        <v>2304</v>
      </c>
      <c r="C1" s="3512" t="s">
        <v>2305</v>
      </c>
      <c r="D1" s="3513"/>
      <c r="E1" s="3513"/>
      <c r="F1" s="3513"/>
      <c r="G1" s="3513"/>
      <c r="H1" s="3513"/>
      <c r="I1" s="3513"/>
      <c r="J1" s="3513"/>
      <c r="K1" s="3513"/>
      <c r="L1" s="3513"/>
      <c r="M1" s="3513"/>
      <c r="N1" s="3513"/>
      <c r="O1" s="3513"/>
      <c r="P1" s="3513"/>
      <c r="Q1" s="3513"/>
      <c r="R1" s="3513"/>
      <c r="S1" s="3514"/>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4" t="s">
        <v>2912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6" t="s">
        <v>2911</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6" t="s">
        <v>2910</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4" t="s">
        <v>2925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4" t="s">
        <v>2909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4" t="s">
        <v>2908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509" t="s">
        <v>20</v>
      </c>
      <c r="D22" s="3510"/>
      <c r="E22" s="3510"/>
      <c r="F22" s="3510"/>
      <c r="G22" s="3510"/>
      <c r="H22" s="3510"/>
      <c r="I22" s="3510"/>
      <c r="J22" s="3510"/>
      <c r="K22" s="3510"/>
      <c r="L22" s="3510"/>
      <c r="M22" s="3510"/>
      <c r="N22" s="3510"/>
      <c r="O22" s="3510"/>
      <c r="P22" s="3510"/>
      <c r="Q22" s="3511"/>
      <c r="R22" s="488"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大业信托：</v>
      </c>
    </row>
    <row r="4" spans="1:4" ht="37.5">
      <c r="A4" s="1790" t="str">
        <f>"受贵公司委托，我公司对"&amp;项目基本情况!K2&amp;项目基本情况!B9&amp;"进行了预评估。"</f>
        <v>受贵公司委托，我公司对河北省怀来县东花园镇董庄子村、杨庄子村英国宫5期住宅地块出让国有建设用地使用权抵押价格进行了预评估。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怀来京御房地产开发有限公司使用的、位于河北省怀来县东花园镇董庄子村、杨庄子村英国宫5期住宅地块出让国有建设用地使用权。根据《国有土地使用证》[怀国用(2012)第C1594号]，估价对象（分摊）出让国有建设用地使用权面积为64530.53平方米。根据《建设工程规划许可证》[建字第13073020180049、51号]及附图，估价对象规划建筑面积为195640.36平方米。</v>
      </c>
    </row>
    <row r="7" spans="1:4" ht="93.75">
      <c r="A7" s="2871" t="s">
        <v>2747</v>
      </c>
    </row>
    <row r="8" spans="1:4" ht="18.75">
      <c r="A8" s="1793" t="s">
        <v>1907</v>
      </c>
    </row>
    <row r="9" spans="1:4" ht="93.75">
      <c r="A9" s="1795" t="str">
        <f>IF(项目基本情况!B8="抵押",IF(项目基本情况!B5=项目基本情况!B6,定义!C51,定义!B51),定义!D51)</f>
        <v>华夏幸福拟使用河北省怀来县东花园镇董庄子村、杨庄子村英国宫5期住宅地块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2018年9月18日（评估专业人员勘察现场之日）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根据《国有土地使用证》[怀国用(2012)第C1594号]，本次评估估价对象证载（地类）用途为住宅。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怀国用(2012)第C1594号]，估价对象（分摊）出让国有建设用地使用权面积为64530.53平方米。根据《建设工程规划许可证》[建字第13073020180049、51号]及附图，估价对象规划建筑面积为195640.36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3" t="s">
        <v>2748</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2787</v>
      </c>
      <c r="C1" s="3002">
        <f>项目基本情况!D3</f>
        <v>43361</v>
      </c>
      <c r="H1" s="2936">
        <f>IF(C1&gt;C13,0,MATCH(C1,C$13:C$100,-1))+IF(SUMIF(C13:C100,C1,D13:D100)=0,13,12)</f>
        <v>13</v>
      </c>
      <c r="I1" s="2936">
        <f ca="1">MATCH(C2,H3:H7,1)+IF(SUMIF(H3:H7,C2,I3:I7)=0,2,1)</f>
        <v>5</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2818</v>
      </c>
      <c r="C2" s="3003">
        <f>'数据-取费表'!B22</f>
        <v>3</v>
      </c>
      <c r="D2" s="2998" t="s">
        <v>2788</v>
      </c>
      <c r="E2" s="3001">
        <f ca="1">INDIRECT("I"&amp;$I$1)/100</f>
        <v>4.7500000000000001E-2</v>
      </c>
      <c r="G2" s="2938"/>
      <c r="H2" s="2938"/>
      <c r="I2" s="2938" t="s">
        <v>2789</v>
      </c>
      <c r="K2" s="2938"/>
      <c r="L2" s="2938"/>
      <c r="M2" s="2938"/>
      <c r="N2" s="2938" t="s">
        <v>2790</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2820</v>
      </c>
      <c r="C3" s="3000">
        <f>'数据-取费表'!B19</f>
        <v>0</v>
      </c>
      <c r="D3" s="2998" t="s">
        <v>2788</v>
      </c>
      <c r="E3" s="3001">
        <f ca="1">INDIRECT("J"&amp;$J$1)/100</f>
        <v>0</v>
      </c>
      <c r="G3" s="2940" t="s">
        <v>2791</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2819</v>
      </c>
      <c r="C4" s="3001">
        <f ca="1">N4/100</f>
        <v>1.4999999999999999E-2</v>
      </c>
      <c r="G4" s="2946" t="s">
        <v>2792</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2793</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2794</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2795</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2796</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2797</v>
      </c>
      <c r="C10" s="2965"/>
      <c r="D10" s="2965"/>
      <c r="E10" s="2965"/>
      <c r="F10" s="2965"/>
      <c r="G10" s="2965"/>
      <c r="H10" s="2965"/>
      <c r="I10" s="2939"/>
      <c r="J10" s="2939"/>
      <c r="K10" s="2965"/>
      <c r="L10" s="2966" t="s">
        <v>2798</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2799</v>
      </c>
      <c r="C11" s="2970" t="s">
        <v>2800</v>
      </c>
      <c r="D11" s="2971" t="s">
        <v>2801</v>
      </c>
      <c r="E11" s="2972"/>
      <c r="F11" s="2971" t="s">
        <v>2802</v>
      </c>
      <c r="G11" s="2973"/>
      <c r="H11" s="2972"/>
      <c r="I11" s="2971" t="s">
        <v>2803</v>
      </c>
      <c r="J11" s="2972"/>
      <c r="K11" s="2968"/>
      <c r="L11" s="2969" t="s">
        <v>2799</v>
      </c>
      <c r="M11" s="2970" t="s">
        <v>2800</v>
      </c>
      <c r="N11" s="2969" t="s">
        <v>2804</v>
      </c>
      <c r="O11" s="2971" t="s">
        <v>2805</v>
      </c>
      <c r="P11" s="2973"/>
      <c r="Q11" s="2973"/>
      <c r="R11" s="2973"/>
      <c r="S11" s="2973"/>
      <c r="T11" s="2972"/>
      <c r="U11" s="2971" t="s">
        <v>2806</v>
      </c>
      <c r="V11" s="2973"/>
      <c r="W11" s="2972"/>
      <c r="X11" s="2969" t="s">
        <v>2807</v>
      </c>
      <c r="Y11" s="2969" t="s">
        <v>2808</v>
      </c>
      <c r="Z11" s="2969" t="s">
        <v>2809</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2810</v>
      </c>
      <c r="E12" s="2978" t="s">
        <v>2811</v>
      </c>
      <c r="F12" s="2978" t="s">
        <v>2812</v>
      </c>
      <c r="G12" s="2978" t="s">
        <v>2813</v>
      </c>
      <c r="H12" s="2978" t="s">
        <v>2795</v>
      </c>
      <c r="I12" s="2979" t="s">
        <v>2814</v>
      </c>
      <c r="J12" s="2979" t="s">
        <v>2814</v>
      </c>
      <c r="K12" s="2975"/>
      <c r="L12" s="2976"/>
      <c r="M12" s="2977"/>
      <c r="N12" s="2976"/>
      <c r="O12" s="2979" t="s">
        <v>2815</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2816</v>
      </c>
      <c r="C13" s="2983">
        <v>42301</v>
      </c>
      <c r="D13" s="2984">
        <v>4.3499999999999996</v>
      </c>
      <c r="E13" s="2984">
        <v>4.3499999999999996</v>
      </c>
      <c r="F13" s="2984">
        <v>4.75</v>
      </c>
      <c r="G13" s="2984">
        <v>4.75</v>
      </c>
      <c r="H13" s="2984">
        <v>4.9000000000000004</v>
      </c>
      <c r="I13" s="2984">
        <v>2.75</v>
      </c>
      <c r="J13" s="2984">
        <v>3.25</v>
      </c>
      <c r="K13" s="2981"/>
      <c r="L13" s="2982" t="s">
        <v>2816</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2817</v>
      </c>
      <c r="Y42" s="2988" t="s">
        <v>2817</v>
      </c>
      <c r="Z42" s="2988" t="s">
        <v>2817</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2817</v>
      </c>
      <c r="Y43" s="2988" t="s">
        <v>2817</v>
      </c>
      <c r="Z43" s="2988" t="s">
        <v>2817</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2817</v>
      </c>
      <c r="Y44" s="2988" t="s">
        <v>2817</v>
      </c>
      <c r="Z44" s="2988" t="s">
        <v>2817</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2817</v>
      </c>
      <c r="Y45" s="2988" t="s">
        <v>2817</v>
      </c>
      <c r="Z45" s="2988" t="s">
        <v>2817</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2817</v>
      </c>
      <c r="Y46" s="2988" t="s">
        <v>2817</v>
      </c>
      <c r="Z46" s="2988" t="s">
        <v>2817</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2817</v>
      </c>
      <c r="Y47" s="2988" t="s">
        <v>2817</v>
      </c>
      <c r="Z47" s="2988" t="s">
        <v>2817</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2817</v>
      </c>
      <c r="Y48" s="2988" t="s">
        <v>2817</v>
      </c>
      <c r="Z48" s="2988" t="s">
        <v>2817</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2817</v>
      </c>
      <c r="Y49" s="2988" t="s">
        <v>2817</v>
      </c>
      <c r="Z49" s="2988" t="s">
        <v>2817</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2817</v>
      </c>
      <c r="Y50" s="2988" t="s">
        <v>2817</v>
      </c>
      <c r="Z50" s="2988" t="s">
        <v>2817</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2817</v>
      </c>
      <c r="V51" s="2988" t="s">
        <v>2817</v>
      </c>
      <c r="W51" s="2988" t="s">
        <v>2817</v>
      </c>
      <c r="X51" s="2988" t="s">
        <v>2817</v>
      </c>
      <c r="Y51" s="2988" t="s">
        <v>2817</v>
      </c>
      <c r="Z51" s="2988" t="s">
        <v>2817</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2817</v>
      </c>
      <c r="J55" s="2988" t="s">
        <v>2817</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4" sqref="L34"/>
    </sheetView>
  </sheetViews>
  <sheetFormatPr defaultRowHeight="13.5"/>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
  <sheetViews>
    <sheetView topLeftCell="A13" workbookViewId="0">
      <selection activeCell="J21" sqref="J21"/>
    </sheetView>
  </sheetViews>
  <sheetFormatPr defaultRowHeight="13.5"/>
  <cols>
    <col min="1" max="1" width="16.625" customWidth="1"/>
    <col min="2" max="11" width="9" customWidth="1"/>
    <col min="12" max="12" width="23.75" customWidth="1"/>
    <col min="13" max="13" width="9" customWidth="1"/>
    <col min="14" max="14" width="26.125" customWidth="1"/>
    <col min="15" max="15" width="20.25" customWidth="1"/>
    <col min="16" max="36" width="9" customWidth="1"/>
  </cols>
  <sheetData>
    <row r="1" spans="1:44">
      <c r="A1" s="3177" t="s">
        <v>3077</v>
      </c>
      <c r="B1" s="3177" t="s">
        <v>3040</v>
      </c>
      <c r="C1" s="3177" t="s">
        <v>3041</v>
      </c>
      <c r="D1" s="3177" t="s">
        <v>3042</v>
      </c>
      <c r="E1" s="3177" t="s">
        <v>2817</v>
      </c>
      <c r="F1" s="3177" t="s">
        <v>3077</v>
      </c>
      <c r="G1" s="3177" t="s">
        <v>3043</v>
      </c>
      <c r="H1" s="3177" t="s">
        <v>3078</v>
      </c>
      <c r="I1" s="3177" t="s">
        <v>3045</v>
      </c>
      <c r="J1" s="3177">
        <v>61851.78</v>
      </c>
      <c r="K1" s="3177">
        <v>123703.56</v>
      </c>
      <c r="L1" s="3177">
        <v>2</v>
      </c>
      <c r="M1" s="3177" t="s">
        <v>2817</v>
      </c>
      <c r="N1" s="3177" t="s">
        <v>3079</v>
      </c>
      <c r="O1" s="3177" t="s">
        <v>3060</v>
      </c>
      <c r="P1" s="3177" t="s">
        <v>2817</v>
      </c>
      <c r="Q1" s="3177" t="s">
        <v>2817</v>
      </c>
      <c r="R1" s="3177" t="s">
        <v>2817</v>
      </c>
      <c r="S1" s="3177" t="s">
        <v>2817</v>
      </c>
      <c r="T1" s="3177" t="s">
        <v>2817</v>
      </c>
      <c r="U1" s="3177" t="s">
        <v>2817</v>
      </c>
      <c r="V1" s="3177" t="s">
        <v>2817</v>
      </c>
      <c r="W1" s="3177" t="s">
        <v>3049</v>
      </c>
      <c r="X1" s="3177" t="s">
        <v>3072</v>
      </c>
      <c r="Y1" s="3177" t="s">
        <v>3073</v>
      </c>
      <c r="Z1" s="3177" t="s">
        <v>3074</v>
      </c>
      <c r="AA1" s="3177" t="s">
        <v>3074</v>
      </c>
      <c r="AB1" s="3177" t="s">
        <v>3080</v>
      </c>
      <c r="AC1" s="3177" t="s">
        <v>3054</v>
      </c>
      <c r="AD1" s="3177" t="s">
        <v>3081</v>
      </c>
      <c r="AE1" s="3177">
        <v>10000</v>
      </c>
      <c r="AF1" s="3177">
        <v>19669</v>
      </c>
      <c r="AG1" s="3177">
        <v>19669</v>
      </c>
      <c r="AH1" s="3177">
        <v>212</v>
      </c>
      <c r="AI1" s="3177">
        <v>212</v>
      </c>
      <c r="AJ1" s="3177">
        <v>1590.01</v>
      </c>
      <c r="AK1" s="3177">
        <v>1590</v>
      </c>
      <c r="AL1" s="3177" t="s">
        <v>2817</v>
      </c>
      <c r="AM1" s="3177" t="s">
        <v>2817</v>
      </c>
      <c r="AN1" s="3177">
        <v>0</v>
      </c>
      <c r="AO1" s="3177" t="s">
        <v>3056</v>
      </c>
      <c r="AP1" s="3177" t="s">
        <v>2817</v>
      </c>
      <c r="AQ1" s="3177" t="s">
        <v>2817</v>
      </c>
      <c r="AR1" s="3177" t="s">
        <v>2817</v>
      </c>
    </row>
    <row r="2" spans="1:44">
      <c r="A2" s="3177" t="s">
        <v>3089</v>
      </c>
      <c r="B2" s="3177" t="s">
        <v>3040</v>
      </c>
      <c r="C2" s="3177" t="s">
        <v>3041</v>
      </c>
      <c r="D2" s="3177" t="s">
        <v>3042</v>
      </c>
      <c r="E2" s="3177" t="s">
        <v>2817</v>
      </c>
      <c r="F2" s="3177" t="s">
        <v>3089</v>
      </c>
      <c r="G2" s="3177" t="s">
        <v>3043</v>
      </c>
      <c r="H2" s="3177" t="s">
        <v>3096</v>
      </c>
      <c r="I2" s="3177" t="s">
        <v>3045</v>
      </c>
      <c r="J2" s="3177">
        <v>42958.67</v>
      </c>
      <c r="K2" s="3177">
        <v>103100.81</v>
      </c>
      <c r="L2" s="3177">
        <v>2.4</v>
      </c>
      <c r="M2" s="3177" t="s">
        <v>2817</v>
      </c>
      <c r="N2" s="3177" t="s">
        <v>3070</v>
      </c>
      <c r="O2" s="3177" t="s">
        <v>3060</v>
      </c>
      <c r="P2" s="3177" t="s">
        <v>2817</v>
      </c>
      <c r="Q2" s="3177" t="s">
        <v>2817</v>
      </c>
      <c r="R2" s="3177" t="s">
        <v>2817</v>
      </c>
      <c r="S2" s="3177" t="s">
        <v>2817</v>
      </c>
      <c r="T2" s="3177" t="s">
        <v>2817</v>
      </c>
      <c r="U2" s="3177" t="s">
        <v>2817</v>
      </c>
      <c r="V2" s="3177" t="s">
        <v>2817</v>
      </c>
      <c r="W2" s="3177" t="s">
        <v>3049</v>
      </c>
      <c r="X2" s="3177" t="s">
        <v>3092</v>
      </c>
      <c r="Y2" s="3177" t="s">
        <v>3093</v>
      </c>
      <c r="Z2" s="3177" t="s">
        <v>3062</v>
      </c>
      <c r="AA2" s="3177" t="s">
        <v>3062</v>
      </c>
      <c r="AB2" s="3177" t="s">
        <v>3094</v>
      </c>
      <c r="AC2" s="3177" t="s">
        <v>3054</v>
      </c>
      <c r="AD2" s="3177" t="s">
        <v>3095</v>
      </c>
      <c r="AE2" s="3177">
        <v>7400</v>
      </c>
      <c r="AF2" s="3177">
        <v>14748</v>
      </c>
      <c r="AG2" s="3177">
        <v>14748</v>
      </c>
      <c r="AH2" s="3177">
        <v>228.87</v>
      </c>
      <c r="AI2" s="3177">
        <v>228.87</v>
      </c>
      <c r="AJ2" s="3177">
        <v>1430.44</v>
      </c>
      <c r="AK2" s="3177">
        <v>1430.44</v>
      </c>
      <c r="AL2" s="3177" t="s">
        <v>2817</v>
      </c>
      <c r="AM2" s="3177" t="s">
        <v>2817</v>
      </c>
      <c r="AN2" s="3177">
        <v>0</v>
      </c>
      <c r="AO2" s="3177" t="s">
        <v>3056</v>
      </c>
      <c r="AP2" s="3177" t="s">
        <v>2817</v>
      </c>
      <c r="AQ2" s="3177" t="s">
        <v>2817</v>
      </c>
      <c r="AR2" s="3177" t="s">
        <v>2817</v>
      </c>
    </row>
    <row r="3" spans="1:44">
      <c r="A3" s="3178" t="s">
        <v>3235</v>
      </c>
      <c r="B3" s="3177" t="s">
        <v>3040</v>
      </c>
      <c r="C3" s="3177" t="s">
        <v>3041</v>
      </c>
      <c r="D3" s="3177" t="s">
        <v>3042</v>
      </c>
      <c r="E3" s="3177" t="s">
        <v>2817</v>
      </c>
      <c r="F3" s="3177" t="s">
        <v>3097</v>
      </c>
      <c r="G3" s="3177" t="s">
        <v>3043</v>
      </c>
      <c r="H3" s="3177" t="s">
        <v>3098</v>
      </c>
      <c r="I3" s="3177" t="s">
        <v>3045</v>
      </c>
      <c r="J3" s="3177">
        <v>16761.43</v>
      </c>
      <c r="K3" s="3177">
        <v>47770.080000000002</v>
      </c>
      <c r="L3" s="3177">
        <v>2.85</v>
      </c>
      <c r="M3" s="3177" t="s">
        <v>2817</v>
      </c>
      <c r="N3" s="3177" t="s">
        <v>3070</v>
      </c>
      <c r="O3" s="3177" t="s">
        <v>3100</v>
      </c>
      <c r="P3" s="3177" t="s">
        <v>2817</v>
      </c>
      <c r="Q3" s="3177" t="s">
        <v>2817</v>
      </c>
      <c r="R3" s="3177" t="s">
        <v>2817</v>
      </c>
      <c r="S3" s="3177" t="s">
        <v>2817</v>
      </c>
      <c r="T3" s="3177" t="s">
        <v>2817</v>
      </c>
      <c r="U3" s="3177" t="s">
        <v>2817</v>
      </c>
      <c r="V3" s="3177" t="s">
        <v>2817</v>
      </c>
      <c r="W3" s="3177" t="s">
        <v>3049</v>
      </c>
      <c r="X3" s="3177" t="s">
        <v>3101</v>
      </c>
      <c r="Y3" s="3177" t="s">
        <v>3102</v>
      </c>
      <c r="Z3" s="3177" t="s">
        <v>3103</v>
      </c>
      <c r="AA3" s="3177" t="s">
        <v>3103</v>
      </c>
      <c r="AB3" s="3177" t="s">
        <v>3104</v>
      </c>
      <c r="AC3" s="3177" t="s">
        <v>3054</v>
      </c>
      <c r="AD3" s="3177" t="s">
        <v>3105</v>
      </c>
      <c r="AE3" s="3177">
        <v>3000</v>
      </c>
      <c r="AF3" s="3177">
        <v>5963</v>
      </c>
      <c r="AG3" s="3177">
        <v>5963</v>
      </c>
      <c r="AH3" s="3177">
        <v>237.17</v>
      </c>
      <c r="AI3" s="3177">
        <v>237.17</v>
      </c>
      <c r="AJ3" s="3177">
        <v>1248.27</v>
      </c>
      <c r="AK3" s="3177">
        <v>1248.26</v>
      </c>
      <c r="AL3" s="3177" t="s">
        <v>2817</v>
      </c>
      <c r="AM3" s="3177" t="s">
        <v>2817</v>
      </c>
      <c r="AN3" s="3177">
        <v>0</v>
      </c>
      <c r="AO3" s="3177" t="s">
        <v>3056</v>
      </c>
      <c r="AP3" s="3177" t="s">
        <v>2817</v>
      </c>
      <c r="AQ3" s="3177" t="s">
        <v>2817</v>
      </c>
      <c r="AR3" s="3177" t="s">
        <v>2817</v>
      </c>
    </row>
    <row r="5" spans="1:44">
      <c r="A5" s="3177" t="s">
        <v>2996</v>
      </c>
      <c r="B5" s="3177" t="s">
        <v>2997</v>
      </c>
      <c r="C5" s="3177" t="s">
        <v>2998</v>
      </c>
      <c r="D5" s="3177" t="s">
        <v>2999</v>
      </c>
      <c r="E5" s="3177" t="s">
        <v>3000</v>
      </c>
      <c r="F5" s="3177" t="s">
        <v>3001</v>
      </c>
      <c r="G5" s="3177" t="s">
        <v>3002</v>
      </c>
      <c r="H5" s="3177" t="s">
        <v>3003</v>
      </c>
      <c r="I5" s="3177" t="s">
        <v>3004</v>
      </c>
      <c r="J5" s="3177" t="s">
        <v>3005</v>
      </c>
      <c r="K5" s="3177" t="s">
        <v>3006</v>
      </c>
      <c r="L5" s="3177" t="s">
        <v>2033</v>
      </c>
      <c r="M5" s="3177" t="s">
        <v>3007</v>
      </c>
      <c r="N5" s="3177" t="s">
        <v>3008</v>
      </c>
      <c r="O5" s="3177" t="s">
        <v>3009</v>
      </c>
      <c r="P5" s="3177" t="s">
        <v>3010</v>
      </c>
      <c r="Q5" s="3177" t="s">
        <v>3011</v>
      </c>
      <c r="R5" s="3177" t="s">
        <v>3012</v>
      </c>
      <c r="S5" s="3177" t="s">
        <v>3013</v>
      </c>
      <c r="T5" s="3177" t="s">
        <v>3014</v>
      </c>
      <c r="U5" s="3177" t="s">
        <v>3015</v>
      </c>
      <c r="V5" s="3177" t="s">
        <v>3016</v>
      </c>
      <c r="W5" s="3177" t="s">
        <v>3017</v>
      </c>
      <c r="X5" s="3177" t="s">
        <v>3018</v>
      </c>
      <c r="Y5" s="3177" t="s">
        <v>3019</v>
      </c>
      <c r="Z5" s="3177" t="s">
        <v>3020</v>
      </c>
      <c r="AA5" s="3177" t="s">
        <v>3021</v>
      </c>
      <c r="AB5" s="3177" t="s">
        <v>3022</v>
      </c>
      <c r="AC5" s="3177" t="s">
        <v>3023</v>
      </c>
      <c r="AD5" s="3177" t="s">
        <v>3024</v>
      </c>
      <c r="AE5" s="3177" t="s">
        <v>3025</v>
      </c>
      <c r="AF5" s="3177" t="s">
        <v>3026</v>
      </c>
      <c r="AG5" s="3177" t="s">
        <v>3027</v>
      </c>
      <c r="AH5" s="3177" t="s">
        <v>3028</v>
      </c>
      <c r="AI5" s="3177" t="s">
        <v>3029</v>
      </c>
      <c r="AJ5" s="3177" t="s">
        <v>3030</v>
      </c>
      <c r="AK5" s="3177" t="s">
        <v>3031</v>
      </c>
      <c r="AL5" s="3177" t="s">
        <v>3032</v>
      </c>
      <c r="AM5" s="3177" t="s">
        <v>3033</v>
      </c>
      <c r="AN5" s="3177" t="s">
        <v>3034</v>
      </c>
      <c r="AO5" s="3177" t="s">
        <v>3035</v>
      </c>
      <c r="AP5" s="3177" t="s">
        <v>3036</v>
      </c>
      <c r="AQ5" s="3177" t="s">
        <v>3037</v>
      </c>
      <c r="AR5" s="3177" t="s">
        <v>3038</v>
      </c>
    </row>
    <row r="6" spans="1:44">
      <c r="A6" s="3178" t="s">
        <v>3234</v>
      </c>
      <c r="B6" s="3177" t="s">
        <v>3040</v>
      </c>
      <c r="C6" s="3177" t="s">
        <v>3041</v>
      </c>
      <c r="D6" s="3177" t="s">
        <v>3042</v>
      </c>
      <c r="E6" s="3177" t="s">
        <v>2817</v>
      </c>
      <c r="F6" s="3177" t="s">
        <v>3039</v>
      </c>
      <c r="G6" s="3177" t="s">
        <v>3043</v>
      </c>
      <c r="H6" s="3177" t="s">
        <v>3044</v>
      </c>
      <c r="I6" s="3177" t="s">
        <v>3045</v>
      </c>
      <c r="J6" s="3177">
        <v>44363.93</v>
      </c>
      <c r="K6" s="3177">
        <v>88727.86</v>
      </c>
      <c r="L6" s="3177" t="s">
        <v>3046</v>
      </c>
      <c r="M6" s="3177" t="s">
        <v>2817</v>
      </c>
      <c r="N6" s="3177" t="s">
        <v>3047</v>
      </c>
      <c r="O6" s="3177" t="s">
        <v>3048</v>
      </c>
      <c r="P6" s="3177" t="s">
        <v>2817</v>
      </c>
      <c r="Q6" s="3177" t="s">
        <v>2817</v>
      </c>
      <c r="R6" s="3177" t="s">
        <v>2817</v>
      </c>
      <c r="S6" s="3177" t="s">
        <v>2817</v>
      </c>
      <c r="T6" s="3177" t="s">
        <v>2817</v>
      </c>
      <c r="U6" s="3177" t="s">
        <v>2817</v>
      </c>
      <c r="V6" s="3177" t="s">
        <v>2817</v>
      </c>
      <c r="W6" s="3177" t="s">
        <v>3049</v>
      </c>
      <c r="X6" s="3177" t="s">
        <v>3050</v>
      </c>
      <c r="Y6" s="3177" t="s">
        <v>3051</v>
      </c>
      <c r="Z6" s="3177" t="s">
        <v>3052</v>
      </c>
      <c r="AA6" s="3177" t="s">
        <v>3052</v>
      </c>
      <c r="AB6" s="3177" t="s">
        <v>3053</v>
      </c>
      <c r="AC6" s="3177" t="s">
        <v>3054</v>
      </c>
      <c r="AD6" s="3177" t="s">
        <v>3055</v>
      </c>
      <c r="AE6" s="3177">
        <v>6600</v>
      </c>
      <c r="AF6" s="3177">
        <v>13044</v>
      </c>
      <c r="AG6" s="3177">
        <v>13044</v>
      </c>
      <c r="AH6" s="3177">
        <v>196.02</v>
      </c>
      <c r="AI6" s="3177">
        <v>196.02</v>
      </c>
      <c r="AJ6" s="3177">
        <v>1470.11</v>
      </c>
      <c r="AK6" s="3177">
        <v>1470.1</v>
      </c>
      <c r="AL6" s="3177" t="s">
        <v>2817</v>
      </c>
      <c r="AM6" s="3177" t="s">
        <v>2817</v>
      </c>
      <c r="AN6" s="3177">
        <v>0</v>
      </c>
      <c r="AO6" s="3177" t="s">
        <v>3056</v>
      </c>
      <c r="AP6" s="3177" t="s">
        <v>2817</v>
      </c>
      <c r="AQ6" s="3177" t="s">
        <v>2817</v>
      </c>
      <c r="AR6" s="3177" t="s">
        <v>2817</v>
      </c>
    </row>
    <row r="7" spans="1:44">
      <c r="A7" s="3177" t="s">
        <v>3057</v>
      </c>
      <c r="B7" s="3177" t="s">
        <v>3040</v>
      </c>
      <c r="C7" s="3177" t="s">
        <v>3041</v>
      </c>
      <c r="D7" s="3177" t="s">
        <v>3042</v>
      </c>
      <c r="E7" s="3177" t="s">
        <v>2817</v>
      </c>
      <c r="F7" s="3177" t="s">
        <v>3057</v>
      </c>
      <c r="G7" s="3177" t="s">
        <v>3043</v>
      </c>
      <c r="H7" s="3177" t="s">
        <v>3058</v>
      </c>
      <c r="I7" s="3177" t="s">
        <v>3045</v>
      </c>
      <c r="J7" s="3177">
        <v>2412.06</v>
      </c>
      <c r="K7" s="3177">
        <v>4727.6400000000003</v>
      </c>
      <c r="L7" s="3177" t="s">
        <v>3059</v>
      </c>
      <c r="M7" s="3177" t="s">
        <v>2817</v>
      </c>
      <c r="N7" s="3177" t="s">
        <v>3047</v>
      </c>
      <c r="O7" s="3177" t="s">
        <v>3060</v>
      </c>
      <c r="P7" s="3177" t="s">
        <v>2817</v>
      </c>
      <c r="Q7" s="3177" t="s">
        <v>2817</v>
      </c>
      <c r="R7" s="3177" t="s">
        <v>2817</v>
      </c>
      <c r="S7" s="3177" t="s">
        <v>2817</v>
      </c>
      <c r="T7" s="3177" t="s">
        <v>2817</v>
      </c>
      <c r="U7" s="3177" t="s">
        <v>2817</v>
      </c>
      <c r="V7" s="3177" t="s">
        <v>2817</v>
      </c>
      <c r="W7" s="3177" t="s">
        <v>3049</v>
      </c>
      <c r="X7" s="3177" t="s">
        <v>3061</v>
      </c>
      <c r="Y7" s="3177" t="s">
        <v>3062</v>
      </c>
      <c r="Z7" s="3177" t="s">
        <v>3063</v>
      </c>
      <c r="AA7" s="3177" t="s">
        <v>3063</v>
      </c>
      <c r="AB7" s="3177" t="s">
        <v>3064</v>
      </c>
      <c r="AC7" s="3177" t="s">
        <v>3054</v>
      </c>
      <c r="AD7" s="3177" t="s">
        <v>3065</v>
      </c>
      <c r="AE7" s="3177">
        <v>380</v>
      </c>
      <c r="AF7" s="3177">
        <v>742</v>
      </c>
      <c r="AG7" s="3177">
        <v>742</v>
      </c>
      <c r="AH7" s="3177">
        <v>205.08</v>
      </c>
      <c r="AI7" s="3177">
        <v>205.08</v>
      </c>
      <c r="AJ7" s="3177">
        <v>1569.49</v>
      </c>
      <c r="AK7" s="3177">
        <v>1569.49</v>
      </c>
      <c r="AL7" s="3177" t="s">
        <v>2817</v>
      </c>
      <c r="AM7" s="3177" t="s">
        <v>2817</v>
      </c>
      <c r="AN7" s="3177">
        <v>0</v>
      </c>
      <c r="AO7" s="3177" t="s">
        <v>3056</v>
      </c>
      <c r="AP7" s="3177" t="s">
        <v>2817</v>
      </c>
      <c r="AQ7" s="3177" t="s">
        <v>2817</v>
      </c>
      <c r="AR7" s="3177" t="s">
        <v>2817</v>
      </c>
    </row>
    <row r="8" spans="1:44">
      <c r="A8" s="3177" t="s">
        <v>3057</v>
      </c>
      <c r="B8" s="3177" t="s">
        <v>3040</v>
      </c>
      <c r="C8" s="3177" t="s">
        <v>3041</v>
      </c>
      <c r="D8" s="3177" t="s">
        <v>3042</v>
      </c>
      <c r="E8" s="3177" t="s">
        <v>2817</v>
      </c>
      <c r="F8" s="3177" t="s">
        <v>3057</v>
      </c>
      <c r="G8" s="3177" t="s">
        <v>3043</v>
      </c>
      <c r="H8" s="3177" t="s">
        <v>3066</v>
      </c>
      <c r="I8" s="3177" t="s">
        <v>3045</v>
      </c>
      <c r="J8" s="3177">
        <v>1325.82</v>
      </c>
      <c r="K8" s="3177">
        <v>2598.61</v>
      </c>
      <c r="L8" s="3177" t="s">
        <v>3059</v>
      </c>
      <c r="M8" s="3177" t="s">
        <v>2817</v>
      </c>
      <c r="N8" s="3177" t="s">
        <v>3047</v>
      </c>
      <c r="O8" s="3177" t="s">
        <v>3060</v>
      </c>
      <c r="P8" s="3177" t="s">
        <v>2817</v>
      </c>
      <c r="Q8" s="3177" t="s">
        <v>2817</v>
      </c>
      <c r="R8" s="3177" t="s">
        <v>2817</v>
      </c>
      <c r="S8" s="3177" t="s">
        <v>2817</v>
      </c>
      <c r="T8" s="3177" t="s">
        <v>2817</v>
      </c>
      <c r="U8" s="3177" t="s">
        <v>2817</v>
      </c>
      <c r="V8" s="3177" t="s">
        <v>2817</v>
      </c>
      <c r="W8" s="3177" t="s">
        <v>3049</v>
      </c>
      <c r="X8" s="3177" t="s">
        <v>3061</v>
      </c>
      <c r="Y8" s="3177" t="s">
        <v>3062</v>
      </c>
      <c r="Z8" s="3177" t="s">
        <v>3063</v>
      </c>
      <c r="AA8" s="3177" t="s">
        <v>3063</v>
      </c>
      <c r="AB8" s="3177" t="s">
        <v>3064</v>
      </c>
      <c r="AC8" s="3177" t="s">
        <v>3054</v>
      </c>
      <c r="AD8" s="3177" t="s">
        <v>3065</v>
      </c>
      <c r="AE8" s="3177">
        <v>210</v>
      </c>
      <c r="AF8" s="3177">
        <v>408</v>
      </c>
      <c r="AG8" s="3177">
        <v>408</v>
      </c>
      <c r="AH8" s="3177">
        <v>205.16</v>
      </c>
      <c r="AI8" s="3177">
        <v>205.16</v>
      </c>
      <c r="AJ8" s="3177">
        <v>1570.07</v>
      </c>
      <c r="AK8" s="3177">
        <v>1570.06</v>
      </c>
      <c r="AL8" s="3177" t="s">
        <v>2817</v>
      </c>
      <c r="AM8" s="3177" t="s">
        <v>2817</v>
      </c>
      <c r="AN8" s="3177">
        <v>0</v>
      </c>
      <c r="AO8" s="3177" t="s">
        <v>3056</v>
      </c>
      <c r="AP8" s="3177" t="s">
        <v>2817</v>
      </c>
      <c r="AQ8" s="3177" t="s">
        <v>2817</v>
      </c>
      <c r="AR8" s="3177" t="s">
        <v>2817</v>
      </c>
    </row>
    <row r="9" spans="1:44">
      <c r="A9" s="3177" t="s">
        <v>3067</v>
      </c>
      <c r="B9" s="3177" t="s">
        <v>3040</v>
      </c>
      <c r="C9" s="3177" t="s">
        <v>3041</v>
      </c>
      <c r="D9" s="3177" t="s">
        <v>3042</v>
      </c>
      <c r="E9" s="3177" t="s">
        <v>2817</v>
      </c>
      <c r="F9" s="3177" t="s">
        <v>3067</v>
      </c>
      <c r="G9" s="3177" t="s">
        <v>3043</v>
      </c>
      <c r="H9" s="3177" t="s">
        <v>3068</v>
      </c>
      <c r="I9" s="3177" t="s">
        <v>3045</v>
      </c>
      <c r="J9" s="3177">
        <v>50223.98</v>
      </c>
      <c r="K9" s="3177">
        <v>125559.95</v>
      </c>
      <c r="L9" s="3177" t="s">
        <v>3069</v>
      </c>
      <c r="M9" s="3177" t="s">
        <v>2817</v>
      </c>
      <c r="N9" s="3177" t="s">
        <v>3070</v>
      </c>
      <c r="O9" s="3177" t="s">
        <v>3071</v>
      </c>
      <c r="P9" s="3177" t="s">
        <v>2817</v>
      </c>
      <c r="Q9" s="3177" t="s">
        <v>2817</v>
      </c>
      <c r="R9" s="3177" t="s">
        <v>2817</v>
      </c>
      <c r="S9" s="3177" t="s">
        <v>2817</v>
      </c>
      <c r="T9" s="3177" t="s">
        <v>2817</v>
      </c>
      <c r="U9" s="3177" t="s">
        <v>2817</v>
      </c>
      <c r="V9" s="3177" t="s">
        <v>2817</v>
      </c>
      <c r="W9" s="3177" t="s">
        <v>3049</v>
      </c>
      <c r="X9" s="3177" t="s">
        <v>3072</v>
      </c>
      <c r="Y9" s="3177" t="s">
        <v>3073</v>
      </c>
      <c r="Z9" s="3177" t="s">
        <v>3074</v>
      </c>
      <c r="AA9" s="3177" t="s">
        <v>3074</v>
      </c>
      <c r="AB9" s="3177" t="s">
        <v>3075</v>
      </c>
      <c r="AC9" s="3177" t="s">
        <v>3054</v>
      </c>
      <c r="AD9" s="3177" t="s">
        <v>3076</v>
      </c>
      <c r="AE9" s="3177">
        <v>7500</v>
      </c>
      <c r="AF9" s="3177">
        <v>14842</v>
      </c>
      <c r="AG9" s="3177">
        <v>14842</v>
      </c>
      <c r="AH9" s="3177">
        <v>197.01</v>
      </c>
      <c r="AI9" s="3177">
        <v>197.01</v>
      </c>
      <c r="AJ9" s="3177">
        <v>1182.06</v>
      </c>
      <c r="AK9" s="3177">
        <v>1182.05</v>
      </c>
      <c r="AL9" s="3177" t="s">
        <v>2817</v>
      </c>
      <c r="AM9" s="3177" t="s">
        <v>2817</v>
      </c>
      <c r="AN9" s="3177">
        <v>0</v>
      </c>
      <c r="AO9" s="3177" t="s">
        <v>3056</v>
      </c>
      <c r="AP9" s="3177" t="s">
        <v>2817</v>
      </c>
      <c r="AQ9" s="3177" t="s">
        <v>2817</v>
      </c>
      <c r="AR9" s="3177" t="s">
        <v>2817</v>
      </c>
    </row>
    <row r="10" spans="1:44">
      <c r="A10" s="3177" t="s">
        <v>3077</v>
      </c>
      <c r="B10" s="3177" t="s">
        <v>3040</v>
      </c>
      <c r="C10" s="3177" t="s">
        <v>3041</v>
      </c>
      <c r="D10" s="3177" t="s">
        <v>3042</v>
      </c>
      <c r="E10" s="3177" t="s">
        <v>2817</v>
      </c>
      <c r="F10" s="3177" t="s">
        <v>3077</v>
      </c>
      <c r="G10" s="3177" t="s">
        <v>3043</v>
      </c>
      <c r="H10" s="3177" t="s">
        <v>3078</v>
      </c>
      <c r="I10" s="3177" t="s">
        <v>3045</v>
      </c>
      <c r="J10" s="3177">
        <v>61851.78</v>
      </c>
      <c r="K10" s="3177">
        <v>123703.56</v>
      </c>
      <c r="L10" s="3177" t="s">
        <v>3046</v>
      </c>
      <c r="M10" s="3177" t="s">
        <v>2817</v>
      </c>
      <c r="N10" s="3177" t="s">
        <v>3079</v>
      </c>
      <c r="O10" s="3177" t="s">
        <v>3060</v>
      </c>
      <c r="P10" s="3177" t="s">
        <v>2817</v>
      </c>
      <c r="Q10" s="3177" t="s">
        <v>2817</v>
      </c>
      <c r="R10" s="3177" t="s">
        <v>2817</v>
      </c>
      <c r="S10" s="3177" t="s">
        <v>2817</v>
      </c>
      <c r="T10" s="3177" t="s">
        <v>2817</v>
      </c>
      <c r="U10" s="3177" t="s">
        <v>2817</v>
      </c>
      <c r="V10" s="3177" t="s">
        <v>2817</v>
      </c>
      <c r="W10" s="3177" t="s">
        <v>3049</v>
      </c>
      <c r="X10" s="3177" t="s">
        <v>3072</v>
      </c>
      <c r="Y10" s="3177" t="s">
        <v>3073</v>
      </c>
      <c r="Z10" s="3177" t="s">
        <v>3074</v>
      </c>
      <c r="AA10" s="3177" t="s">
        <v>3074</v>
      </c>
      <c r="AB10" s="3177" t="s">
        <v>3080</v>
      </c>
      <c r="AC10" s="3177" t="s">
        <v>3054</v>
      </c>
      <c r="AD10" s="3177" t="s">
        <v>3081</v>
      </c>
      <c r="AE10" s="3177">
        <v>10000</v>
      </c>
      <c r="AF10" s="3177">
        <v>19669</v>
      </c>
      <c r="AG10" s="3177">
        <v>19669</v>
      </c>
      <c r="AH10" s="3177">
        <v>212</v>
      </c>
      <c r="AI10" s="3177">
        <v>212</v>
      </c>
      <c r="AJ10" s="3177">
        <v>1590.01</v>
      </c>
      <c r="AK10" s="3177">
        <v>1590</v>
      </c>
      <c r="AL10" s="3177" t="s">
        <v>2817</v>
      </c>
      <c r="AM10" s="3177" t="s">
        <v>2817</v>
      </c>
      <c r="AN10" s="3177">
        <v>0</v>
      </c>
      <c r="AO10" s="3177" t="s">
        <v>3056</v>
      </c>
      <c r="AP10" s="3177" t="s">
        <v>2817</v>
      </c>
      <c r="AQ10" s="3177" t="s">
        <v>2817</v>
      </c>
      <c r="AR10" s="3177" t="s">
        <v>2817</v>
      </c>
    </row>
    <row r="11" spans="1:44">
      <c r="A11" s="3177" t="s">
        <v>3082</v>
      </c>
      <c r="B11" s="3177" t="s">
        <v>3040</v>
      </c>
      <c r="C11" s="3177" t="s">
        <v>3041</v>
      </c>
      <c r="D11" s="3177" t="s">
        <v>3042</v>
      </c>
      <c r="E11" s="3177" t="s">
        <v>2817</v>
      </c>
      <c r="F11" s="3177" t="s">
        <v>3082</v>
      </c>
      <c r="G11" s="3177" t="s">
        <v>3043</v>
      </c>
      <c r="H11" s="3177" t="s">
        <v>3083</v>
      </c>
      <c r="I11" s="3177" t="s">
        <v>3045</v>
      </c>
      <c r="J11" s="3177">
        <v>26355.11</v>
      </c>
      <c r="K11" s="3177">
        <v>52710.22</v>
      </c>
      <c r="L11" s="3177" t="s">
        <v>3046</v>
      </c>
      <c r="M11" s="3177" t="s">
        <v>2817</v>
      </c>
      <c r="N11" s="3177" t="s">
        <v>3079</v>
      </c>
      <c r="O11" s="3177" t="s">
        <v>3084</v>
      </c>
      <c r="P11" s="3177" t="s">
        <v>2817</v>
      </c>
      <c r="Q11" s="3177" t="s">
        <v>2817</v>
      </c>
      <c r="R11" s="3177" t="s">
        <v>2817</v>
      </c>
      <c r="S11" s="3177" t="s">
        <v>2817</v>
      </c>
      <c r="T11" s="3177" t="s">
        <v>2817</v>
      </c>
      <c r="U11" s="3177" t="s">
        <v>2817</v>
      </c>
      <c r="V11" s="3177" t="s">
        <v>2817</v>
      </c>
      <c r="W11" s="3177" t="s">
        <v>3049</v>
      </c>
      <c r="X11" s="3177" t="s">
        <v>3072</v>
      </c>
      <c r="Y11" s="3177" t="s">
        <v>3073</v>
      </c>
      <c r="Z11" s="3177" t="s">
        <v>3074</v>
      </c>
      <c r="AA11" s="3177" t="s">
        <v>3074</v>
      </c>
      <c r="AB11" s="3177" t="s">
        <v>3075</v>
      </c>
      <c r="AC11" s="3177" t="s">
        <v>3054</v>
      </c>
      <c r="AD11" s="3177" t="s">
        <v>3085</v>
      </c>
      <c r="AE11" s="3177">
        <v>3200</v>
      </c>
      <c r="AF11" s="3177">
        <v>6286</v>
      </c>
      <c r="AG11" s="3177">
        <v>6286</v>
      </c>
      <c r="AH11" s="3177">
        <v>159.01</v>
      </c>
      <c r="AI11" s="3177">
        <v>159.01</v>
      </c>
      <c r="AJ11" s="3177">
        <v>1192.55</v>
      </c>
      <c r="AK11" s="3177">
        <v>1192.55</v>
      </c>
      <c r="AL11" s="3177" t="s">
        <v>2817</v>
      </c>
      <c r="AM11" s="3177" t="s">
        <v>2817</v>
      </c>
      <c r="AN11" s="3177">
        <v>0</v>
      </c>
      <c r="AO11" s="3177" t="s">
        <v>3056</v>
      </c>
      <c r="AP11" s="3177" t="s">
        <v>2817</v>
      </c>
      <c r="AQ11" s="3177" t="s">
        <v>2817</v>
      </c>
      <c r="AR11" s="3177" t="s">
        <v>2817</v>
      </c>
    </row>
    <row r="12" spans="1:44">
      <c r="A12" s="3177" t="s">
        <v>3077</v>
      </c>
      <c r="B12" s="3177" t="s">
        <v>3040</v>
      </c>
      <c r="C12" s="3177" t="s">
        <v>3041</v>
      </c>
      <c r="D12" s="3177" t="s">
        <v>3042</v>
      </c>
      <c r="E12" s="3177" t="s">
        <v>2817</v>
      </c>
      <c r="F12" s="3177" t="s">
        <v>3077</v>
      </c>
      <c r="G12" s="3177" t="s">
        <v>3043</v>
      </c>
      <c r="H12" s="3177" t="s">
        <v>3086</v>
      </c>
      <c r="I12" s="3177" t="s">
        <v>3045</v>
      </c>
      <c r="J12" s="3177">
        <v>69204.679999999993</v>
      </c>
      <c r="K12" s="3177">
        <v>138409.35999999999</v>
      </c>
      <c r="L12" s="3177" t="s">
        <v>3046</v>
      </c>
      <c r="M12" s="3177" t="s">
        <v>2817</v>
      </c>
      <c r="N12" s="3177" t="s">
        <v>3079</v>
      </c>
      <c r="O12" s="3177" t="s">
        <v>3060</v>
      </c>
      <c r="P12" s="3177" t="s">
        <v>2817</v>
      </c>
      <c r="Q12" s="3177" t="s">
        <v>2817</v>
      </c>
      <c r="R12" s="3177" t="s">
        <v>2817</v>
      </c>
      <c r="S12" s="3177" t="s">
        <v>2817</v>
      </c>
      <c r="T12" s="3177" t="s">
        <v>2817</v>
      </c>
      <c r="U12" s="3177" t="s">
        <v>2817</v>
      </c>
      <c r="V12" s="3177" t="s">
        <v>2817</v>
      </c>
      <c r="W12" s="3177" t="s">
        <v>3049</v>
      </c>
      <c r="X12" s="3177" t="s">
        <v>3072</v>
      </c>
      <c r="Y12" s="3177" t="s">
        <v>3073</v>
      </c>
      <c r="Z12" s="3177" t="s">
        <v>3074</v>
      </c>
      <c r="AA12" s="3177" t="s">
        <v>3074</v>
      </c>
      <c r="AB12" s="3177" t="s">
        <v>3080</v>
      </c>
      <c r="AC12" s="3177" t="s">
        <v>3054</v>
      </c>
      <c r="AD12" s="3177" t="s">
        <v>3087</v>
      </c>
      <c r="AE12" s="3177">
        <v>11100</v>
      </c>
      <c r="AF12" s="3177">
        <v>22008</v>
      </c>
      <c r="AG12" s="3177">
        <v>22008</v>
      </c>
      <c r="AH12" s="3177">
        <v>212.01</v>
      </c>
      <c r="AI12" s="3177">
        <v>212.01</v>
      </c>
      <c r="AJ12" s="3177">
        <v>1590.06</v>
      </c>
      <c r="AK12" s="3177">
        <v>1590.06</v>
      </c>
      <c r="AL12" s="3177" t="s">
        <v>2817</v>
      </c>
      <c r="AM12" s="3177" t="s">
        <v>2817</v>
      </c>
      <c r="AN12" s="3177">
        <v>0</v>
      </c>
      <c r="AO12" s="3177" t="s">
        <v>3056</v>
      </c>
      <c r="AP12" s="3177" t="s">
        <v>2817</v>
      </c>
      <c r="AQ12" s="3177" t="s">
        <v>2817</v>
      </c>
      <c r="AR12" s="3177" t="s">
        <v>2817</v>
      </c>
    </row>
    <row r="13" spans="1:44">
      <c r="A13" s="3177" t="s">
        <v>3077</v>
      </c>
      <c r="B13" s="3177" t="s">
        <v>3040</v>
      </c>
      <c r="C13" s="3177" t="s">
        <v>3041</v>
      </c>
      <c r="D13" s="3177" t="s">
        <v>3042</v>
      </c>
      <c r="E13" s="3177" t="s">
        <v>2817</v>
      </c>
      <c r="F13" s="3177" t="s">
        <v>3077</v>
      </c>
      <c r="G13" s="3177" t="s">
        <v>3043</v>
      </c>
      <c r="H13" s="3177" t="s">
        <v>3088</v>
      </c>
      <c r="I13" s="3177" t="s">
        <v>3045</v>
      </c>
      <c r="J13" s="3177">
        <v>55252.05</v>
      </c>
      <c r="K13" s="3177">
        <v>110504.1</v>
      </c>
      <c r="L13" s="3177" t="s">
        <v>3046</v>
      </c>
      <c r="M13" s="3177" t="s">
        <v>2817</v>
      </c>
      <c r="N13" s="3177" t="s">
        <v>3079</v>
      </c>
      <c r="O13" s="3177" t="s">
        <v>3060</v>
      </c>
      <c r="P13" s="3177" t="s">
        <v>2817</v>
      </c>
      <c r="Q13" s="3177" t="s">
        <v>2817</v>
      </c>
      <c r="R13" s="3177" t="s">
        <v>2817</v>
      </c>
      <c r="S13" s="3177" t="s">
        <v>2817</v>
      </c>
      <c r="T13" s="3177" t="s">
        <v>2817</v>
      </c>
      <c r="U13" s="3177" t="s">
        <v>2817</v>
      </c>
      <c r="V13" s="3177" t="s">
        <v>2817</v>
      </c>
      <c r="W13" s="3177" t="s">
        <v>3049</v>
      </c>
      <c r="X13" s="3177" t="s">
        <v>3072</v>
      </c>
      <c r="Y13" s="3177" t="s">
        <v>3073</v>
      </c>
      <c r="Z13" s="3177" t="s">
        <v>3074</v>
      </c>
      <c r="AA13" s="3177" t="s">
        <v>3074</v>
      </c>
      <c r="AB13" s="3177" t="s">
        <v>3080</v>
      </c>
      <c r="AC13" s="3177" t="s">
        <v>3054</v>
      </c>
      <c r="AD13" s="3177" t="s">
        <v>3081</v>
      </c>
      <c r="AE13" s="3177">
        <v>8800</v>
      </c>
      <c r="AF13" s="3177">
        <v>17571</v>
      </c>
      <c r="AG13" s="3177">
        <v>17571</v>
      </c>
      <c r="AH13" s="3177">
        <v>212.01</v>
      </c>
      <c r="AI13" s="3177">
        <v>212.01</v>
      </c>
      <c r="AJ13" s="3177">
        <v>1590.07</v>
      </c>
      <c r="AK13" s="3177">
        <v>1590.07</v>
      </c>
      <c r="AL13" s="3177" t="s">
        <v>2817</v>
      </c>
      <c r="AM13" s="3177" t="s">
        <v>2817</v>
      </c>
      <c r="AN13" s="3177">
        <v>0</v>
      </c>
      <c r="AO13" s="3177" t="s">
        <v>3056</v>
      </c>
      <c r="AP13" s="3177" t="s">
        <v>2817</v>
      </c>
      <c r="AQ13" s="3177" t="s">
        <v>2817</v>
      </c>
      <c r="AR13" s="3177" t="s">
        <v>2817</v>
      </c>
    </row>
    <row r="14" spans="1:44">
      <c r="A14" s="3177" t="s">
        <v>3089</v>
      </c>
      <c r="B14" s="3177" t="s">
        <v>3040</v>
      </c>
      <c r="C14" s="3177" t="s">
        <v>3041</v>
      </c>
      <c r="D14" s="3177" t="s">
        <v>3042</v>
      </c>
      <c r="E14" s="3177" t="s">
        <v>2817</v>
      </c>
      <c r="F14" s="3177" t="s">
        <v>3089</v>
      </c>
      <c r="G14" s="3177" t="s">
        <v>3043</v>
      </c>
      <c r="H14" s="3177" t="s">
        <v>3090</v>
      </c>
      <c r="I14" s="3177" t="s">
        <v>3045</v>
      </c>
      <c r="J14" s="3177">
        <v>605.28</v>
      </c>
      <c r="K14" s="3177">
        <v>1452.67</v>
      </c>
      <c r="L14" s="3177" t="s">
        <v>3091</v>
      </c>
      <c r="M14" s="3177" t="s">
        <v>2817</v>
      </c>
      <c r="N14" s="3177" t="s">
        <v>3070</v>
      </c>
      <c r="O14" s="3177" t="s">
        <v>3060</v>
      </c>
      <c r="P14" s="3177" t="s">
        <v>2817</v>
      </c>
      <c r="Q14" s="3177" t="s">
        <v>2817</v>
      </c>
      <c r="R14" s="3177" t="s">
        <v>2817</v>
      </c>
      <c r="S14" s="3177" t="s">
        <v>2817</v>
      </c>
      <c r="T14" s="3177" t="s">
        <v>2817</v>
      </c>
      <c r="U14" s="3177" t="s">
        <v>2817</v>
      </c>
      <c r="V14" s="3177" t="s">
        <v>2817</v>
      </c>
      <c r="W14" s="3177" t="s">
        <v>3049</v>
      </c>
      <c r="X14" s="3177" t="s">
        <v>3092</v>
      </c>
      <c r="Y14" s="3177" t="s">
        <v>3093</v>
      </c>
      <c r="Z14" s="3177" t="s">
        <v>3062</v>
      </c>
      <c r="AA14" s="3177" t="s">
        <v>3062</v>
      </c>
      <c r="AB14" s="3177" t="s">
        <v>3094</v>
      </c>
      <c r="AC14" s="3177" t="s">
        <v>3054</v>
      </c>
      <c r="AD14" s="3177" t="s">
        <v>3095</v>
      </c>
      <c r="AE14" s="3177">
        <v>105</v>
      </c>
      <c r="AF14" s="3177">
        <v>208</v>
      </c>
      <c r="AG14" s="3177">
        <v>208</v>
      </c>
      <c r="AH14" s="3177">
        <v>229.1</v>
      </c>
      <c r="AI14" s="3177">
        <v>229.1</v>
      </c>
      <c r="AJ14" s="3177">
        <v>1431.84</v>
      </c>
      <c r="AK14" s="3177">
        <v>1431.84</v>
      </c>
      <c r="AL14" s="3177" t="s">
        <v>2817</v>
      </c>
      <c r="AM14" s="3177" t="s">
        <v>2817</v>
      </c>
      <c r="AN14" s="3177">
        <v>0</v>
      </c>
      <c r="AO14" s="3177" t="s">
        <v>3056</v>
      </c>
      <c r="AP14" s="3177" t="s">
        <v>2817</v>
      </c>
      <c r="AQ14" s="3177" t="s">
        <v>2817</v>
      </c>
      <c r="AR14" s="3177" t="s">
        <v>2817</v>
      </c>
    </row>
    <row r="15" spans="1:44">
      <c r="A15" s="3177" t="s">
        <v>3089</v>
      </c>
      <c r="B15" s="3177" t="s">
        <v>3040</v>
      </c>
      <c r="C15" s="3177" t="s">
        <v>3041</v>
      </c>
      <c r="D15" s="3177" t="s">
        <v>3042</v>
      </c>
      <c r="E15" s="3177" t="s">
        <v>2817</v>
      </c>
      <c r="F15" s="3177" t="s">
        <v>3089</v>
      </c>
      <c r="G15" s="3177" t="s">
        <v>3043</v>
      </c>
      <c r="H15" s="3177" t="s">
        <v>3096</v>
      </c>
      <c r="I15" s="3177" t="s">
        <v>3045</v>
      </c>
      <c r="J15" s="3177">
        <v>42958.67</v>
      </c>
      <c r="K15" s="3177">
        <v>103100.81</v>
      </c>
      <c r="L15" s="3177" t="s">
        <v>3091</v>
      </c>
      <c r="M15" s="3177" t="s">
        <v>2817</v>
      </c>
      <c r="N15" s="3177" t="s">
        <v>3070</v>
      </c>
      <c r="O15" s="3177" t="s">
        <v>3060</v>
      </c>
      <c r="P15" s="3177" t="s">
        <v>2817</v>
      </c>
      <c r="Q15" s="3177" t="s">
        <v>2817</v>
      </c>
      <c r="R15" s="3177" t="s">
        <v>2817</v>
      </c>
      <c r="S15" s="3177" t="s">
        <v>2817</v>
      </c>
      <c r="T15" s="3177" t="s">
        <v>2817</v>
      </c>
      <c r="U15" s="3177" t="s">
        <v>2817</v>
      </c>
      <c r="V15" s="3177" t="s">
        <v>2817</v>
      </c>
      <c r="W15" s="3177" t="s">
        <v>3049</v>
      </c>
      <c r="X15" s="3177" t="s">
        <v>3092</v>
      </c>
      <c r="Y15" s="3177" t="s">
        <v>3093</v>
      </c>
      <c r="Z15" s="3177" t="s">
        <v>3062</v>
      </c>
      <c r="AA15" s="3177" t="s">
        <v>3062</v>
      </c>
      <c r="AB15" s="3177" t="s">
        <v>3094</v>
      </c>
      <c r="AC15" s="3177" t="s">
        <v>3054</v>
      </c>
      <c r="AD15" s="3177" t="s">
        <v>3095</v>
      </c>
      <c r="AE15" s="3177">
        <v>7400</v>
      </c>
      <c r="AF15" s="3177">
        <v>14748</v>
      </c>
      <c r="AG15" s="3177">
        <v>14748</v>
      </c>
      <c r="AH15" s="3177">
        <v>228.87</v>
      </c>
      <c r="AI15" s="3177">
        <v>228.87</v>
      </c>
      <c r="AJ15" s="3177">
        <v>1430.44</v>
      </c>
      <c r="AK15" s="3177">
        <v>1430.44</v>
      </c>
      <c r="AL15" s="3177" t="s">
        <v>2817</v>
      </c>
      <c r="AM15" s="3177" t="s">
        <v>2817</v>
      </c>
      <c r="AN15" s="3177">
        <v>0</v>
      </c>
      <c r="AO15" s="3177" t="s">
        <v>3056</v>
      </c>
      <c r="AP15" s="3177" t="s">
        <v>2817</v>
      </c>
      <c r="AQ15" s="3177" t="s">
        <v>2817</v>
      </c>
      <c r="AR15" s="3177" t="s">
        <v>2817</v>
      </c>
    </row>
    <row r="16" spans="1:44">
      <c r="A16" s="3178" t="s">
        <v>3235</v>
      </c>
      <c r="B16" s="3177" t="s">
        <v>3040</v>
      </c>
      <c r="C16" s="3177" t="s">
        <v>3041</v>
      </c>
      <c r="D16" s="3177" t="s">
        <v>3042</v>
      </c>
      <c r="E16" s="3177" t="s">
        <v>2817</v>
      </c>
      <c r="F16" s="3177" t="s">
        <v>3097</v>
      </c>
      <c r="G16" s="3177" t="s">
        <v>3043</v>
      </c>
      <c r="H16" s="3177" t="s">
        <v>3098</v>
      </c>
      <c r="I16" s="3177" t="s">
        <v>3045</v>
      </c>
      <c r="J16" s="3177">
        <v>16761.43</v>
      </c>
      <c r="K16" s="3177">
        <v>47770.080000000002</v>
      </c>
      <c r="L16" s="3177" t="s">
        <v>3099</v>
      </c>
      <c r="M16" s="3177" t="s">
        <v>2817</v>
      </c>
      <c r="N16" s="3177" t="s">
        <v>3070</v>
      </c>
      <c r="O16" s="3177" t="s">
        <v>3100</v>
      </c>
      <c r="P16" s="3177" t="s">
        <v>2817</v>
      </c>
      <c r="Q16" s="3177" t="s">
        <v>2817</v>
      </c>
      <c r="R16" s="3177" t="s">
        <v>2817</v>
      </c>
      <c r="S16" s="3177" t="s">
        <v>2817</v>
      </c>
      <c r="T16" s="3177" t="s">
        <v>2817</v>
      </c>
      <c r="U16" s="3177" t="s">
        <v>2817</v>
      </c>
      <c r="V16" s="3177" t="s">
        <v>2817</v>
      </c>
      <c r="W16" s="3177" t="s">
        <v>3049</v>
      </c>
      <c r="X16" s="3177" t="s">
        <v>3101</v>
      </c>
      <c r="Y16" s="3177" t="s">
        <v>3102</v>
      </c>
      <c r="Z16" s="3177" t="s">
        <v>3103</v>
      </c>
      <c r="AA16" s="3177" t="s">
        <v>3103</v>
      </c>
      <c r="AB16" s="3177" t="s">
        <v>3104</v>
      </c>
      <c r="AC16" s="3177" t="s">
        <v>3054</v>
      </c>
      <c r="AD16" s="3177" t="s">
        <v>3105</v>
      </c>
      <c r="AE16" s="3177">
        <v>3000</v>
      </c>
      <c r="AF16" s="3177">
        <v>5963</v>
      </c>
      <c r="AG16" s="3177">
        <v>5963</v>
      </c>
      <c r="AH16" s="3177">
        <v>237.17</v>
      </c>
      <c r="AI16" s="3177">
        <v>237.17</v>
      </c>
      <c r="AJ16" s="3177">
        <v>1248.27</v>
      </c>
      <c r="AK16" s="3177">
        <v>1248.26</v>
      </c>
      <c r="AL16" s="3177" t="s">
        <v>2817</v>
      </c>
      <c r="AM16" s="3177" t="s">
        <v>2817</v>
      </c>
      <c r="AN16" s="3177">
        <v>0</v>
      </c>
      <c r="AO16" s="3177" t="s">
        <v>3056</v>
      </c>
      <c r="AP16" s="3177" t="s">
        <v>2817</v>
      </c>
      <c r="AQ16" s="3177" t="s">
        <v>2817</v>
      </c>
      <c r="AR16" s="3177" t="s">
        <v>2817</v>
      </c>
    </row>
    <row r="17" spans="1:44">
      <c r="A17" s="3177" t="s">
        <v>3106</v>
      </c>
      <c r="B17" s="3177" t="s">
        <v>3040</v>
      </c>
      <c r="C17" s="3177" t="s">
        <v>3041</v>
      </c>
      <c r="D17" s="3177" t="s">
        <v>3042</v>
      </c>
      <c r="E17" s="3177" t="s">
        <v>2817</v>
      </c>
      <c r="F17" s="3177" t="s">
        <v>3106</v>
      </c>
      <c r="G17" s="3177" t="s">
        <v>3043</v>
      </c>
      <c r="H17" s="3177" t="s">
        <v>3107</v>
      </c>
      <c r="I17" s="3177" t="s">
        <v>3045</v>
      </c>
      <c r="J17" s="3177">
        <v>50601</v>
      </c>
      <c r="K17" s="3177">
        <v>101202</v>
      </c>
      <c r="L17" s="3177" t="s">
        <v>3046</v>
      </c>
      <c r="M17" s="3177" t="s">
        <v>2817</v>
      </c>
      <c r="N17" s="3177" t="s">
        <v>3079</v>
      </c>
      <c r="O17" s="3177" t="s">
        <v>3048</v>
      </c>
      <c r="P17" s="3177" t="s">
        <v>2817</v>
      </c>
      <c r="Q17" s="3177" t="s">
        <v>2817</v>
      </c>
      <c r="R17" s="3177" t="s">
        <v>2817</v>
      </c>
      <c r="S17" s="3177" t="s">
        <v>2817</v>
      </c>
      <c r="T17" s="3177" t="s">
        <v>2817</v>
      </c>
      <c r="U17" s="3177" t="s">
        <v>2817</v>
      </c>
      <c r="V17" s="3177" t="s">
        <v>2817</v>
      </c>
      <c r="W17" s="3177" t="s">
        <v>3049</v>
      </c>
      <c r="X17" s="3177" t="s">
        <v>3101</v>
      </c>
      <c r="Y17" s="3177" t="s">
        <v>3102</v>
      </c>
      <c r="Z17" s="3177" t="s">
        <v>3103</v>
      </c>
      <c r="AA17" s="3177" t="s">
        <v>3103</v>
      </c>
      <c r="AB17" s="3177" t="s">
        <v>3108</v>
      </c>
      <c r="AC17" s="3177" t="s">
        <v>3054</v>
      </c>
      <c r="AD17" s="3177" t="s">
        <v>3109</v>
      </c>
      <c r="AE17" s="3177">
        <v>4500</v>
      </c>
      <c r="AF17" s="3177">
        <v>8153</v>
      </c>
      <c r="AG17" s="3177">
        <v>8153</v>
      </c>
      <c r="AH17" s="3177">
        <v>107.42</v>
      </c>
      <c r="AI17" s="3177">
        <v>107.42</v>
      </c>
      <c r="AJ17" s="3177">
        <v>805.61</v>
      </c>
      <c r="AK17" s="3177">
        <v>805.62</v>
      </c>
      <c r="AL17" s="3177" t="s">
        <v>2817</v>
      </c>
      <c r="AM17" s="3177" t="s">
        <v>2817</v>
      </c>
      <c r="AN17" s="3177">
        <v>0</v>
      </c>
      <c r="AO17" s="3177" t="s">
        <v>3056</v>
      </c>
      <c r="AP17" s="3177" t="s">
        <v>2817</v>
      </c>
      <c r="AQ17" s="3177" t="s">
        <v>2817</v>
      </c>
      <c r="AR17" s="3177" t="s">
        <v>2817</v>
      </c>
    </row>
    <row r="18" spans="1:44">
      <c r="A18" s="3177" t="s">
        <v>3106</v>
      </c>
      <c r="B18" s="3177" t="s">
        <v>3040</v>
      </c>
      <c r="C18" s="3177" t="s">
        <v>3041</v>
      </c>
      <c r="D18" s="3177" t="s">
        <v>3042</v>
      </c>
      <c r="E18" s="3177" t="s">
        <v>2817</v>
      </c>
      <c r="F18" s="3177" t="s">
        <v>3106</v>
      </c>
      <c r="G18" s="3177" t="s">
        <v>3043</v>
      </c>
      <c r="H18" s="3177" t="s">
        <v>3110</v>
      </c>
      <c r="I18" s="3177" t="s">
        <v>3045</v>
      </c>
      <c r="J18" s="3177">
        <v>31582</v>
      </c>
      <c r="K18" s="3177">
        <v>63164</v>
      </c>
      <c r="L18" s="3177" t="s">
        <v>3046</v>
      </c>
      <c r="M18" s="3177" t="s">
        <v>2817</v>
      </c>
      <c r="N18" s="3177" t="s">
        <v>3079</v>
      </c>
      <c r="O18" s="3177" t="s">
        <v>3048</v>
      </c>
      <c r="P18" s="3177" t="s">
        <v>2817</v>
      </c>
      <c r="Q18" s="3177" t="s">
        <v>2817</v>
      </c>
      <c r="R18" s="3177" t="s">
        <v>2817</v>
      </c>
      <c r="S18" s="3177" t="s">
        <v>2817</v>
      </c>
      <c r="T18" s="3177" t="s">
        <v>2817</v>
      </c>
      <c r="U18" s="3177" t="s">
        <v>2817</v>
      </c>
      <c r="V18" s="3177" t="s">
        <v>2817</v>
      </c>
      <c r="W18" s="3177" t="s">
        <v>3049</v>
      </c>
      <c r="X18" s="3177" t="s">
        <v>3101</v>
      </c>
      <c r="Y18" s="3177" t="s">
        <v>3102</v>
      </c>
      <c r="Z18" s="3177" t="s">
        <v>3103</v>
      </c>
      <c r="AA18" s="3177" t="s">
        <v>3103</v>
      </c>
      <c r="AB18" s="3177" t="s">
        <v>3108</v>
      </c>
      <c r="AC18" s="3177" t="s">
        <v>3054</v>
      </c>
      <c r="AD18" s="3177" t="s">
        <v>3109</v>
      </c>
      <c r="AE18" s="3177">
        <v>3000</v>
      </c>
      <c r="AF18" s="3177">
        <v>5089</v>
      </c>
      <c r="AG18" s="3177">
        <v>5089</v>
      </c>
      <c r="AH18" s="3177">
        <v>107.42</v>
      </c>
      <c r="AI18" s="3177">
        <v>107.42</v>
      </c>
      <c r="AJ18" s="3177">
        <v>805.68</v>
      </c>
      <c r="AK18" s="3177">
        <v>805.67</v>
      </c>
      <c r="AL18" s="3177" t="s">
        <v>2817</v>
      </c>
      <c r="AM18" s="3177" t="s">
        <v>2817</v>
      </c>
      <c r="AN18" s="3177">
        <v>0</v>
      </c>
      <c r="AO18" s="3177" t="s">
        <v>3056</v>
      </c>
      <c r="AP18" s="3177" t="s">
        <v>2817</v>
      </c>
      <c r="AQ18" s="3177" t="s">
        <v>2817</v>
      </c>
      <c r="AR18" s="3177" t="s">
        <v>2817</v>
      </c>
    </row>
    <row r="19" spans="1:44">
      <c r="A19" s="3177" t="s">
        <v>3106</v>
      </c>
      <c r="B19" s="3177" t="s">
        <v>3040</v>
      </c>
      <c r="C19" s="3177" t="s">
        <v>3041</v>
      </c>
      <c r="D19" s="3177" t="s">
        <v>3042</v>
      </c>
      <c r="E19" s="3177" t="s">
        <v>2817</v>
      </c>
      <c r="F19" s="3177" t="s">
        <v>3106</v>
      </c>
      <c r="G19" s="3177" t="s">
        <v>3043</v>
      </c>
      <c r="H19" s="3177" t="s">
        <v>3111</v>
      </c>
      <c r="I19" s="3177" t="s">
        <v>3045</v>
      </c>
      <c r="J19" s="3177">
        <v>4095</v>
      </c>
      <c r="K19" s="3177">
        <v>8190</v>
      </c>
      <c r="L19" s="3177" t="s">
        <v>3046</v>
      </c>
      <c r="M19" s="3177" t="s">
        <v>2817</v>
      </c>
      <c r="N19" s="3177" t="s">
        <v>3079</v>
      </c>
      <c r="O19" s="3177" t="s">
        <v>3048</v>
      </c>
      <c r="P19" s="3177" t="s">
        <v>2817</v>
      </c>
      <c r="Q19" s="3177" t="s">
        <v>2817</v>
      </c>
      <c r="R19" s="3177" t="s">
        <v>2817</v>
      </c>
      <c r="S19" s="3177" t="s">
        <v>2817</v>
      </c>
      <c r="T19" s="3177" t="s">
        <v>2817</v>
      </c>
      <c r="U19" s="3177" t="s">
        <v>2817</v>
      </c>
      <c r="V19" s="3177" t="s">
        <v>2817</v>
      </c>
      <c r="W19" s="3177" t="s">
        <v>3049</v>
      </c>
      <c r="X19" s="3177" t="s">
        <v>3101</v>
      </c>
      <c r="Y19" s="3177" t="s">
        <v>3102</v>
      </c>
      <c r="Z19" s="3177" t="s">
        <v>3103</v>
      </c>
      <c r="AA19" s="3177" t="s">
        <v>3103</v>
      </c>
      <c r="AB19" s="3177" t="s">
        <v>3104</v>
      </c>
      <c r="AC19" s="3177" t="s">
        <v>3054</v>
      </c>
      <c r="AD19" s="3177" t="s">
        <v>3109</v>
      </c>
      <c r="AE19" s="3177">
        <v>400</v>
      </c>
      <c r="AF19" s="3177">
        <v>660</v>
      </c>
      <c r="AG19" s="3177">
        <v>660</v>
      </c>
      <c r="AH19" s="3177">
        <v>107.45</v>
      </c>
      <c r="AI19" s="3177">
        <v>107.45</v>
      </c>
      <c r="AJ19" s="3177">
        <v>805.86</v>
      </c>
      <c r="AK19" s="3177">
        <v>805.86</v>
      </c>
      <c r="AL19" s="3177" t="s">
        <v>2817</v>
      </c>
      <c r="AM19" s="3177" t="s">
        <v>2817</v>
      </c>
      <c r="AN19" s="3177">
        <v>0</v>
      </c>
      <c r="AO19" s="3177" t="s">
        <v>3056</v>
      </c>
      <c r="AP19" s="3177" t="s">
        <v>2817</v>
      </c>
      <c r="AQ19" s="3177" t="s">
        <v>2817</v>
      </c>
      <c r="AR19" s="3177" t="s">
        <v>2817</v>
      </c>
    </row>
    <row r="20" spans="1:44">
      <c r="A20" s="3177" t="s">
        <v>3089</v>
      </c>
      <c r="B20" s="3177" t="s">
        <v>3040</v>
      </c>
      <c r="C20" s="3177" t="s">
        <v>3041</v>
      </c>
      <c r="D20" s="3177" t="s">
        <v>3042</v>
      </c>
      <c r="E20" s="3177" t="s">
        <v>2817</v>
      </c>
      <c r="F20" s="3177" t="s">
        <v>3089</v>
      </c>
      <c r="G20" s="3177" t="s">
        <v>3043</v>
      </c>
      <c r="H20" s="3177" t="s">
        <v>3112</v>
      </c>
      <c r="I20" s="3177" t="s">
        <v>3045</v>
      </c>
      <c r="J20" s="3177">
        <v>3906.79</v>
      </c>
      <c r="K20" s="3177">
        <v>9376.2999999999993</v>
      </c>
      <c r="L20" s="3177" t="s">
        <v>3091</v>
      </c>
      <c r="M20" s="3177" t="s">
        <v>2817</v>
      </c>
      <c r="N20" s="3177" t="s">
        <v>3070</v>
      </c>
      <c r="O20" s="3177" t="s">
        <v>3060</v>
      </c>
      <c r="P20" s="3177" t="s">
        <v>2817</v>
      </c>
      <c r="Q20" s="3177" t="s">
        <v>2817</v>
      </c>
      <c r="R20" s="3177" t="s">
        <v>2817</v>
      </c>
      <c r="S20" s="3177" t="s">
        <v>2817</v>
      </c>
      <c r="T20" s="3177" t="s">
        <v>2817</v>
      </c>
      <c r="U20" s="3177" t="s">
        <v>2817</v>
      </c>
      <c r="V20" s="3177" t="s">
        <v>2817</v>
      </c>
      <c r="W20" s="3177" t="s">
        <v>3049</v>
      </c>
      <c r="X20" s="3177" t="s">
        <v>3113</v>
      </c>
      <c r="Y20" s="3177" t="s">
        <v>3114</v>
      </c>
      <c r="Z20" s="3177" t="s">
        <v>3115</v>
      </c>
      <c r="AA20" s="3177" t="s">
        <v>3115</v>
      </c>
      <c r="AB20" s="3177" t="s">
        <v>3116</v>
      </c>
      <c r="AC20" s="3177" t="s">
        <v>3054</v>
      </c>
      <c r="AD20" s="3177" t="s">
        <v>3095</v>
      </c>
      <c r="AE20" s="3177">
        <v>500</v>
      </c>
      <c r="AF20" s="3177">
        <v>964</v>
      </c>
      <c r="AG20" s="3177">
        <v>964</v>
      </c>
      <c r="AH20" s="3177">
        <v>164.5</v>
      </c>
      <c r="AI20" s="3177">
        <v>164.5</v>
      </c>
      <c r="AJ20" s="3177">
        <v>1028.1199999999999</v>
      </c>
      <c r="AK20" s="3177">
        <v>1028.1099999999999</v>
      </c>
      <c r="AL20" s="3177" t="s">
        <v>2817</v>
      </c>
      <c r="AM20" s="3177" t="s">
        <v>2817</v>
      </c>
      <c r="AN20" s="3177">
        <v>0</v>
      </c>
      <c r="AO20" s="3177" t="s">
        <v>3056</v>
      </c>
      <c r="AP20" s="3177" t="s">
        <v>2817</v>
      </c>
      <c r="AQ20" s="3177" t="s">
        <v>2817</v>
      </c>
      <c r="AR20" s="3177" t="s">
        <v>2817</v>
      </c>
    </row>
    <row r="21" spans="1:44">
      <c r="A21" s="3177" t="s">
        <v>3117</v>
      </c>
      <c r="B21" s="3177" t="s">
        <v>3040</v>
      </c>
      <c r="C21" s="3177" t="s">
        <v>3041</v>
      </c>
      <c r="D21" s="3177" t="s">
        <v>3042</v>
      </c>
      <c r="E21" s="3177" t="s">
        <v>2817</v>
      </c>
      <c r="F21" s="3177" t="s">
        <v>3117</v>
      </c>
      <c r="G21" s="3177" t="s">
        <v>3043</v>
      </c>
      <c r="H21" s="3177" t="s">
        <v>3118</v>
      </c>
      <c r="I21" s="3177" t="s">
        <v>3045</v>
      </c>
      <c r="J21" s="3177">
        <v>23919.06</v>
      </c>
      <c r="K21" s="3177">
        <v>47838.12</v>
      </c>
      <c r="L21" s="3177" t="s">
        <v>3046</v>
      </c>
      <c r="M21" s="3177" t="s">
        <v>2817</v>
      </c>
      <c r="N21" s="3177" t="s">
        <v>3079</v>
      </c>
      <c r="O21" s="3177" t="s">
        <v>3084</v>
      </c>
      <c r="P21" s="3177" t="s">
        <v>2817</v>
      </c>
      <c r="Q21" s="3177" t="s">
        <v>2817</v>
      </c>
      <c r="R21" s="3177" t="s">
        <v>2817</v>
      </c>
      <c r="S21" s="3177" t="s">
        <v>2817</v>
      </c>
      <c r="T21" s="3177" t="s">
        <v>2817</v>
      </c>
      <c r="U21" s="3177" t="s">
        <v>2817</v>
      </c>
      <c r="V21" s="3177" t="s">
        <v>2817</v>
      </c>
      <c r="W21" s="3177" t="s">
        <v>3119</v>
      </c>
      <c r="X21" s="3177" t="s">
        <v>3120</v>
      </c>
      <c r="Y21" s="3177" t="s">
        <v>3121</v>
      </c>
      <c r="Z21" s="3177" t="s">
        <v>3122</v>
      </c>
      <c r="AA21" s="3177" t="s">
        <v>3122</v>
      </c>
      <c r="AB21" s="3177" t="s">
        <v>3123</v>
      </c>
      <c r="AC21" s="3177" t="s">
        <v>3054</v>
      </c>
      <c r="AD21" s="3177" t="s">
        <v>3085</v>
      </c>
      <c r="AE21" s="3177">
        <v>1974</v>
      </c>
      <c r="AF21" s="3177">
        <v>3947</v>
      </c>
      <c r="AG21" s="3177">
        <v>3947</v>
      </c>
      <c r="AH21" s="3177">
        <v>110.01</v>
      </c>
      <c r="AI21" s="3177">
        <v>110.01</v>
      </c>
      <c r="AJ21" s="3177">
        <v>825.07</v>
      </c>
      <c r="AK21" s="3177">
        <v>825.07</v>
      </c>
      <c r="AL21" s="3177" t="s">
        <v>2817</v>
      </c>
      <c r="AM21" s="3177" t="s">
        <v>2817</v>
      </c>
      <c r="AN21" s="3177">
        <v>0</v>
      </c>
      <c r="AO21" s="3177" t="s">
        <v>3056</v>
      </c>
      <c r="AP21" s="3177" t="s">
        <v>2817</v>
      </c>
      <c r="AQ21" s="3177" t="s">
        <v>2817</v>
      </c>
      <c r="AR21" s="3177" t="s">
        <v>2817</v>
      </c>
    </row>
    <row r="22" spans="1:44">
      <c r="A22" s="3177" t="s">
        <v>3077</v>
      </c>
      <c r="B22" s="3177" t="s">
        <v>3040</v>
      </c>
      <c r="C22" s="3177" t="s">
        <v>3041</v>
      </c>
      <c r="D22" s="3177" t="s">
        <v>3042</v>
      </c>
      <c r="E22" s="3177" t="s">
        <v>2817</v>
      </c>
      <c r="F22" s="3177" t="s">
        <v>3077</v>
      </c>
      <c r="G22" s="3177" t="s">
        <v>3043</v>
      </c>
      <c r="H22" s="3177" t="s">
        <v>3124</v>
      </c>
      <c r="I22" s="3177" t="s">
        <v>3045</v>
      </c>
      <c r="J22" s="3177">
        <v>28465.64</v>
      </c>
      <c r="K22" s="3177">
        <v>56931.28</v>
      </c>
      <c r="L22" s="3177" t="s">
        <v>3046</v>
      </c>
      <c r="M22" s="3177" t="s">
        <v>2817</v>
      </c>
      <c r="N22" s="3177" t="s">
        <v>3079</v>
      </c>
      <c r="O22" s="3177" t="s">
        <v>3060</v>
      </c>
      <c r="P22" s="3177" t="s">
        <v>2817</v>
      </c>
      <c r="Q22" s="3177" t="s">
        <v>2817</v>
      </c>
      <c r="R22" s="3177" t="s">
        <v>2817</v>
      </c>
      <c r="S22" s="3177" t="s">
        <v>2817</v>
      </c>
      <c r="T22" s="3177" t="s">
        <v>2817</v>
      </c>
      <c r="U22" s="3177" t="s">
        <v>2817</v>
      </c>
      <c r="V22" s="3177" t="s">
        <v>2817</v>
      </c>
      <c r="W22" s="3177" t="s">
        <v>3119</v>
      </c>
      <c r="X22" s="3177" t="s">
        <v>3125</v>
      </c>
      <c r="Y22" s="3177" t="s">
        <v>3126</v>
      </c>
      <c r="Z22" s="3177" t="s">
        <v>3127</v>
      </c>
      <c r="AA22" s="3177" t="s">
        <v>3127</v>
      </c>
      <c r="AB22" s="3177" t="s">
        <v>3128</v>
      </c>
      <c r="AC22" s="3177" t="s">
        <v>3054</v>
      </c>
      <c r="AD22" s="3177" t="s">
        <v>3081</v>
      </c>
      <c r="AE22" s="3177">
        <v>3500</v>
      </c>
      <c r="AF22" s="3177">
        <v>6405</v>
      </c>
      <c r="AG22" s="3177">
        <v>6405</v>
      </c>
      <c r="AH22" s="3177">
        <v>150.01</v>
      </c>
      <c r="AI22" s="3177">
        <v>150.01</v>
      </c>
      <c r="AJ22" s="3177">
        <v>1125.04</v>
      </c>
      <c r="AK22" s="3177">
        <v>1125.03</v>
      </c>
      <c r="AL22" s="3177" t="s">
        <v>2817</v>
      </c>
      <c r="AM22" s="3177" t="s">
        <v>2817</v>
      </c>
      <c r="AN22" s="3177">
        <v>0</v>
      </c>
      <c r="AO22" s="3177" t="s">
        <v>3056</v>
      </c>
      <c r="AP22" s="3177" t="s">
        <v>2817</v>
      </c>
      <c r="AQ22" s="3177" t="s">
        <v>2817</v>
      </c>
      <c r="AR22" s="3177" t="s">
        <v>2817</v>
      </c>
    </row>
    <row r="23" spans="1:44">
      <c r="A23" s="3177" t="s">
        <v>3129</v>
      </c>
      <c r="B23" s="3177" t="s">
        <v>3040</v>
      </c>
      <c r="C23" s="3177" t="s">
        <v>3041</v>
      </c>
      <c r="D23" s="3177" t="s">
        <v>3042</v>
      </c>
      <c r="E23" s="3177" t="s">
        <v>2817</v>
      </c>
      <c r="F23" s="3177" t="s">
        <v>3129</v>
      </c>
      <c r="G23" s="3177" t="s">
        <v>3043</v>
      </c>
      <c r="H23" s="3177" t="s">
        <v>3130</v>
      </c>
      <c r="I23" s="3177" t="s">
        <v>3045</v>
      </c>
      <c r="J23" s="3177">
        <v>46658.61</v>
      </c>
      <c r="K23" s="3177">
        <v>83985.5</v>
      </c>
      <c r="L23" s="3177" t="s">
        <v>3131</v>
      </c>
      <c r="M23" s="3177" t="s">
        <v>2817</v>
      </c>
      <c r="N23" s="3177" t="s">
        <v>3047</v>
      </c>
      <c r="O23" s="3177" t="s">
        <v>3084</v>
      </c>
      <c r="P23" s="3177" t="s">
        <v>2817</v>
      </c>
      <c r="Q23" s="3177" t="s">
        <v>2817</v>
      </c>
      <c r="R23" s="3177" t="s">
        <v>2817</v>
      </c>
      <c r="S23" s="3177" t="s">
        <v>2817</v>
      </c>
      <c r="T23" s="3177" t="s">
        <v>2817</v>
      </c>
      <c r="U23" s="3177" t="s">
        <v>2817</v>
      </c>
      <c r="V23" s="3177" t="s">
        <v>2817</v>
      </c>
      <c r="W23" s="3177" t="s">
        <v>3119</v>
      </c>
      <c r="X23" s="3177" t="s">
        <v>3132</v>
      </c>
      <c r="Y23" s="3177" t="s">
        <v>3133</v>
      </c>
      <c r="Z23" s="3177" t="s">
        <v>3134</v>
      </c>
      <c r="AA23" s="3177" t="s">
        <v>3134</v>
      </c>
      <c r="AB23" s="3177" t="s">
        <v>3135</v>
      </c>
      <c r="AC23" s="3177" t="s">
        <v>3054</v>
      </c>
      <c r="AD23" s="3177" t="s">
        <v>3085</v>
      </c>
      <c r="AE23" s="3177">
        <v>1300</v>
      </c>
      <c r="AF23" s="3177">
        <v>2548</v>
      </c>
      <c r="AG23" s="3177">
        <v>2548</v>
      </c>
      <c r="AH23" s="3177">
        <v>36.409999999999997</v>
      </c>
      <c r="AI23" s="3177">
        <v>36.409999999999997</v>
      </c>
      <c r="AJ23" s="3177">
        <v>303.38</v>
      </c>
      <c r="AK23" s="3177">
        <v>303.38</v>
      </c>
      <c r="AL23" s="3177" t="s">
        <v>2817</v>
      </c>
      <c r="AM23" s="3177" t="s">
        <v>2817</v>
      </c>
      <c r="AN23" s="3177">
        <v>0</v>
      </c>
      <c r="AO23" s="3177" t="s">
        <v>3056</v>
      </c>
      <c r="AP23" s="3177" t="s">
        <v>2817</v>
      </c>
      <c r="AQ23" s="3177" t="s">
        <v>2817</v>
      </c>
      <c r="AR23" s="3177" t="s">
        <v>2817</v>
      </c>
    </row>
    <row r="24" spans="1:44">
      <c r="A24" s="3177" t="s">
        <v>3136</v>
      </c>
      <c r="B24" s="3177" t="s">
        <v>3040</v>
      </c>
      <c r="C24" s="3177" t="s">
        <v>3041</v>
      </c>
      <c r="D24" s="3177" t="s">
        <v>3042</v>
      </c>
      <c r="E24" s="3177" t="s">
        <v>2817</v>
      </c>
      <c r="F24" s="3177" t="s">
        <v>3136</v>
      </c>
      <c r="G24" s="3177" t="s">
        <v>3043</v>
      </c>
      <c r="H24" s="3177" t="s">
        <v>3137</v>
      </c>
      <c r="I24" s="3177" t="s">
        <v>3045</v>
      </c>
      <c r="J24" s="3177">
        <v>36250.15</v>
      </c>
      <c r="K24" s="3177">
        <v>87000.36</v>
      </c>
      <c r="L24" s="3177" t="s">
        <v>3091</v>
      </c>
      <c r="M24" s="3177" t="s">
        <v>2817</v>
      </c>
      <c r="N24" s="3177" t="s">
        <v>3047</v>
      </c>
      <c r="O24" s="3177" t="s">
        <v>3138</v>
      </c>
      <c r="P24" s="3177" t="s">
        <v>2817</v>
      </c>
      <c r="Q24" s="3177" t="s">
        <v>2817</v>
      </c>
      <c r="R24" s="3177" t="s">
        <v>2817</v>
      </c>
      <c r="S24" s="3177" t="s">
        <v>2817</v>
      </c>
      <c r="T24" s="3177" t="s">
        <v>2817</v>
      </c>
      <c r="U24" s="3177" t="s">
        <v>2817</v>
      </c>
      <c r="V24" s="3177" t="s">
        <v>2817</v>
      </c>
      <c r="W24" s="3177" t="s">
        <v>3119</v>
      </c>
      <c r="X24" s="3177" t="s">
        <v>3139</v>
      </c>
      <c r="Y24" s="3177" t="s">
        <v>3140</v>
      </c>
      <c r="Z24" s="3177" t="s">
        <v>3141</v>
      </c>
      <c r="AA24" s="3177" t="s">
        <v>3141</v>
      </c>
      <c r="AB24" s="3177" t="s">
        <v>3142</v>
      </c>
      <c r="AC24" s="3177" t="s">
        <v>3054</v>
      </c>
      <c r="AD24" s="3177" t="s">
        <v>3143</v>
      </c>
      <c r="AE24" s="3177">
        <v>7000</v>
      </c>
      <c r="AF24" s="3177">
        <v>7885</v>
      </c>
      <c r="AG24" s="3177">
        <v>7885</v>
      </c>
      <c r="AH24" s="3177">
        <v>145.01</v>
      </c>
      <c r="AI24" s="3177">
        <v>145.01</v>
      </c>
      <c r="AJ24" s="3177">
        <v>906.31</v>
      </c>
      <c r="AK24" s="3177">
        <v>906.32</v>
      </c>
      <c r="AL24" s="3177" t="s">
        <v>2817</v>
      </c>
      <c r="AM24" s="3177" t="s">
        <v>2817</v>
      </c>
      <c r="AN24" s="3177">
        <v>0</v>
      </c>
      <c r="AO24" s="3177" t="s">
        <v>3056</v>
      </c>
      <c r="AP24" s="3177" t="s">
        <v>2817</v>
      </c>
      <c r="AQ24" s="3177" t="s">
        <v>2817</v>
      </c>
      <c r="AR24" s="3177" t="s">
        <v>2817</v>
      </c>
    </row>
    <row r="25" spans="1:44">
      <c r="A25" s="3177" t="s">
        <v>3136</v>
      </c>
      <c r="B25" s="3177" t="s">
        <v>3040</v>
      </c>
      <c r="C25" s="3177" t="s">
        <v>3041</v>
      </c>
      <c r="D25" s="3177" t="s">
        <v>3042</v>
      </c>
      <c r="E25" s="3177" t="s">
        <v>2817</v>
      </c>
      <c r="F25" s="3177" t="s">
        <v>3136</v>
      </c>
      <c r="G25" s="3177" t="s">
        <v>3043</v>
      </c>
      <c r="H25" s="3177" t="s">
        <v>3144</v>
      </c>
      <c r="I25" s="3177" t="s">
        <v>3045</v>
      </c>
      <c r="J25" s="3177">
        <v>34726.910000000003</v>
      </c>
      <c r="K25" s="3177">
        <v>83344.58</v>
      </c>
      <c r="L25" s="3177" t="s">
        <v>3091</v>
      </c>
      <c r="M25" s="3177" t="s">
        <v>2817</v>
      </c>
      <c r="N25" s="3177" t="s">
        <v>3047</v>
      </c>
      <c r="O25" s="3177" t="s">
        <v>3048</v>
      </c>
      <c r="P25" s="3177" t="s">
        <v>2817</v>
      </c>
      <c r="Q25" s="3177" t="s">
        <v>2817</v>
      </c>
      <c r="R25" s="3177" t="s">
        <v>2817</v>
      </c>
      <c r="S25" s="3177" t="s">
        <v>2817</v>
      </c>
      <c r="T25" s="3177" t="s">
        <v>2817</v>
      </c>
      <c r="U25" s="3177" t="s">
        <v>2817</v>
      </c>
      <c r="V25" s="3177" t="s">
        <v>2817</v>
      </c>
      <c r="W25" s="3177" t="s">
        <v>3119</v>
      </c>
      <c r="X25" s="3177" t="s">
        <v>3139</v>
      </c>
      <c r="Y25" s="3177" t="s">
        <v>3140</v>
      </c>
      <c r="Z25" s="3177" t="s">
        <v>3141</v>
      </c>
      <c r="AA25" s="3177" t="s">
        <v>3141</v>
      </c>
      <c r="AB25" s="3177" t="s">
        <v>3142</v>
      </c>
      <c r="AC25" s="3177" t="s">
        <v>3054</v>
      </c>
      <c r="AD25" s="3177" t="s">
        <v>3143</v>
      </c>
      <c r="AE25" s="3177">
        <v>7000</v>
      </c>
      <c r="AF25" s="3177">
        <v>7554</v>
      </c>
      <c r="AG25" s="3177">
        <v>7554</v>
      </c>
      <c r="AH25" s="3177">
        <v>145.02000000000001</v>
      </c>
      <c r="AI25" s="3177">
        <v>145.02000000000001</v>
      </c>
      <c r="AJ25" s="3177">
        <v>906.35</v>
      </c>
      <c r="AK25" s="3177">
        <v>906.36</v>
      </c>
      <c r="AL25" s="3177" t="s">
        <v>2817</v>
      </c>
      <c r="AM25" s="3177" t="s">
        <v>2817</v>
      </c>
      <c r="AN25" s="3177">
        <v>0</v>
      </c>
      <c r="AO25" s="3177" t="s">
        <v>3056</v>
      </c>
      <c r="AP25" s="3177" t="s">
        <v>2817</v>
      </c>
      <c r="AQ25" s="3177" t="s">
        <v>2817</v>
      </c>
      <c r="AR25" s="3177" t="s">
        <v>2817</v>
      </c>
    </row>
    <row r="26" spans="1:44">
      <c r="A26" s="3177" t="s">
        <v>3145</v>
      </c>
      <c r="B26" s="3177" t="s">
        <v>3040</v>
      </c>
      <c r="C26" s="3177" t="s">
        <v>3041</v>
      </c>
      <c r="D26" s="3177" t="s">
        <v>3042</v>
      </c>
      <c r="E26" s="3177" t="s">
        <v>2817</v>
      </c>
      <c r="F26" s="3177" t="s">
        <v>3145</v>
      </c>
      <c r="G26" s="3177" t="s">
        <v>3043</v>
      </c>
      <c r="H26" s="3177" t="s">
        <v>3146</v>
      </c>
      <c r="I26" s="3177" t="s">
        <v>3045</v>
      </c>
      <c r="J26" s="3177">
        <v>29117.040000000001</v>
      </c>
      <c r="K26" s="3177">
        <v>43675.56</v>
      </c>
      <c r="L26" s="3177" t="s">
        <v>3147</v>
      </c>
      <c r="M26" s="3177" t="s">
        <v>2817</v>
      </c>
      <c r="N26" s="3177" t="s">
        <v>3079</v>
      </c>
      <c r="O26" s="3177" t="s">
        <v>3048</v>
      </c>
      <c r="P26" s="3177" t="s">
        <v>2817</v>
      </c>
      <c r="Q26" s="3177" t="s">
        <v>2817</v>
      </c>
      <c r="R26" s="3177" t="s">
        <v>2817</v>
      </c>
      <c r="S26" s="3177" t="s">
        <v>2817</v>
      </c>
      <c r="T26" s="3177" t="s">
        <v>2817</v>
      </c>
      <c r="U26" s="3177" t="s">
        <v>2817</v>
      </c>
      <c r="V26" s="3177" t="s">
        <v>2817</v>
      </c>
      <c r="W26" s="3177" t="s">
        <v>3119</v>
      </c>
      <c r="X26" s="3177" t="s">
        <v>3148</v>
      </c>
      <c r="Y26" s="3177" t="s">
        <v>3149</v>
      </c>
      <c r="Z26" s="3177" t="s">
        <v>3139</v>
      </c>
      <c r="AA26" s="3177" t="s">
        <v>3139</v>
      </c>
      <c r="AB26" s="3177" t="s">
        <v>3150</v>
      </c>
      <c r="AC26" s="3177" t="s">
        <v>3054</v>
      </c>
      <c r="AD26" s="3177" t="s">
        <v>3151</v>
      </c>
      <c r="AE26" s="3177">
        <v>2403</v>
      </c>
      <c r="AF26" s="3177">
        <v>4805</v>
      </c>
      <c r="AG26" s="3177">
        <v>4825</v>
      </c>
      <c r="AH26" s="3177">
        <v>110.02</v>
      </c>
      <c r="AI26" s="3177">
        <v>110.47</v>
      </c>
      <c r="AJ26" s="3177">
        <v>1100.1500000000001</v>
      </c>
      <c r="AK26" s="3177">
        <v>1104.74</v>
      </c>
      <c r="AL26" s="3177" t="s">
        <v>2817</v>
      </c>
      <c r="AM26" s="3177" t="s">
        <v>2817</v>
      </c>
      <c r="AN26" s="3177">
        <v>0.42</v>
      </c>
      <c r="AO26" s="3177" t="s">
        <v>3056</v>
      </c>
      <c r="AP26" s="3177" t="s">
        <v>2817</v>
      </c>
      <c r="AQ26" s="3177" t="s">
        <v>2817</v>
      </c>
      <c r="AR26" s="3177" t="s">
        <v>2817</v>
      </c>
    </row>
    <row r="27" spans="1:44">
      <c r="A27" s="3177" t="s">
        <v>3152</v>
      </c>
      <c r="B27" s="3177" t="s">
        <v>3040</v>
      </c>
      <c r="C27" s="3177" t="s">
        <v>3041</v>
      </c>
      <c r="D27" s="3177" t="s">
        <v>3042</v>
      </c>
      <c r="E27" s="3177" t="s">
        <v>2817</v>
      </c>
      <c r="F27" s="3177" t="s">
        <v>3152</v>
      </c>
      <c r="G27" s="3177" t="s">
        <v>3043</v>
      </c>
      <c r="H27" s="3177" t="s">
        <v>3153</v>
      </c>
      <c r="I27" s="3177" t="s">
        <v>3045</v>
      </c>
      <c r="J27" s="3177">
        <v>212.84</v>
      </c>
      <c r="K27" s="3177">
        <v>915.21</v>
      </c>
      <c r="L27" s="3177" t="s">
        <v>3154</v>
      </c>
      <c r="M27" s="3177" t="s">
        <v>2817</v>
      </c>
      <c r="N27" s="3177" t="s">
        <v>3155</v>
      </c>
      <c r="O27" s="3177" t="s">
        <v>3156</v>
      </c>
      <c r="P27" s="3177" t="s">
        <v>2817</v>
      </c>
      <c r="Q27" s="3177" t="s">
        <v>2817</v>
      </c>
      <c r="R27" s="3177" t="s">
        <v>2817</v>
      </c>
      <c r="S27" s="3177" t="s">
        <v>2817</v>
      </c>
      <c r="T27" s="3177" t="s">
        <v>2817</v>
      </c>
      <c r="U27" s="3177" t="s">
        <v>2817</v>
      </c>
      <c r="V27" s="3177" t="s">
        <v>2817</v>
      </c>
      <c r="W27" s="3177" t="s">
        <v>3119</v>
      </c>
      <c r="X27" s="3177" t="s">
        <v>3157</v>
      </c>
      <c r="Y27" s="3177" t="s">
        <v>3158</v>
      </c>
      <c r="Z27" s="3177" t="s">
        <v>3159</v>
      </c>
      <c r="AA27" s="3177" t="s">
        <v>3159</v>
      </c>
      <c r="AB27" s="3177" t="s">
        <v>3160</v>
      </c>
      <c r="AC27" s="3177" t="s">
        <v>3054</v>
      </c>
      <c r="AD27" s="3177" t="s">
        <v>3161</v>
      </c>
      <c r="AE27" s="3177">
        <v>35</v>
      </c>
      <c r="AF27" s="3177">
        <v>69</v>
      </c>
      <c r="AG27" s="3177">
        <v>69</v>
      </c>
      <c r="AH27" s="3177">
        <v>216.12</v>
      </c>
      <c r="AI27" s="3177">
        <v>216.12</v>
      </c>
      <c r="AJ27" s="3177">
        <v>753.92</v>
      </c>
      <c r="AK27" s="3177">
        <v>753.92</v>
      </c>
      <c r="AL27" s="3177" t="s">
        <v>2817</v>
      </c>
      <c r="AM27" s="3177" t="s">
        <v>2817</v>
      </c>
      <c r="AN27" s="3177">
        <v>0</v>
      </c>
      <c r="AO27" s="3177" t="s">
        <v>3056</v>
      </c>
      <c r="AP27" s="3177" t="s">
        <v>2817</v>
      </c>
      <c r="AQ27" s="3177" t="s">
        <v>2817</v>
      </c>
      <c r="AR27" s="3177" t="s">
        <v>2817</v>
      </c>
    </row>
    <row r="28" spans="1:44">
      <c r="A28" s="3177" t="s">
        <v>3162</v>
      </c>
      <c r="B28" s="3177" t="s">
        <v>3040</v>
      </c>
      <c r="C28" s="3177" t="s">
        <v>3041</v>
      </c>
      <c r="D28" s="3177" t="s">
        <v>3042</v>
      </c>
      <c r="E28" s="3177" t="s">
        <v>2817</v>
      </c>
      <c r="F28" s="3177" t="s">
        <v>3162</v>
      </c>
      <c r="G28" s="3177" t="s">
        <v>3043</v>
      </c>
      <c r="H28" s="3177" t="s">
        <v>3163</v>
      </c>
      <c r="I28" s="3177" t="s">
        <v>3045</v>
      </c>
      <c r="J28" s="3177">
        <v>14453.73</v>
      </c>
      <c r="K28" s="3177">
        <v>40470.44</v>
      </c>
      <c r="L28" s="3177" t="s">
        <v>3164</v>
      </c>
      <c r="M28" s="3177" t="s">
        <v>2817</v>
      </c>
      <c r="N28" s="3177" t="s">
        <v>3047</v>
      </c>
      <c r="O28" s="3177" t="s">
        <v>3156</v>
      </c>
      <c r="P28" s="3177" t="s">
        <v>2817</v>
      </c>
      <c r="Q28" s="3177" t="s">
        <v>2817</v>
      </c>
      <c r="R28" s="3177" t="s">
        <v>2817</v>
      </c>
      <c r="S28" s="3177" t="s">
        <v>2817</v>
      </c>
      <c r="T28" s="3177" t="s">
        <v>2817</v>
      </c>
      <c r="U28" s="3177" t="s">
        <v>2817</v>
      </c>
      <c r="V28" s="3177" t="s">
        <v>2817</v>
      </c>
      <c r="W28" s="3177" t="s">
        <v>3119</v>
      </c>
      <c r="X28" s="3177" t="s">
        <v>3157</v>
      </c>
      <c r="Y28" s="3177" t="s">
        <v>3158</v>
      </c>
      <c r="Z28" s="3177" t="s">
        <v>3159</v>
      </c>
      <c r="AA28" s="3177" t="s">
        <v>3159</v>
      </c>
      <c r="AB28" s="3177" t="s">
        <v>3165</v>
      </c>
      <c r="AC28" s="3177" t="s">
        <v>3054</v>
      </c>
      <c r="AD28" s="3177" t="s">
        <v>3166</v>
      </c>
      <c r="AE28" s="3177">
        <v>2300</v>
      </c>
      <c r="AF28" s="3177">
        <v>4515</v>
      </c>
      <c r="AG28" s="3177">
        <v>4515</v>
      </c>
      <c r="AH28" s="3177">
        <v>208.25</v>
      </c>
      <c r="AI28" s="3177">
        <v>208.25</v>
      </c>
      <c r="AJ28" s="3177">
        <v>1115.6199999999999</v>
      </c>
      <c r="AK28" s="3177">
        <v>1115.6300000000001</v>
      </c>
      <c r="AL28" s="3177" t="s">
        <v>2817</v>
      </c>
      <c r="AM28" s="3177" t="s">
        <v>2817</v>
      </c>
      <c r="AN28" s="3177">
        <v>0</v>
      </c>
      <c r="AO28" s="3177" t="s">
        <v>3056</v>
      </c>
      <c r="AP28" s="3177" t="s">
        <v>2817</v>
      </c>
      <c r="AQ28" s="3177" t="s">
        <v>2817</v>
      </c>
      <c r="AR28" s="3177" t="s">
        <v>2817</v>
      </c>
    </row>
    <row r="29" spans="1:44" s="3183" customFormat="1">
      <c r="A29" s="3182" t="s">
        <v>3167</v>
      </c>
      <c r="B29" s="3182" t="s">
        <v>3040</v>
      </c>
      <c r="C29" s="3182" t="s">
        <v>3041</v>
      </c>
      <c r="D29" s="3182" t="s">
        <v>3042</v>
      </c>
      <c r="E29" s="3182" t="s">
        <v>2817</v>
      </c>
      <c r="F29" s="3182" t="s">
        <v>3167</v>
      </c>
      <c r="G29" s="3182" t="s">
        <v>3043</v>
      </c>
      <c r="H29" s="3182" t="s">
        <v>3168</v>
      </c>
      <c r="I29" s="3182" t="s">
        <v>3045</v>
      </c>
      <c r="J29" s="3182">
        <v>19184.150000000001</v>
      </c>
      <c r="K29" s="3182">
        <v>20910.72</v>
      </c>
      <c r="L29" s="3182" t="s">
        <v>3169</v>
      </c>
      <c r="M29" s="3182" t="s">
        <v>2817</v>
      </c>
      <c r="N29" s="3182" t="s">
        <v>3047</v>
      </c>
      <c r="O29" s="3182" t="s">
        <v>3100</v>
      </c>
      <c r="P29" s="3182" t="s">
        <v>2817</v>
      </c>
      <c r="Q29" s="3182" t="s">
        <v>2817</v>
      </c>
      <c r="R29" s="3182" t="s">
        <v>2817</v>
      </c>
      <c r="S29" s="3182" t="s">
        <v>2817</v>
      </c>
      <c r="T29" s="3182" t="s">
        <v>2817</v>
      </c>
      <c r="U29" s="3182" t="s">
        <v>2817</v>
      </c>
      <c r="V29" s="3182" t="s">
        <v>2817</v>
      </c>
      <c r="W29" s="3182" t="s">
        <v>3119</v>
      </c>
      <c r="X29" s="3182" t="s">
        <v>3170</v>
      </c>
      <c r="Y29" s="3182" t="s">
        <v>3171</v>
      </c>
      <c r="Z29" s="3182" t="s">
        <v>3172</v>
      </c>
      <c r="AA29" s="3182" t="s">
        <v>3172</v>
      </c>
      <c r="AB29" s="3182" t="s">
        <v>3173</v>
      </c>
      <c r="AC29" s="3182" t="s">
        <v>3054</v>
      </c>
      <c r="AD29" s="3182" t="s">
        <v>3174</v>
      </c>
      <c r="AE29" s="3182">
        <v>2015</v>
      </c>
      <c r="AF29" s="3182">
        <v>4030</v>
      </c>
      <c r="AG29" s="3182">
        <v>4080</v>
      </c>
      <c r="AH29" s="3182">
        <v>140.05000000000001</v>
      </c>
      <c r="AI29" s="3182">
        <v>141.78</v>
      </c>
      <c r="AJ29" s="3182">
        <v>1927.24</v>
      </c>
      <c r="AK29" s="3182">
        <v>1951.15</v>
      </c>
      <c r="AL29" s="3182" t="s">
        <v>2817</v>
      </c>
      <c r="AM29" s="3182" t="s">
        <v>2817</v>
      </c>
      <c r="AN29" s="3182">
        <v>1.24</v>
      </c>
      <c r="AO29" s="3182" t="s">
        <v>3056</v>
      </c>
      <c r="AP29" s="3182" t="s">
        <v>2817</v>
      </c>
      <c r="AQ29" s="3182" t="s">
        <v>2817</v>
      </c>
      <c r="AR29" s="3182" t="s">
        <v>2817</v>
      </c>
    </row>
    <row r="30" spans="1:44" s="3183" customFormat="1">
      <c r="A30" s="3182" t="s">
        <v>3175</v>
      </c>
      <c r="B30" s="3182" t="s">
        <v>3040</v>
      </c>
      <c r="C30" s="3182" t="s">
        <v>3041</v>
      </c>
      <c r="D30" s="3182" t="s">
        <v>3042</v>
      </c>
      <c r="E30" s="3182" t="s">
        <v>2817</v>
      </c>
      <c r="F30" s="3182" t="s">
        <v>3175</v>
      </c>
      <c r="G30" s="3182" t="s">
        <v>3043</v>
      </c>
      <c r="H30" s="3182" t="s">
        <v>3176</v>
      </c>
      <c r="I30" s="3182" t="s">
        <v>3045</v>
      </c>
      <c r="J30" s="3182">
        <v>553.66</v>
      </c>
      <c r="K30" s="3182">
        <v>603.49</v>
      </c>
      <c r="L30" s="3182" t="s">
        <v>3169</v>
      </c>
      <c r="M30" s="3182" t="s">
        <v>2817</v>
      </c>
      <c r="N30" s="3182" t="s">
        <v>3047</v>
      </c>
      <c r="O30" s="3182" t="s">
        <v>3100</v>
      </c>
      <c r="P30" s="3182" t="s">
        <v>2817</v>
      </c>
      <c r="Q30" s="3182" t="s">
        <v>2817</v>
      </c>
      <c r="R30" s="3182" t="s">
        <v>2817</v>
      </c>
      <c r="S30" s="3182" t="s">
        <v>2817</v>
      </c>
      <c r="T30" s="3182" t="s">
        <v>2817</v>
      </c>
      <c r="U30" s="3182" t="s">
        <v>2817</v>
      </c>
      <c r="V30" s="3182" t="s">
        <v>2817</v>
      </c>
      <c r="W30" s="3182" t="s">
        <v>3119</v>
      </c>
      <c r="X30" s="3182" t="s">
        <v>3170</v>
      </c>
      <c r="Y30" s="3182" t="s">
        <v>3171</v>
      </c>
      <c r="Z30" s="3182" t="s">
        <v>3172</v>
      </c>
      <c r="AA30" s="3182" t="s">
        <v>3172</v>
      </c>
      <c r="AB30" s="3182" t="s">
        <v>3173</v>
      </c>
      <c r="AC30" s="3182" t="s">
        <v>3054</v>
      </c>
      <c r="AD30" s="3182" t="s">
        <v>3174</v>
      </c>
      <c r="AE30" s="3182">
        <v>60</v>
      </c>
      <c r="AF30" s="3182">
        <v>117</v>
      </c>
      <c r="AG30" s="3182">
        <v>167</v>
      </c>
      <c r="AH30" s="3182">
        <v>140.88</v>
      </c>
      <c r="AI30" s="3182">
        <v>201.09</v>
      </c>
      <c r="AJ30" s="3182">
        <v>1938.72</v>
      </c>
      <c r="AK30" s="3182">
        <v>2767.23</v>
      </c>
      <c r="AL30" s="3182" t="s">
        <v>2817</v>
      </c>
      <c r="AM30" s="3182" t="s">
        <v>2817</v>
      </c>
      <c r="AN30" s="3182">
        <v>42.74</v>
      </c>
      <c r="AO30" s="3182" t="s">
        <v>3056</v>
      </c>
      <c r="AP30" s="3182" t="s">
        <v>2817</v>
      </c>
      <c r="AQ30" s="3182" t="s">
        <v>2817</v>
      </c>
      <c r="AR30" s="3182" t="s">
        <v>2817</v>
      </c>
    </row>
    <row r="31" spans="1:44" s="3183" customFormat="1">
      <c r="A31" s="3182" t="s">
        <v>3175</v>
      </c>
      <c r="B31" s="3182" t="s">
        <v>3040</v>
      </c>
      <c r="C31" s="3182" t="s">
        <v>3041</v>
      </c>
      <c r="D31" s="3182" t="s">
        <v>3042</v>
      </c>
      <c r="E31" s="3182" t="s">
        <v>2817</v>
      </c>
      <c r="F31" s="3182" t="s">
        <v>3175</v>
      </c>
      <c r="G31" s="3182" t="s">
        <v>3043</v>
      </c>
      <c r="H31" s="3182" t="s">
        <v>3177</v>
      </c>
      <c r="I31" s="3182" t="s">
        <v>3045</v>
      </c>
      <c r="J31" s="3182">
        <v>12317.64</v>
      </c>
      <c r="K31" s="3182">
        <v>13426.23</v>
      </c>
      <c r="L31" s="3182" t="s">
        <v>3169</v>
      </c>
      <c r="M31" s="3182" t="s">
        <v>2817</v>
      </c>
      <c r="N31" s="3182" t="s">
        <v>3047</v>
      </c>
      <c r="O31" s="3182" t="s">
        <v>3100</v>
      </c>
      <c r="P31" s="3182" t="s">
        <v>2817</v>
      </c>
      <c r="Q31" s="3182" t="s">
        <v>2817</v>
      </c>
      <c r="R31" s="3182" t="s">
        <v>2817</v>
      </c>
      <c r="S31" s="3182" t="s">
        <v>2817</v>
      </c>
      <c r="T31" s="3182" t="s">
        <v>2817</v>
      </c>
      <c r="U31" s="3182" t="s">
        <v>2817</v>
      </c>
      <c r="V31" s="3182" t="s">
        <v>2817</v>
      </c>
      <c r="W31" s="3182" t="s">
        <v>3119</v>
      </c>
      <c r="X31" s="3182" t="s">
        <v>3170</v>
      </c>
      <c r="Y31" s="3182" t="s">
        <v>3171</v>
      </c>
      <c r="Z31" s="3182" t="s">
        <v>3172</v>
      </c>
      <c r="AA31" s="3182" t="s">
        <v>3172</v>
      </c>
      <c r="AB31" s="3182" t="s">
        <v>3173</v>
      </c>
      <c r="AC31" s="3182" t="s">
        <v>3054</v>
      </c>
      <c r="AD31" s="3182" t="s">
        <v>3174</v>
      </c>
      <c r="AE31" s="3182">
        <v>1294</v>
      </c>
      <c r="AF31" s="3182">
        <v>2587</v>
      </c>
      <c r="AG31" s="3182">
        <v>2637</v>
      </c>
      <c r="AH31" s="3182">
        <v>140.02000000000001</v>
      </c>
      <c r="AI31" s="3182">
        <v>142.72</v>
      </c>
      <c r="AJ31" s="3182">
        <v>1926.82</v>
      </c>
      <c r="AK31" s="3182">
        <v>1964.06</v>
      </c>
      <c r="AL31" s="3182" t="s">
        <v>2817</v>
      </c>
      <c r="AM31" s="3182" t="s">
        <v>2817</v>
      </c>
      <c r="AN31" s="3182">
        <v>1.93</v>
      </c>
      <c r="AO31" s="3182" t="s">
        <v>3056</v>
      </c>
      <c r="AP31" s="3182" t="s">
        <v>2817</v>
      </c>
      <c r="AQ31" s="3182" t="s">
        <v>2817</v>
      </c>
      <c r="AR31" s="3182" t="s">
        <v>2817</v>
      </c>
    </row>
    <row r="32" spans="1:44" s="3183" customFormat="1">
      <c r="A32" s="3182" t="s">
        <v>3175</v>
      </c>
      <c r="B32" s="3182" t="s">
        <v>3040</v>
      </c>
      <c r="C32" s="3182" t="s">
        <v>3041</v>
      </c>
      <c r="D32" s="3182" t="s">
        <v>3042</v>
      </c>
      <c r="E32" s="3182" t="s">
        <v>2817</v>
      </c>
      <c r="F32" s="3182" t="s">
        <v>3175</v>
      </c>
      <c r="G32" s="3182" t="s">
        <v>3043</v>
      </c>
      <c r="H32" s="3182" t="s">
        <v>3178</v>
      </c>
      <c r="I32" s="3182" t="s">
        <v>3045</v>
      </c>
      <c r="J32" s="3182">
        <v>2568.96</v>
      </c>
      <c r="K32" s="3182">
        <v>2800.17</v>
      </c>
      <c r="L32" s="3182" t="s">
        <v>3169</v>
      </c>
      <c r="M32" s="3182" t="s">
        <v>2817</v>
      </c>
      <c r="N32" s="3182" t="s">
        <v>3047</v>
      </c>
      <c r="O32" s="3182" t="s">
        <v>3100</v>
      </c>
      <c r="P32" s="3182" t="s">
        <v>2817</v>
      </c>
      <c r="Q32" s="3182" t="s">
        <v>2817</v>
      </c>
      <c r="R32" s="3182" t="s">
        <v>2817</v>
      </c>
      <c r="S32" s="3182" t="s">
        <v>2817</v>
      </c>
      <c r="T32" s="3182" t="s">
        <v>2817</v>
      </c>
      <c r="U32" s="3182" t="s">
        <v>2817</v>
      </c>
      <c r="V32" s="3182" t="s">
        <v>2817</v>
      </c>
      <c r="W32" s="3182" t="s">
        <v>3119</v>
      </c>
      <c r="X32" s="3182" t="s">
        <v>3170</v>
      </c>
      <c r="Y32" s="3182" t="s">
        <v>3171</v>
      </c>
      <c r="Z32" s="3182" t="s">
        <v>3172</v>
      </c>
      <c r="AA32" s="3182" t="s">
        <v>3172</v>
      </c>
      <c r="AB32" s="3182" t="s">
        <v>3173</v>
      </c>
      <c r="AC32" s="3182" t="s">
        <v>3054</v>
      </c>
      <c r="AD32" s="3182" t="s">
        <v>3174</v>
      </c>
      <c r="AE32" s="3182">
        <v>270</v>
      </c>
      <c r="AF32" s="3182">
        <v>540</v>
      </c>
      <c r="AG32" s="3182">
        <v>590</v>
      </c>
      <c r="AH32" s="3182">
        <v>140.13</v>
      </c>
      <c r="AI32" s="3182">
        <v>153.11000000000001</v>
      </c>
      <c r="AJ32" s="3182">
        <v>1928.45</v>
      </c>
      <c r="AK32" s="3182">
        <v>2107.0100000000002</v>
      </c>
      <c r="AL32" s="3182" t="s">
        <v>2817</v>
      </c>
      <c r="AM32" s="3182" t="s">
        <v>2817</v>
      </c>
      <c r="AN32" s="3182">
        <v>9.26</v>
      </c>
      <c r="AO32" s="3182" t="s">
        <v>3056</v>
      </c>
      <c r="AP32" s="3182" t="s">
        <v>2817</v>
      </c>
      <c r="AQ32" s="3182" t="s">
        <v>2817</v>
      </c>
      <c r="AR32" s="3182" t="s">
        <v>2817</v>
      </c>
    </row>
    <row r="33" spans="1:44" s="3183" customFormat="1">
      <c r="A33" s="3182" t="s">
        <v>3175</v>
      </c>
      <c r="B33" s="3182" t="s">
        <v>3040</v>
      </c>
      <c r="C33" s="3182" t="s">
        <v>3041</v>
      </c>
      <c r="D33" s="3182" t="s">
        <v>3042</v>
      </c>
      <c r="E33" s="3182" t="s">
        <v>2817</v>
      </c>
      <c r="F33" s="3182" t="s">
        <v>3175</v>
      </c>
      <c r="G33" s="3182" t="s">
        <v>3043</v>
      </c>
      <c r="H33" s="3182" t="s">
        <v>3179</v>
      </c>
      <c r="I33" s="3182" t="s">
        <v>3045</v>
      </c>
      <c r="J33" s="3182">
        <v>20273.169999999998</v>
      </c>
      <c r="K33" s="3182">
        <v>22097.759999999998</v>
      </c>
      <c r="L33" s="3182" t="s">
        <v>3169</v>
      </c>
      <c r="M33" s="3182" t="s">
        <v>2817</v>
      </c>
      <c r="N33" s="3182" t="s">
        <v>3047</v>
      </c>
      <c r="O33" s="3182" t="s">
        <v>3100</v>
      </c>
      <c r="P33" s="3182" t="s">
        <v>2817</v>
      </c>
      <c r="Q33" s="3182" t="s">
        <v>2817</v>
      </c>
      <c r="R33" s="3182" t="s">
        <v>2817</v>
      </c>
      <c r="S33" s="3182" t="s">
        <v>2817</v>
      </c>
      <c r="T33" s="3182" t="s">
        <v>2817</v>
      </c>
      <c r="U33" s="3182" t="s">
        <v>2817</v>
      </c>
      <c r="V33" s="3182" t="s">
        <v>2817</v>
      </c>
      <c r="W33" s="3182" t="s">
        <v>3119</v>
      </c>
      <c r="X33" s="3182" t="s">
        <v>3170</v>
      </c>
      <c r="Y33" s="3182" t="s">
        <v>3171</v>
      </c>
      <c r="Z33" s="3182" t="s">
        <v>3172</v>
      </c>
      <c r="AA33" s="3182" t="s">
        <v>3172</v>
      </c>
      <c r="AB33" s="3182" t="s">
        <v>3173</v>
      </c>
      <c r="AC33" s="3182" t="s">
        <v>3054</v>
      </c>
      <c r="AD33" s="3182" t="s">
        <v>3174</v>
      </c>
      <c r="AE33" s="3182">
        <v>2129</v>
      </c>
      <c r="AF33" s="3182">
        <v>4258</v>
      </c>
      <c r="AG33" s="3182">
        <v>4308</v>
      </c>
      <c r="AH33" s="3182">
        <v>140.02000000000001</v>
      </c>
      <c r="AI33" s="3182">
        <v>141.66999999999999</v>
      </c>
      <c r="AJ33" s="3182">
        <v>1926.89</v>
      </c>
      <c r="AK33" s="3182">
        <v>1949.51</v>
      </c>
      <c r="AL33" s="3182" t="s">
        <v>2817</v>
      </c>
      <c r="AM33" s="3182" t="s">
        <v>2817</v>
      </c>
      <c r="AN33" s="3182">
        <v>1.17</v>
      </c>
      <c r="AO33" s="3182" t="s">
        <v>3056</v>
      </c>
      <c r="AP33" s="3182" t="s">
        <v>2817</v>
      </c>
      <c r="AQ33" s="3182" t="s">
        <v>2817</v>
      </c>
      <c r="AR33" s="3182" t="s">
        <v>2817</v>
      </c>
    </row>
    <row r="34" spans="1:44" s="3183" customFormat="1">
      <c r="A34" s="3182" t="s">
        <v>3175</v>
      </c>
      <c r="B34" s="3182" t="s">
        <v>3040</v>
      </c>
      <c r="C34" s="3182" t="s">
        <v>3041</v>
      </c>
      <c r="D34" s="3182" t="s">
        <v>3042</v>
      </c>
      <c r="E34" s="3182" t="s">
        <v>2817</v>
      </c>
      <c r="F34" s="3182" t="s">
        <v>3175</v>
      </c>
      <c r="G34" s="3182" t="s">
        <v>3043</v>
      </c>
      <c r="H34" s="3182" t="s">
        <v>3180</v>
      </c>
      <c r="I34" s="3182" t="s">
        <v>3045</v>
      </c>
      <c r="J34" s="3182">
        <v>16883.59</v>
      </c>
      <c r="K34" s="3182">
        <v>18403.11</v>
      </c>
      <c r="L34" s="3182" t="s">
        <v>3169</v>
      </c>
      <c r="M34" s="3182" t="s">
        <v>2817</v>
      </c>
      <c r="N34" s="3182" t="s">
        <v>3047</v>
      </c>
      <c r="O34" s="3182" t="s">
        <v>3100</v>
      </c>
      <c r="P34" s="3182" t="s">
        <v>2817</v>
      </c>
      <c r="Q34" s="3182" t="s">
        <v>2817</v>
      </c>
      <c r="R34" s="3182" t="s">
        <v>2817</v>
      </c>
      <c r="S34" s="3182" t="s">
        <v>2817</v>
      </c>
      <c r="T34" s="3182" t="s">
        <v>2817</v>
      </c>
      <c r="U34" s="3182" t="s">
        <v>2817</v>
      </c>
      <c r="V34" s="3182" t="s">
        <v>2817</v>
      </c>
      <c r="W34" s="3182" t="s">
        <v>3119</v>
      </c>
      <c r="X34" s="3182" t="s">
        <v>3170</v>
      </c>
      <c r="Y34" s="3182" t="s">
        <v>3171</v>
      </c>
      <c r="Z34" s="3182" t="s">
        <v>3172</v>
      </c>
      <c r="AA34" s="3182" t="s">
        <v>3172</v>
      </c>
      <c r="AB34" s="3182" t="s">
        <v>3173</v>
      </c>
      <c r="AC34" s="3182" t="s">
        <v>3054</v>
      </c>
      <c r="AD34" s="3182" t="s">
        <v>3174</v>
      </c>
      <c r="AE34" s="3182">
        <v>1773</v>
      </c>
      <c r="AF34" s="3182">
        <v>3546</v>
      </c>
      <c r="AG34" s="3182">
        <v>3596</v>
      </c>
      <c r="AH34" s="3182">
        <v>140.02000000000001</v>
      </c>
      <c r="AI34" s="3182">
        <v>141.99</v>
      </c>
      <c r="AJ34" s="3182">
        <v>1926.84</v>
      </c>
      <c r="AK34" s="3182">
        <v>1954.01</v>
      </c>
      <c r="AL34" s="3182" t="s">
        <v>2817</v>
      </c>
      <c r="AM34" s="3182" t="s">
        <v>2817</v>
      </c>
      <c r="AN34" s="3182">
        <v>1.41</v>
      </c>
      <c r="AO34" s="3182" t="s">
        <v>3056</v>
      </c>
      <c r="AP34" s="3182" t="s">
        <v>2817</v>
      </c>
      <c r="AQ34" s="3182" t="s">
        <v>2817</v>
      </c>
      <c r="AR34" s="3182" t="s">
        <v>2817</v>
      </c>
    </row>
    <row r="35" spans="1:44">
      <c r="A35" s="3177" t="s">
        <v>3181</v>
      </c>
      <c r="B35" s="3177" t="s">
        <v>3040</v>
      </c>
      <c r="C35" s="3177" t="s">
        <v>3041</v>
      </c>
      <c r="D35" s="3177" t="s">
        <v>3042</v>
      </c>
      <c r="E35" s="3177" t="s">
        <v>2817</v>
      </c>
      <c r="F35" s="3177" t="s">
        <v>3181</v>
      </c>
      <c r="G35" s="3177" t="s">
        <v>3043</v>
      </c>
      <c r="H35" s="3177" t="s">
        <v>3182</v>
      </c>
      <c r="I35" s="3177" t="s">
        <v>3045</v>
      </c>
      <c r="J35" s="3177">
        <v>15332.85</v>
      </c>
      <c r="K35" s="3177">
        <v>30665.7</v>
      </c>
      <c r="L35" s="3177" t="s">
        <v>3046</v>
      </c>
      <c r="M35" s="3177" t="s">
        <v>2817</v>
      </c>
      <c r="N35" s="3177" t="s">
        <v>3079</v>
      </c>
      <c r="O35" s="3177" t="s">
        <v>3100</v>
      </c>
      <c r="P35" s="3177" t="s">
        <v>2817</v>
      </c>
      <c r="Q35" s="3177" t="s">
        <v>2817</v>
      </c>
      <c r="R35" s="3177" t="s">
        <v>2817</v>
      </c>
      <c r="S35" s="3177" t="s">
        <v>2817</v>
      </c>
      <c r="T35" s="3177" t="s">
        <v>2817</v>
      </c>
      <c r="U35" s="3177" t="s">
        <v>2817</v>
      </c>
      <c r="V35" s="3177" t="s">
        <v>2817</v>
      </c>
      <c r="W35" s="3177" t="s">
        <v>3119</v>
      </c>
      <c r="X35" s="3177" t="s">
        <v>3170</v>
      </c>
      <c r="Y35" s="3177" t="s">
        <v>3171</v>
      </c>
      <c r="Z35" s="3177" t="s">
        <v>3172</v>
      </c>
      <c r="AA35" s="3177" t="s">
        <v>3172</v>
      </c>
      <c r="AB35" s="3177" t="s">
        <v>3183</v>
      </c>
      <c r="AC35" s="3177" t="s">
        <v>3054</v>
      </c>
      <c r="AD35" s="3177" t="s">
        <v>3184</v>
      </c>
      <c r="AE35" s="3177">
        <v>1380</v>
      </c>
      <c r="AF35" s="3177">
        <v>2760</v>
      </c>
      <c r="AG35" s="3177">
        <v>2760</v>
      </c>
      <c r="AH35" s="3177">
        <v>120</v>
      </c>
      <c r="AI35" s="3177">
        <v>120</v>
      </c>
      <c r="AJ35" s="3177">
        <v>900.02</v>
      </c>
      <c r="AK35" s="3177">
        <v>900.02</v>
      </c>
      <c r="AL35" s="3177" t="s">
        <v>2817</v>
      </c>
      <c r="AM35" s="3177" t="s">
        <v>2817</v>
      </c>
      <c r="AN35" s="3177">
        <v>0</v>
      </c>
      <c r="AO35" s="3177" t="s">
        <v>3056</v>
      </c>
      <c r="AP35" s="3177" t="s">
        <v>2817</v>
      </c>
      <c r="AQ35" s="3177" t="s">
        <v>2817</v>
      </c>
      <c r="AR35" s="3177" t="s">
        <v>2817</v>
      </c>
    </row>
    <row r="36" spans="1:44" s="3183" customFormat="1">
      <c r="A36" s="3182" t="s">
        <v>3167</v>
      </c>
      <c r="B36" s="3182" t="s">
        <v>3040</v>
      </c>
      <c r="C36" s="3182" t="s">
        <v>3041</v>
      </c>
      <c r="D36" s="3182" t="s">
        <v>3042</v>
      </c>
      <c r="E36" s="3182" t="s">
        <v>2817</v>
      </c>
      <c r="F36" s="3182" t="s">
        <v>3167</v>
      </c>
      <c r="G36" s="3182" t="s">
        <v>3043</v>
      </c>
      <c r="H36" s="3182" t="s">
        <v>3185</v>
      </c>
      <c r="I36" s="3182" t="s">
        <v>3045</v>
      </c>
      <c r="J36" s="3182">
        <v>28994.58</v>
      </c>
      <c r="K36" s="3182">
        <v>31604.09</v>
      </c>
      <c r="L36" s="3182" t="s">
        <v>3169</v>
      </c>
      <c r="M36" s="3182" t="s">
        <v>2817</v>
      </c>
      <c r="N36" s="3182" t="s">
        <v>3047</v>
      </c>
      <c r="O36" s="3182" t="s">
        <v>3100</v>
      </c>
      <c r="P36" s="3182" t="s">
        <v>2817</v>
      </c>
      <c r="Q36" s="3182" t="s">
        <v>2817</v>
      </c>
      <c r="R36" s="3182" t="s">
        <v>2817</v>
      </c>
      <c r="S36" s="3182" t="s">
        <v>2817</v>
      </c>
      <c r="T36" s="3182" t="s">
        <v>2817</v>
      </c>
      <c r="U36" s="3182" t="s">
        <v>2817</v>
      </c>
      <c r="V36" s="3182" t="s">
        <v>2817</v>
      </c>
      <c r="W36" s="3182" t="s">
        <v>3119</v>
      </c>
      <c r="X36" s="3182" t="s">
        <v>3186</v>
      </c>
      <c r="Y36" s="3182" t="s">
        <v>3187</v>
      </c>
      <c r="Z36" s="3182" t="s">
        <v>3188</v>
      </c>
      <c r="AA36" s="3182" t="s">
        <v>3188</v>
      </c>
      <c r="AB36" s="3182" t="s">
        <v>3189</v>
      </c>
      <c r="AC36" s="3182" t="s">
        <v>3054</v>
      </c>
      <c r="AD36" s="3182" t="s">
        <v>3174</v>
      </c>
      <c r="AE36" s="3182">
        <v>3045</v>
      </c>
      <c r="AF36" s="3182">
        <v>6089</v>
      </c>
      <c r="AG36" s="3182">
        <v>6089</v>
      </c>
      <c r="AH36" s="3182">
        <v>140</v>
      </c>
      <c r="AI36" s="3182">
        <v>140</v>
      </c>
      <c r="AJ36" s="3182">
        <v>1926.64</v>
      </c>
      <c r="AK36" s="3182">
        <v>1926.65</v>
      </c>
      <c r="AL36" s="3182" t="s">
        <v>2817</v>
      </c>
      <c r="AM36" s="3182" t="s">
        <v>2817</v>
      </c>
      <c r="AN36" s="3182">
        <v>0</v>
      </c>
      <c r="AO36" s="3182" t="s">
        <v>3056</v>
      </c>
      <c r="AP36" s="3182" t="s">
        <v>2817</v>
      </c>
      <c r="AQ36" s="3182" t="s">
        <v>2817</v>
      </c>
      <c r="AR36" s="3182" t="s">
        <v>2817</v>
      </c>
    </row>
    <row r="37" spans="1:44" s="3183" customFormat="1">
      <c r="A37" s="3182" t="s">
        <v>3167</v>
      </c>
      <c r="B37" s="3182" t="s">
        <v>3040</v>
      </c>
      <c r="C37" s="3182" t="s">
        <v>3041</v>
      </c>
      <c r="D37" s="3182" t="s">
        <v>3042</v>
      </c>
      <c r="E37" s="3182" t="s">
        <v>2817</v>
      </c>
      <c r="F37" s="3182" t="s">
        <v>3167</v>
      </c>
      <c r="G37" s="3182" t="s">
        <v>3043</v>
      </c>
      <c r="H37" s="3182" t="s">
        <v>3190</v>
      </c>
      <c r="I37" s="3182" t="s">
        <v>3045</v>
      </c>
      <c r="J37" s="3182">
        <v>2079.5300000000002</v>
      </c>
      <c r="K37" s="3182">
        <v>2266.69</v>
      </c>
      <c r="L37" s="3182" t="s">
        <v>3169</v>
      </c>
      <c r="M37" s="3182" t="s">
        <v>2817</v>
      </c>
      <c r="N37" s="3182" t="s">
        <v>3047</v>
      </c>
      <c r="O37" s="3182" t="s">
        <v>3100</v>
      </c>
      <c r="P37" s="3182" t="s">
        <v>2817</v>
      </c>
      <c r="Q37" s="3182" t="s">
        <v>2817</v>
      </c>
      <c r="R37" s="3182" t="s">
        <v>2817</v>
      </c>
      <c r="S37" s="3182" t="s">
        <v>2817</v>
      </c>
      <c r="T37" s="3182" t="s">
        <v>2817</v>
      </c>
      <c r="U37" s="3182" t="s">
        <v>2817</v>
      </c>
      <c r="V37" s="3182" t="s">
        <v>2817</v>
      </c>
      <c r="W37" s="3182" t="s">
        <v>3119</v>
      </c>
      <c r="X37" s="3182" t="s">
        <v>3186</v>
      </c>
      <c r="Y37" s="3182" t="s">
        <v>3187</v>
      </c>
      <c r="Z37" s="3182" t="s">
        <v>3188</v>
      </c>
      <c r="AA37" s="3182" t="s">
        <v>3188</v>
      </c>
      <c r="AB37" s="3182" t="s">
        <v>3189</v>
      </c>
      <c r="AC37" s="3182" t="s">
        <v>3054</v>
      </c>
      <c r="AD37" s="3182" t="s">
        <v>3174</v>
      </c>
      <c r="AE37" s="3182">
        <v>220</v>
      </c>
      <c r="AF37" s="3182">
        <v>437</v>
      </c>
      <c r="AG37" s="3182">
        <v>437</v>
      </c>
      <c r="AH37" s="3182">
        <v>140.1</v>
      </c>
      <c r="AI37" s="3182">
        <v>140.1</v>
      </c>
      <c r="AJ37" s="3182">
        <v>1927.92</v>
      </c>
      <c r="AK37" s="3182">
        <v>1927.92</v>
      </c>
      <c r="AL37" s="3182" t="s">
        <v>2817</v>
      </c>
      <c r="AM37" s="3182" t="s">
        <v>2817</v>
      </c>
      <c r="AN37" s="3182">
        <v>0</v>
      </c>
      <c r="AO37" s="3182" t="s">
        <v>3056</v>
      </c>
      <c r="AP37" s="3182" t="s">
        <v>2817</v>
      </c>
      <c r="AQ37" s="3182" t="s">
        <v>2817</v>
      </c>
      <c r="AR37" s="3182" t="s">
        <v>2817</v>
      </c>
    </row>
    <row r="38" spans="1:44" s="3183" customFormat="1">
      <c r="A38" s="3182" t="s">
        <v>3167</v>
      </c>
      <c r="B38" s="3182" t="s">
        <v>3040</v>
      </c>
      <c r="C38" s="3182" t="s">
        <v>3041</v>
      </c>
      <c r="D38" s="3182" t="s">
        <v>3042</v>
      </c>
      <c r="E38" s="3182" t="s">
        <v>2817</v>
      </c>
      <c r="F38" s="3182" t="s">
        <v>3167</v>
      </c>
      <c r="G38" s="3182" t="s">
        <v>3043</v>
      </c>
      <c r="H38" s="3182" t="s">
        <v>3191</v>
      </c>
      <c r="I38" s="3182" t="s">
        <v>3045</v>
      </c>
      <c r="J38" s="3182">
        <v>2680.4</v>
      </c>
      <c r="K38" s="3182">
        <v>2921.64</v>
      </c>
      <c r="L38" s="3182" t="s">
        <v>3169</v>
      </c>
      <c r="M38" s="3182" t="s">
        <v>2817</v>
      </c>
      <c r="N38" s="3182" t="s">
        <v>3047</v>
      </c>
      <c r="O38" s="3182" t="s">
        <v>3100</v>
      </c>
      <c r="P38" s="3182" t="s">
        <v>2817</v>
      </c>
      <c r="Q38" s="3182" t="s">
        <v>2817</v>
      </c>
      <c r="R38" s="3182" t="s">
        <v>2817</v>
      </c>
      <c r="S38" s="3182" t="s">
        <v>2817</v>
      </c>
      <c r="T38" s="3182" t="s">
        <v>2817</v>
      </c>
      <c r="U38" s="3182" t="s">
        <v>2817</v>
      </c>
      <c r="V38" s="3182" t="s">
        <v>2817</v>
      </c>
      <c r="W38" s="3182" t="s">
        <v>3119</v>
      </c>
      <c r="X38" s="3182" t="s">
        <v>3186</v>
      </c>
      <c r="Y38" s="3182" t="s">
        <v>3187</v>
      </c>
      <c r="Z38" s="3182" t="s">
        <v>3188</v>
      </c>
      <c r="AA38" s="3182" t="s">
        <v>3188</v>
      </c>
      <c r="AB38" s="3182" t="s">
        <v>3189</v>
      </c>
      <c r="AC38" s="3182" t="s">
        <v>3054</v>
      </c>
      <c r="AD38" s="3182" t="s">
        <v>3174</v>
      </c>
      <c r="AE38" s="3182">
        <v>282</v>
      </c>
      <c r="AF38" s="3182">
        <v>563</v>
      </c>
      <c r="AG38" s="3182">
        <v>563</v>
      </c>
      <c r="AH38" s="3182">
        <v>140.03</v>
      </c>
      <c r="AI38" s="3182">
        <v>140.03</v>
      </c>
      <c r="AJ38" s="3182">
        <v>1926.99</v>
      </c>
      <c r="AK38" s="3182">
        <v>1927</v>
      </c>
      <c r="AL38" s="3182" t="s">
        <v>2817</v>
      </c>
      <c r="AM38" s="3182" t="s">
        <v>2817</v>
      </c>
      <c r="AN38" s="3182">
        <v>0</v>
      </c>
      <c r="AO38" s="3182" t="s">
        <v>3056</v>
      </c>
      <c r="AP38" s="3182" t="s">
        <v>2817</v>
      </c>
      <c r="AQ38" s="3182" t="s">
        <v>2817</v>
      </c>
      <c r="AR38" s="3182" t="s">
        <v>2817</v>
      </c>
    </row>
    <row r="39" spans="1:44">
      <c r="A39" s="3177" t="s">
        <v>3192</v>
      </c>
      <c r="B39" s="3177" t="s">
        <v>3040</v>
      </c>
      <c r="C39" s="3177" t="s">
        <v>3041</v>
      </c>
      <c r="D39" s="3177" t="s">
        <v>3042</v>
      </c>
      <c r="E39" s="3177" t="s">
        <v>2817</v>
      </c>
      <c r="F39" s="3177" t="s">
        <v>3192</v>
      </c>
      <c r="G39" s="3177" t="s">
        <v>3043</v>
      </c>
      <c r="H39" s="3177" t="s">
        <v>3193</v>
      </c>
      <c r="I39" s="3177" t="s">
        <v>3045</v>
      </c>
      <c r="J39" s="3177">
        <v>12849.79</v>
      </c>
      <c r="K39" s="3177">
        <v>32124.48</v>
      </c>
      <c r="L39" s="3177" t="s">
        <v>3194</v>
      </c>
      <c r="M39" s="3177" t="s">
        <v>2817</v>
      </c>
      <c r="N39" s="3177" t="s">
        <v>3195</v>
      </c>
      <c r="O39" s="3177" t="s">
        <v>3156</v>
      </c>
      <c r="P39" s="3177" t="s">
        <v>2817</v>
      </c>
      <c r="Q39" s="3177" t="s">
        <v>2817</v>
      </c>
      <c r="R39" s="3177" t="s">
        <v>2817</v>
      </c>
      <c r="S39" s="3177" t="s">
        <v>2817</v>
      </c>
      <c r="T39" s="3177" t="s">
        <v>2817</v>
      </c>
      <c r="U39" s="3177" t="s">
        <v>2817</v>
      </c>
      <c r="V39" s="3177" t="s">
        <v>2817</v>
      </c>
      <c r="W39" s="3177" t="s">
        <v>3119</v>
      </c>
      <c r="X39" s="3177" t="s">
        <v>3186</v>
      </c>
      <c r="Y39" s="3177" t="s">
        <v>3187</v>
      </c>
      <c r="Z39" s="3177" t="s">
        <v>3188</v>
      </c>
      <c r="AA39" s="3177" t="s">
        <v>3188</v>
      </c>
      <c r="AB39" s="3177" t="s">
        <v>3196</v>
      </c>
      <c r="AC39" s="3177" t="s">
        <v>3054</v>
      </c>
      <c r="AD39" s="3177" t="s">
        <v>3197</v>
      </c>
      <c r="AE39" s="3177">
        <v>1661</v>
      </c>
      <c r="AF39" s="3177">
        <v>3322</v>
      </c>
      <c r="AG39" s="3177">
        <v>3322</v>
      </c>
      <c r="AH39" s="3177">
        <v>172.35</v>
      </c>
      <c r="AI39" s="3177">
        <v>172.35</v>
      </c>
      <c r="AJ39" s="3177">
        <v>1034.0999999999999</v>
      </c>
      <c r="AK39" s="3177">
        <v>1034.0899999999999</v>
      </c>
      <c r="AL39" s="3177" t="s">
        <v>2817</v>
      </c>
      <c r="AM39" s="3177" t="s">
        <v>2817</v>
      </c>
      <c r="AN39" s="3177">
        <v>0</v>
      </c>
      <c r="AO39" s="3177" t="s">
        <v>3056</v>
      </c>
      <c r="AP39" s="3177" t="s">
        <v>2817</v>
      </c>
      <c r="AQ39" s="3177" t="s">
        <v>2817</v>
      </c>
      <c r="AR39" s="3177" t="s">
        <v>2817</v>
      </c>
    </row>
    <row r="40" spans="1:44" s="3183" customFormat="1">
      <c r="A40" s="3182" t="s">
        <v>3167</v>
      </c>
      <c r="B40" s="3182" t="s">
        <v>3040</v>
      </c>
      <c r="C40" s="3182" t="s">
        <v>3041</v>
      </c>
      <c r="D40" s="3182" t="s">
        <v>3042</v>
      </c>
      <c r="E40" s="3182" t="s">
        <v>2817</v>
      </c>
      <c r="F40" s="3182" t="s">
        <v>3167</v>
      </c>
      <c r="G40" s="3182" t="s">
        <v>3043</v>
      </c>
      <c r="H40" s="3182" t="s">
        <v>3198</v>
      </c>
      <c r="I40" s="3182" t="s">
        <v>3045</v>
      </c>
      <c r="J40" s="3182">
        <v>568.59</v>
      </c>
      <c r="K40" s="3182">
        <v>619.76</v>
      </c>
      <c r="L40" s="3182" t="s">
        <v>3169</v>
      </c>
      <c r="M40" s="3182" t="s">
        <v>2817</v>
      </c>
      <c r="N40" s="3182" t="s">
        <v>3047</v>
      </c>
      <c r="O40" s="3182" t="s">
        <v>3100</v>
      </c>
      <c r="P40" s="3182" t="s">
        <v>2817</v>
      </c>
      <c r="Q40" s="3182" t="s">
        <v>2817</v>
      </c>
      <c r="R40" s="3182" t="s">
        <v>2817</v>
      </c>
      <c r="S40" s="3182" t="s">
        <v>2817</v>
      </c>
      <c r="T40" s="3182" t="s">
        <v>2817</v>
      </c>
      <c r="U40" s="3182" t="s">
        <v>2817</v>
      </c>
      <c r="V40" s="3182" t="s">
        <v>2817</v>
      </c>
      <c r="W40" s="3182" t="s">
        <v>3119</v>
      </c>
      <c r="X40" s="3182" t="s">
        <v>3186</v>
      </c>
      <c r="Y40" s="3182" t="s">
        <v>3187</v>
      </c>
      <c r="Z40" s="3182" t="s">
        <v>3188</v>
      </c>
      <c r="AA40" s="3182" t="s">
        <v>3188</v>
      </c>
      <c r="AB40" s="3182" t="s">
        <v>3189</v>
      </c>
      <c r="AC40" s="3182" t="s">
        <v>3054</v>
      </c>
      <c r="AD40" s="3182" t="s">
        <v>3174</v>
      </c>
      <c r="AE40" s="3182">
        <v>60</v>
      </c>
      <c r="AF40" s="3182">
        <v>120</v>
      </c>
      <c r="AG40" s="3182">
        <v>120</v>
      </c>
      <c r="AH40" s="3182">
        <v>140.69999999999999</v>
      </c>
      <c r="AI40" s="3182">
        <v>140.69999999999999</v>
      </c>
      <c r="AJ40" s="3182">
        <v>1936.23</v>
      </c>
      <c r="AK40" s="3182">
        <v>1936.23</v>
      </c>
      <c r="AL40" s="3182" t="s">
        <v>2817</v>
      </c>
      <c r="AM40" s="3182" t="s">
        <v>2817</v>
      </c>
      <c r="AN40" s="3182">
        <v>0</v>
      </c>
      <c r="AO40" s="3182" t="s">
        <v>3056</v>
      </c>
      <c r="AP40" s="3182" t="s">
        <v>2817</v>
      </c>
      <c r="AQ40" s="3182" t="s">
        <v>2817</v>
      </c>
      <c r="AR40" s="3182" t="s">
        <v>2817</v>
      </c>
    </row>
    <row r="41" spans="1:44" s="3185" customFormat="1">
      <c r="A41" s="3184" t="s">
        <v>3199</v>
      </c>
      <c r="B41" s="3184" t="s">
        <v>3040</v>
      </c>
      <c r="C41" s="3184" t="s">
        <v>3041</v>
      </c>
      <c r="D41" s="3184" t="s">
        <v>3042</v>
      </c>
      <c r="E41" s="3184" t="s">
        <v>2817</v>
      </c>
      <c r="F41" s="3184" t="s">
        <v>3199</v>
      </c>
      <c r="G41" s="3184" t="s">
        <v>3043</v>
      </c>
      <c r="H41" s="3184" t="s">
        <v>3200</v>
      </c>
      <c r="I41" s="3184" t="s">
        <v>3045</v>
      </c>
      <c r="J41" s="3184">
        <v>27223.23</v>
      </c>
      <c r="K41" s="3184">
        <v>40834.85</v>
      </c>
      <c r="L41" s="3184" t="s">
        <v>3147</v>
      </c>
      <c r="M41" s="3184" t="s">
        <v>2817</v>
      </c>
      <c r="N41" s="3184" t="s">
        <v>3079</v>
      </c>
      <c r="O41" s="3184" t="s">
        <v>3060</v>
      </c>
      <c r="P41" s="3184" t="s">
        <v>2817</v>
      </c>
      <c r="Q41" s="3184" t="s">
        <v>2817</v>
      </c>
      <c r="R41" s="3184" t="s">
        <v>2817</v>
      </c>
      <c r="S41" s="3184" t="s">
        <v>2817</v>
      </c>
      <c r="T41" s="3184" t="s">
        <v>2817</v>
      </c>
      <c r="U41" s="3184" t="s">
        <v>2817</v>
      </c>
      <c r="V41" s="3184" t="s">
        <v>2817</v>
      </c>
      <c r="W41" s="3184" t="s">
        <v>3119</v>
      </c>
      <c r="X41" s="3184" t="s">
        <v>3148</v>
      </c>
      <c r="Y41" s="3184" t="s">
        <v>3149</v>
      </c>
      <c r="Z41" s="3184" t="s">
        <v>3201</v>
      </c>
      <c r="AA41" s="3184" t="s">
        <v>3139</v>
      </c>
      <c r="AB41" s="3184" t="s">
        <v>3202</v>
      </c>
      <c r="AC41" s="3184" t="s">
        <v>3054</v>
      </c>
      <c r="AD41" s="3184" t="s">
        <v>3203</v>
      </c>
      <c r="AE41" s="3184">
        <v>1940</v>
      </c>
      <c r="AF41" s="3184">
        <v>3880</v>
      </c>
      <c r="AG41" s="3184">
        <v>3900</v>
      </c>
      <c r="AH41" s="3184">
        <v>95.02</v>
      </c>
      <c r="AI41" s="3184">
        <v>95.51</v>
      </c>
      <c r="AJ41" s="3184">
        <v>950.16</v>
      </c>
      <c r="AK41" s="3184">
        <v>955.07</v>
      </c>
      <c r="AL41" s="3184" t="s">
        <v>2817</v>
      </c>
      <c r="AM41" s="3184" t="s">
        <v>2817</v>
      </c>
      <c r="AN41" s="3184">
        <v>0.52</v>
      </c>
      <c r="AO41" s="3184" t="s">
        <v>3056</v>
      </c>
      <c r="AP41" s="3184" t="s">
        <v>2817</v>
      </c>
      <c r="AQ41" s="3184" t="s">
        <v>2817</v>
      </c>
      <c r="AR41" s="3184" t="s">
        <v>2817</v>
      </c>
    </row>
    <row r="42" spans="1:44" s="3185" customFormat="1">
      <c r="A42" s="3184" t="s">
        <v>3199</v>
      </c>
      <c r="B42" s="3184" t="s">
        <v>3040</v>
      </c>
      <c r="C42" s="3184" t="s">
        <v>3041</v>
      </c>
      <c r="D42" s="3184" t="s">
        <v>3042</v>
      </c>
      <c r="E42" s="3184" t="s">
        <v>2817</v>
      </c>
      <c r="F42" s="3184" t="s">
        <v>3199</v>
      </c>
      <c r="G42" s="3184" t="s">
        <v>3043</v>
      </c>
      <c r="H42" s="3184" t="s">
        <v>3204</v>
      </c>
      <c r="I42" s="3184" t="s">
        <v>3045</v>
      </c>
      <c r="J42" s="3184">
        <v>39312.639999999999</v>
      </c>
      <c r="K42" s="3184">
        <v>58968.959999999999</v>
      </c>
      <c r="L42" s="3184" t="s">
        <v>3147</v>
      </c>
      <c r="M42" s="3184" t="s">
        <v>2817</v>
      </c>
      <c r="N42" s="3184" t="s">
        <v>3079</v>
      </c>
      <c r="O42" s="3184" t="s">
        <v>3060</v>
      </c>
      <c r="P42" s="3184" t="s">
        <v>2817</v>
      </c>
      <c r="Q42" s="3184" t="s">
        <v>2817</v>
      </c>
      <c r="R42" s="3184" t="s">
        <v>2817</v>
      </c>
      <c r="S42" s="3184" t="s">
        <v>2817</v>
      </c>
      <c r="T42" s="3184" t="s">
        <v>2817</v>
      </c>
      <c r="U42" s="3184" t="s">
        <v>2817</v>
      </c>
      <c r="V42" s="3184" t="s">
        <v>2817</v>
      </c>
      <c r="W42" s="3184" t="s">
        <v>3119</v>
      </c>
      <c r="X42" s="3184" t="s">
        <v>3148</v>
      </c>
      <c r="Y42" s="3184" t="s">
        <v>3149</v>
      </c>
      <c r="Z42" s="3184" t="s">
        <v>3201</v>
      </c>
      <c r="AA42" s="3184" t="s">
        <v>3139</v>
      </c>
      <c r="AB42" s="3184" t="s">
        <v>3202</v>
      </c>
      <c r="AC42" s="3184" t="s">
        <v>3054</v>
      </c>
      <c r="AD42" s="3184" t="s">
        <v>3203</v>
      </c>
      <c r="AE42" s="3184">
        <v>2801</v>
      </c>
      <c r="AF42" s="3184">
        <v>5602</v>
      </c>
      <c r="AG42" s="3184">
        <v>5622</v>
      </c>
      <c r="AH42" s="3184">
        <v>95</v>
      </c>
      <c r="AI42" s="3184">
        <v>95.34</v>
      </c>
      <c r="AJ42" s="3184">
        <v>949.99</v>
      </c>
      <c r="AK42" s="3184">
        <v>953.37</v>
      </c>
      <c r="AL42" s="3184" t="s">
        <v>2817</v>
      </c>
      <c r="AM42" s="3184" t="s">
        <v>2817</v>
      </c>
      <c r="AN42" s="3184">
        <v>0.36</v>
      </c>
      <c r="AO42" s="3184" t="s">
        <v>3056</v>
      </c>
      <c r="AP42" s="3184" t="s">
        <v>2817</v>
      </c>
      <c r="AQ42" s="3184" t="s">
        <v>2817</v>
      </c>
      <c r="AR42" s="3184" t="s">
        <v>2817</v>
      </c>
    </row>
    <row r="43" spans="1:44" s="3187" customFormat="1">
      <c r="A43" s="3186" t="s">
        <v>3205</v>
      </c>
      <c r="B43" s="3186" t="s">
        <v>3040</v>
      </c>
      <c r="C43" s="3186" t="s">
        <v>3041</v>
      </c>
      <c r="D43" s="3186" t="s">
        <v>3042</v>
      </c>
      <c r="E43" s="3186" t="s">
        <v>2817</v>
      </c>
      <c r="F43" s="3186" t="s">
        <v>3205</v>
      </c>
      <c r="G43" s="3186" t="s">
        <v>3043</v>
      </c>
      <c r="H43" s="3186" t="s">
        <v>3206</v>
      </c>
      <c r="I43" s="3186" t="s">
        <v>3045</v>
      </c>
      <c r="J43" s="3186">
        <v>7575.11</v>
      </c>
      <c r="K43" s="3186">
        <v>11362.67</v>
      </c>
      <c r="L43" s="3186" t="s">
        <v>3147</v>
      </c>
      <c r="M43" s="3186" t="s">
        <v>2817</v>
      </c>
      <c r="N43" s="3186" t="s">
        <v>3195</v>
      </c>
      <c r="O43" s="3186" t="s">
        <v>3207</v>
      </c>
      <c r="P43" s="3186" t="s">
        <v>2817</v>
      </c>
      <c r="Q43" s="3186" t="s">
        <v>2817</v>
      </c>
      <c r="R43" s="3186" t="s">
        <v>2817</v>
      </c>
      <c r="S43" s="3186" t="s">
        <v>2817</v>
      </c>
      <c r="T43" s="3186" t="s">
        <v>2817</v>
      </c>
      <c r="U43" s="3186" t="s">
        <v>2817</v>
      </c>
      <c r="V43" s="3186" t="s">
        <v>2817</v>
      </c>
      <c r="W43" s="3186" t="s">
        <v>3119</v>
      </c>
      <c r="X43" s="3186" t="s">
        <v>3208</v>
      </c>
      <c r="Y43" s="3186" t="s">
        <v>3209</v>
      </c>
      <c r="Z43" s="3186" t="s">
        <v>3210</v>
      </c>
      <c r="AA43" s="3186" t="s">
        <v>3210</v>
      </c>
      <c r="AB43" s="3186" t="s">
        <v>3211</v>
      </c>
      <c r="AC43" s="3186" t="s">
        <v>3054</v>
      </c>
      <c r="AD43" s="3186" t="s">
        <v>3212</v>
      </c>
      <c r="AE43" s="3186">
        <v>570</v>
      </c>
      <c r="AF43" s="3186">
        <v>1137</v>
      </c>
      <c r="AG43" s="3186">
        <v>1137</v>
      </c>
      <c r="AH43" s="3186">
        <v>100.06</v>
      </c>
      <c r="AI43" s="3186">
        <v>100.06</v>
      </c>
      <c r="AJ43" s="3186">
        <v>1000.64</v>
      </c>
      <c r="AK43" s="3186">
        <v>1000.64</v>
      </c>
      <c r="AL43" s="3186" t="s">
        <v>2817</v>
      </c>
      <c r="AM43" s="3186" t="s">
        <v>2817</v>
      </c>
      <c r="AN43" s="3186">
        <v>0</v>
      </c>
      <c r="AO43" s="3186" t="s">
        <v>3056</v>
      </c>
      <c r="AP43" s="3186" t="s">
        <v>2817</v>
      </c>
      <c r="AQ43" s="3186" t="s">
        <v>2817</v>
      </c>
      <c r="AR43" s="3186" t="s">
        <v>2817</v>
      </c>
    </row>
    <row r="44" spans="1:44" s="3185" customFormat="1">
      <c r="A44" s="3184" t="s">
        <v>3213</v>
      </c>
      <c r="B44" s="3184" t="s">
        <v>3040</v>
      </c>
      <c r="C44" s="3184" t="s">
        <v>3041</v>
      </c>
      <c r="D44" s="3184" t="s">
        <v>3042</v>
      </c>
      <c r="E44" s="3184" t="s">
        <v>2817</v>
      </c>
      <c r="F44" s="3184" t="s">
        <v>3213</v>
      </c>
      <c r="G44" s="3184" t="s">
        <v>3043</v>
      </c>
      <c r="H44" s="3184" t="s">
        <v>3214</v>
      </c>
      <c r="I44" s="3184" t="s">
        <v>3045</v>
      </c>
      <c r="J44" s="3184">
        <v>2941.31</v>
      </c>
      <c r="K44" s="3184">
        <v>5882.62</v>
      </c>
      <c r="L44" s="3184" t="s">
        <v>3046</v>
      </c>
      <c r="M44" s="3184" t="s">
        <v>2817</v>
      </c>
      <c r="N44" s="3184" t="s">
        <v>3215</v>
      </c>
      <c r="O44" s="3184" t="s">
        <v>3100</v>
      </c>
      <c r="P44" s="3184" t="s">
        <v>2817</v>
      </c>
      <c r="Q44" s="3184" t="s">
        <v>2817</v>
      </c>
      <c r="R44" s="3184" t="s">
        <v>2817</v>
      </c>
      <c r="S44" s="3184" t="s">
        <v>2817</v>
      </c>
      <c r="T44" s="3184" t="s">
        <v>2817</v>
      </c>
      <c r="U44" s="3184" t="s">
        <v>2817</v>
      </c>
      <c r="V44" s="3184" t="s">
        <v>2817</v>
      </c>
      <c r="W44" s="3184" t="s">
        <v>3119</v>
      </c>
      <c r="X44" s="3184" t="s">
        <v>3208</v>
      </c>
      <c r="Y44" s="3184" t="s">
        <v>3209</v>
      </c>
      <c r="Z44" s="3184" t="s">
        <v>3210</v>
      </c>
      <c r="AA44" s="3184" t="s">
        <v>3210</v>
      </c>
      <c r="AB44" s="3184" t="s">
        <v>3211</v>
      </c>
      <c r="AC44" s="3184" t="s">
        <v>3054</v>
      </c>
      <c r="AD44" s="3184" t="s">
        <v>3216</v>
      </c>
      <c r="AE44" s="3184">
        <v>150</v>
      </c>
      <c r="AF44" s="3184">
        <v>287</v>
      </c>
      <c r="AG44" s="3184">
        <v>287</v>
      </c>
      <c r="AH44" s="3184">
        <v>65.05</v>
      </c>
      <c r="AI44" s="3184">
        <v>65.05</v>
      </c>
      <c r="AJ44" s="3184">
        <v>487.87</v>
      </c>
      <c r="AK44" s="3184">
        <v>487.87</v>
      </c>
      <c r="AL44" s="3184" t="s">
        <v>2817</v>
      </c>
      <c r="AM44" s="3184" t="s">
        <v>2817</v>
      </c>
      <c r="AN44" s="3184">
        <v>0</v>
      </c>
      <c r="AO44" s="3184" t="s">
        <v>3056</v>
      </c>
      <c r="AP44" s="3184" t="s">
        <v>2817</v>
      </c>
      <c r="AQ44" s="3184" t="s">
        <v>2817</v>
      </c>
      <c r="AR44" s="3184" t="s">
        <v>2817</v>
      </c>
    </row>
    <row r="45" spans="1:44" s="3187" customFormat="1">
      <c r="A45" s="3186" t="s">
        <v>3217</v>
      </c>
      <c r="B45" s="3186" t="s">
        <v>3040</v>
      </c>
      <c r="C45" s="3186" t="s">
        <v>3041</v>
      </c>
      <c r="D45" s="3186" t="s">
        <v>3042</v>
      </c>
      <c r="E45" s="3186" t="s">
        <v>2817</v>
      </c>
      <c r="F45" s="3186" t="s">
        <v>3217</v>
      </c>
      <c r="G45" s="3186" t="s">
        <v>3043</v>
      </c>
      <c r="H45" s="3186" t="s">
        <v>3218</v>
      </c>
      <c r="I45" s="3186" t="s">
        <v>3045</v>
      </c>
      <c r="J45" s="3186">
        <v>1403.37</v>
      </c>
      <c r="K45" s="3186">
        <v>2105.06</v>
      </c>
      <c r="L45" s="3186" t="s">
        <v>3147</v>
      </c>
      <c r="M45" s="3186" t="s">
        <v>2817</v>
      </c>
      <c r="N45" s="3186" t="s">
        <v>3195</v>
      </c>
      <c r="O45" s="3186" t="s">
        <v>3207</v>
      </c>
      <c r="P45" s="3186" t="s">
        <v>2817</v>
      </c>
      <c r="Q45" s="3186" t="s">
        <v>2817</v>
      </c>
      <c r="R45" s="3186" t="s">
        <v>2817</v>
      </c>
      <c r="S45" s="3186" t="s">
        <v>2817</v>
      </c>
      <c r="T45" s="3186" t="s">
        <v>2817</v>
      </c>
      <c r="U45" s="3186" t="s">
        <v>2817</v>
      </c>
      <c r="V45" s="3186" t="s">
        <v>2817</v>
      </c>
      <c r="W45" s="3186" t="s">
        <v>3119</v>
      </c>
      <c r="X45" s="3186" t="s">
        <v>3208</v>
      </c>
      <c r="Y45" s="3186" t="s">
        <v>3209</v>
      </c>
      <c r="Z45" s="3186" t="s">
        <v>3210</v>
      </c>
      <c r="AA45" s="3186" t="s">
        <v>3210</v>
      </c>
      <c r="AB45" s="3186" t="s">
        <v>3211</v>
      </c>
      <c r="AC45" s="3186" t="s">
        <v>3054</v>
      </c>
      <c r="AD45" s="3186" t="s">
        <v>3212</v>
      </c>
      <c r="AE45" s="3186">
        <v>150</v>
      </c>
      <c r="AF45" s="3186">
        <v>211</v>
      </c>
      <c r="AG45" s="3186">
        <v>211</v>
      </c>
      <c r="AH45" s="3186">
        <v>100.23</v>
      </c>
      <c r="AI45" s="3186">
        <v>100.23</v>
      </c>
      <c r="AJ45" s="3186">
        <v>1002.34</v>
      </c>
      <c r="AK45" s="3186">
        <v>1002.35</v>
      </c>
      <c r="AL45" s="3186" t="s">
        <v>2817</v>
      </c>
      <c r="AM45" s="3186" t="s">
        <v>2817</v>
      </c>
      <c r="AN45" s="3186">
        <v>0</v>
      </c>
      <c r="AO45" s="3186" t="s">
        <v>3056</v>
      </c>
      <c r="AP45" s="3186" t="s">
        <v>2817</v>
      </c>
      <c r="AQ45" s="3186" t="s">
        <v>2817</v>
      </c>
      <c r="AR45" s="3186" t="s">
        <v>2817</v>
      </c>
    </row>
    <row r="46" spans="1:44" s="3187" customFormat="1">
      <c r="A46" s="3186" t="s">
        <v>3217</v>
      </c>
      <c r="B46" s="3186" t="s">
        <v>3040</v>
      </c>
      <c r="C46" s="3186" t="s">
        <v>3041</v>
      </c>
      <c r="D46" s="3186" t="s">
        <v>3042</v>
      </c>
      <c r="E46" s="3186" t="s">
        <v>2817</v>
      </c>
      <c r="F46" s="3186" t="s">
        <v>3217</v>
      </c>
      <c r="G46" s="3186" t="s">
        <v>3043</v>
      </c>
      <c r="H46" s="3186" t="s">
        <v>3219</v>
      </c>
      <c r="I46" s="3186" t="s">
        <v>3045</v>
      </c>
      <c r="J46" s="3186">
        <v>48734.67</v>
      </c>
      <c r="K46" s="3186">
        <v>73102.009999999995</v>
      </c>
      <c r="L46" s="3186" t="s">
        <v>3147</v>
      </c>
      <c r="M46" s="3186" t="s">
        <v>2817</v>
      </c>
      <c r="N46" s="3186" t="s">
        <v>3195</v>
      </c>
      <c r="O46" s="3186" t="s">
        <v>3207</v>
      </c>
      <c r="P46" s="3186" t="s">
        <v>2817</v>
      </c>
      <c r="Q46" s="3186" t="s">
        <v>2817</v>
      </c>
      <c r="R46" s="3186" t="s">
        <v>2817</v>
      </c>
      <c r="S46" s="3186" t="s">
        <v>2817</v>
      </c>
      <c r="T46" s="3186" t="s">
        <v>2817</v>
      </c>
      <c r="U46" s="3186" t="s">
        <v>2817</v>
      </c>
      <c r="V46" s="3186" t="s">
        <v>2817</v>
      </c>
      <c r="W46" s="3186" t="s">
        <v>3119</v>
      </c>
      <c r="X46" s="3186" t="s">
        <v>3208</v>
      </c>
      <c r="Y46" s="3186" t="s">
        <v>3209</v>
      </c>
      <c r="Z46" s="3186" t="s">
        <v>3210</v>
      </c>
      <c r="AA46" s="3186" t="s">
        <v>3210</v>
      </c>
      <c r="AB46" s="3186" t="s">
        <v>3211</v>
      </c>
      <c r="AC46" s="3186" t="s">
        <v>3054</v>
      </c>
      <c r="AD46" s="3186" t="s">
        <v>3212</v>
      </c>
      <c r="AE46" s="3186">
        <v>3700</v>
      </c>
      <c r="AF46" s="3186">
        <v>7311</v>
      </c>
      <c r="AG46" s="3186">
        <v>7311</v>
      </c>
      <c r="AH46" s="3186">
        <v>100.01</v>
      </c>
      <c r="AI46" s="3186">
        <v>100.01</v>
      </c>
      <c r="AJ46" s="3186">
        <v>1000.1</v>
      </c>
      <c r="AK46" s="3186">
        <v>1000.11</v>
      </c>
      <c r="AL46" s="3186" t="s">
        <v>2817</v>
      </c>
      <c r="AM46" s="3186" t="s">
        <v>2817</v>
      </c>
      <c r="AN46" s="3186">
        <v>0</v>
      </c>
      <c r="AO46" s="3186" t="s">
        <v>3056</v>
      </c>
      <c r="AP46" s="3186" t="s">
        <v>2817</v>
      </c>
      <c r="AQ46" s="3186" t="s">
        <v>2817</v>
      </c>
      <c r="AR46" s="3186" t="s">
        <v>2817</v>
      </c>
    </row>
    <row r="47" spans="1:44" s="3185" customFormat="1">
      <c r="A47" s="3184" t="s">
        <v>3220</v>
      </c>
      <c r="B47" s="3184" t="s">
        <v>3040</v>
      </c>
      <c r="C47" s="3184" t="s">
        <v>3041</v>
      </c>
      <c r="D47" s="3184" t="s">
        <v>3042</v>
      </c>
      <c r="E47" s="3184" t="s">
        <v>2817</v>
      </c>
      <c r="F47" s="3184" t="s">
        <v>3220</v>
      </c>
      <c r="G47" s="3184" t="s">
        <v>3043</v>
      </c>
      <c r="H47" s="3184" t="s">
        <v>3221</v>
      </c>
      <c r="I47" s="3184" t="s">
        <v>3045</v>
      </c>
      <c r="J47" s="3184">
        <v>33333.21</v>
      </c>
      <c r="K47" s="3184">
        <v>66666.42</v>
      </c>
      <c r="L47" s="3184" t="s">
        <v>3046</v>
      </c>
      <c r="M47" s="3184" t="s">
        <v>2817</v>
      </c>
      <c r="N47" s="3184" t="s">
        <v>3079</v>
      </c>
      <c r="O47" s="3184" t="s">
        <v>3100</v>
      </c>
      <c r="P47" s="3184" t="s">
        <v>2817</v>
      </c>
      <c r="Q47" s="3184" t="s">
        <v>2817</v>
      </c>
      <c r="R47" s="3184" t="s">
        <v>2817</v>
      </c>
      <c r="S47" s="3184" t="s">
        <v>2817</v>
      </c>
      <c r="T47" s="3184" t="s">
        <v>2817</v>
      </c>
      <c r="U47" s="3184" t="s">
        <v>2817</v>
      </c>
      <c r="V47" s="3184" t="s">
        <v>2817</v>
      </c>
      <c r="W47" s="3184" t="s">
        <v>3119</v>
      </c>
      <c r="X47" s="3184" t="s">
        <v>3208</v>
      </c>
      <c r="Y47" s="3184" t="s">
        <v>3209</v>
      </c>
      <c r="Z47" s="3184" t="s">
        <v>3210</v>
      </c>
      <c r="AA47" s="3184" t="s">
        <v>3210</v>
      </c>
      <c r="AB47" s="3184" t="s">
        <v>3211</v>
      </c>
      <c r="AC47" s="3184" t="s">
        <v>3054</v>
      </c>
      <c r="AD47" s="3184" t="s">
        <v>3222</v>
      </c>
      <c r="AE47" s="3184">
        <v>1800</v>
      </c>
      <c r="AF47" s="3184">
        <v>3450</v>
      </c>
      <c r="AG47" s="3184">
        <v>3450</v>
      </c>
      <c r="AH47" s="3184">
        <v>69</v>
      </c>
      <c r="AI47" s="3184">
        <v>69</v>
      </c>
      <c r="AJ47" s="3184">
        <v>517.5</v>
      </c>
      <c r="AK47" s="3184">
        <v>517.5</v>
      </c>
      <c r="AL47" s="3184" t="s">
        <v>2817</v>
      </c>
      <c r="AM47" s="3184" t="s">
        <v>2817</v>
      </c>
      <c r="AN47" s="3184">
        <v>0</v>
      </c>
      <c r="AO47" s="3184" t="s">
        <v>3056</v>
      </c>
      <c r="AP47" s="3184" t="s">
        <v>2817</v>
      </c>
      <c r="AQ47" s="3184" t="s">
        <v>2817</v>
      </c>
      <c r="AR47" s="3184" t="s">
        <v>2817</v>
      </c>
    </row>
    <row r="48" spans="1:44" s="3187" customFormat="1">
      <c r="A48" s="3186" t="s">
        <v>3217</v>
      </c>
      <c r="B48" s="3186" t="s">
        <v>3040</v>
      </c>
      <c r="C48" s="3186" t="s">
        <v>3041</v>
      </c>
      <c r="D48" s="3186" t="s">
        <v>3042</v>
      </c>
      <c r="E48" s="3186" t="s">
        <v>2817</v>
      </c>
      <c r="F48" s="3186" t="s">
        <v>3217</v>
      </c>
      <c r="G48" s="3186" t="s">
        <v>3043</v>
      </c>
      <c r="H48" s="3186" t="s">
        <v>3223</v>
      </c>
      <c r="I48" s="3186" t="s">
        <v>3045</v>
      </c>
      <c r="J48" s="3186">
        <v>752.24</v>
      </c>
      <c r="K48" s="3186">
        <v>1128.3599999999999</v>
      </c>
      <c r="L48" s="3186" t="s">
        <v>3147</v>
      </c>
      <c r="M48" s="3186" t="s">
        <v>2817</v>
      </c>
      <c r="N48" s="3186" t="s">
        <v>3195</v>
      </c>
      <c r="O48" s="3186" t="s">
        <v>3207</v>
      </c>
      <c r="P48" s="3186" t="s">
        <v>2817</v>
      </c>
      <c r="Q48" s="3186" t="s">
        <v>2817</v>
      </c>
      <c r="R48" s="3186" t="s">
        <v>2817</v>
      </c>
      <c r="S48" s="3186" t="s">
        <v>2817</v>
      </c>
      <c r="T48" s="3186" t="s">
        <v>2817</v>
      </c>
      <c r="U48" s="3186" t="s">
        <v>2817</v>
      </c>
      <c r="V48" s="3186" t="s">
        <v>2817</v>
      </c>
      <c r="W48" s="3186" t="s">
        <v>3119</v>
      </c>
      <c r="X48" s="3186" t="s">
        <v>3208</v>
      </c>
      <c r="Y48" s="3186" t="s">
        <v>3209</v>
      </c>
      <c r="Z48" s="3186" t="s">
        <v>3210</v>
      </c>
      <c r="AA48" s="3186" t="s">
        <v>3210</v>
      </c>
      <c r="AB48" s="3186" t="s">
        <v>3211</v>
      </c>
      <c r="AC48" s="3186" t="s">
        <v>3054</v>
      </c>
      <c r="AD48" s="3186" t="s">
        <v>3212</v>
      </c>
      <c r="AE48" s="3186">
        <v>60</v>
      </c>
      <c r="AF48" s="3186">
        <v>113</v>
      </c>
      <c r="AG48" s="3186">
        <v>113</v>
      </c>
      <c r="AH48" s="3186">
        <v>100.15</v>
      </c>
      <c r="AI48" s="3186">
        <v>100.15</v>
      </c>
      <c r="AJ48" s="3186">
        <v>1001.45</v>
      </c>
      <c r="AK48" s="3186">
        <v>1001.45</v>
      </c>
      <c r="AL48" s="3186" t="s">
        <v>2817</v>
      </c>
      <c r="AM48" s="3186" t="s">
        <v>2817</v>
      </c>
      <c r="AN48" s="3186">
        <v>0</v>
      </c>
      <c r="AO48" s="3186" t="s">
        <v>3056</v>
      </c>
      <c r="AP48" s="3186" t="s">
        <v>2817</v>
      </c>
      <c r="AQ48" s="3186" t="s">
        <v>2817</v>
      </c>
      <c r="AR48" s="3186" t="s">
        <v>2817</v>
      </c>
    </row>
    <row r="49" spans="1:44" s="3187" customFormat="1">
      <c r="A49" s="3186" t="s">
        <v>3224</v>
      </c>
      <c r="B49" s="3186" t="s">
        <v>3040</v>
      </c>
      <c r="C49" s="3186" t="s">
        <v>3041</v>
      </c>
      <c r="D49" s="3186" t="s">
        <v>3042</v>
      </c>
      <c r="E49" s="3186" t="s">
        <v>2817</v>
      </c>
      <c r="F49" s="3186" t="s">
        <v>3224</v>
      </c>
      <c r="G49" s="3186" t="s">
        <v>3043</v>
      </c>
      <c r="H49" s="3186" t="s">
        <v>3225</v>
      </c>
      <c r="I49" s="3186" t="s">
        <v>3045</v>
      </c>
      <c r="J49" s="3186">
        <v>41502.400000000001</v>
      </c>
      <c r="K49" s="3186">
        <v>62253.599999999999</v>
      </c>
      <c r="L49" s="3186" t="s">
        <v>3147</v>
      </c>
      <c r="M49" s="3186" t="s">
        <v>2817</v>
      </c>
      <c r="N49" s="3186" t="s">
        <v>3195</v>
      </c>
      <c r="O49" s="3186" t="s">
        <v>3207</v>
      </c>
      <c r="P49" s="3186" t="s">
        <v>2817</v>
      </c>
      <c r="Q49" s="3186" t="s">
        <v>2817</v>
      </c>
      <c r="R49" s="3186" t="s">
        <v>2817</v>
      </c>
      <c r="S49" s="3186" t="s">
        <v>2817</v>
      </c>
      <c r="T49" s="3186" t="s">
        <v>2817</v>
      </c>
      <c r="U49" s="3186" t="s">
        <v>2817</v>
      </c>
      <c r="V49" s="3186" t="s">
        <v>2817</v>
      </c>
      <c r="W49" s="3186" t="s">
        <v>3119</v>
      </c>
      <c r="X49" s="3186" t="s">
        <v>3208</v>
      </c>
      <c r="Y49" s="3186" t="s">
        <v>3209</v>
      </c>
      <c r="Z49" s="3186" t="s">
        <v>3210</v>
      </c>
      <c r="AA49" s="3186" t="s">
        <v>3210</v>
      </c>
      <c r="AB49" s="3186" t="s">
        <v>3211</v>
      </c>
      <c r="AC49" s="3186" t="s">
        <v>3054</v>
      </c>
      <c r="AD49" s="3186" t="s">
        <v>3212</v>
      </c>
      <c r="AE49" s="3186">
        <v>3200</v>
      </c>
      <c r="AF49" s="3186">
        <v>6226</v>
      </c>
      <c r="AG49" s="3186">
        <v>6226</v>
      </c>
      <c r="AH49" s="3186">
        <v>100.01</v>
      </c>
      <c r="AI49" s="3186">
        <v>100.01</v>
      </c>
      <c r="AJ49" s="3186">
        <v>1000.1</v>
      </c>
      <c r="AK49" s="3186">
        <v>1000.1</v>
      </c>
      <c r="AL49" s="3186" t="s">
        <v>2817</v>
      </c>
      <c r="AM49" s="3186" t="s">
        <v>2817</v>
      </c>
      <c r="AN49" s="3186">
        <v>0</v>
      </c>
      <c r="AO49" s="3186" t="s">
        <v>3056</v>
      </c>
      <c r="AP49" s="3186" t="s">
        <v>2817</v>
      </c>
      <c r="AQ49" s="3186" t="s">
        <v>2817</v>
      </c>
      <c r="AR49" s="3186" t="s">
        <v>2817</v>
      </c>
    </row>
    <row r="50" spans="1:44" s="3187" customFormat="1">
      <c r="A50" s="3186" t="s">
        <v>3226</v>
      </c>
      <c r="B50" s="3186" t="s">
        <v>3040</v>
      </c>
      <c r="C50" s="3186" t="s">
        <v>3041</v>
      </c>
      <c r="D50" s="3186" t="s">
        <v>3042</v>
      </c>
      <c r="E50" s="3186" t="s">
        <v>2817</v>
      </c>
      <c r="F50" s="3186" t="s">
        <v>3226</v>
      </c>
      <c r="G50" s="3186" t="s">
        <v>3043</v>
      </c>
      <c r="H50" s="3186" t="s">
        <v>3227</v>
      </c>
      <c r="I50" s="3186" t="s">
        <v>3045</v>
      </c>
      <c r="J50" s="3186">
        <v>15882.03</v>
      </c>
      <c r="K50" s="3186">
        <v>31764.06</v>
      </c>
      <c r="L50" s="3186" t="s">
        <v>3046</v>
      </c>
      <c r="M50" s="3186" t="s">
        <v>2817</v>
      </c>
      <c r="N50" s="3186" t="s">
        <v>3084</v>
      </c>
      <c r="O50" s="3186" t="s">
        <v>3060</v>
      </c>
      <c r="P50" s="3186" t="s">
        <v>2817</v>
      </c>
      <c r="Q50" s="3186" t="s">
        <v>2817</v>
      </c>
      <c r="R50" s="3186" t="s">
        <v>2817</v>
      </c>
      <c r="S50" s="3186" t="s">
        <v>2817</v>
      </c>
      <c r="T50" s="3186" t="s">
        <v>2817</v>
      </c>
      <c r="U50" s="3186" t="s">
        <v>2817</v>
      </c>
      <c r="V50" s="3186" t="s">
        <v>2817</v>
      </c>
      <c r="W50" s="3186" t="s">
        <v>3119</v>
      </c>
      <c r="X50" s="3186" t="s">
        <v>3208</v>
      </c>
      <c r="Y50" s="3186" t="s">
        <v>3209</v>
      </c>
      <c r="Z50" s="3186" t="s">
        <v>3210</v>
      </c>
      <c r="AA50" s="3186" t="s">
        <v>3210</v>
      </c>
      <c r="AB50" s="3186" t="s">
        <v>3211</v>
      </c>
      <c r="AC50" s="3186" t="s">
        <v>3054</v>
      </c>
      <c r="AD50" s="3186" t="s">
        <v>3212</v>
      </c>
      <c r="AE50" s="3186">
        <v>1200</v>
      </c>
      <c r="AF50" s="3186">
        <v>2383</v>
      </c>
      <c r="AG50" s="3186">
        <v>2383</v>
      </c>
      <c r="AH50" s="3186">
        <v>100.03</v>
      </c>
      <c r="AI50" s="3186">
        <v>100.03</v>
      </c>
      <c r="AJ50" s="3186">
        <v>750.21</v>
      </c>
      <c r="AK50" s="3186">
        <v>750.22</v>
      </c>
      <c r="AL50" s="3186" t="s">
        <v>2817</v>
      </c>
      <c r="AM50" s="3186" t="s">
        <v>2817</v>
      </c>
      <c r="AN50" s="3186">
        <v>0</v>
      </c>
      <c r="AO50" s="3186" t="s">
        <v>3056</v>
      </c>
      <c r="AP50" s="3186" t="s">
        <v>2817</v>
      </c>
      <c r="AQ50" s="3186" t="s">
        <v>2817</v>
      </c>
      <c r="AR50" s="3186" t="s">
        <v>2817</v>
      </c>
    </row>
    <row r="51" spans="1:44" s="3185" customFormat="1">
      <c r="A51" s="3184" t="s">
        <v>3213</v>
      </c>
      <c r="B51" s="3184" t="s">
        <v>3040</v>
      </c>
      <c r="C51" s="3184" t="s">
        <v>3041</v>
      </c>
      <c r="D51" s="3184" t="s">
        <v>3042</v>
      </c>
      <c r="E51" s="3184" t="s">
        <v>2817</v>
      </c>
      <c r="F51" s="3184" t="s">
        <v>3213</v>
      </c>
      <c r="G51" s="3184" t="s">
        <v>3043</v>
      </c>
      <c r="H51" s="3184" t="s">
        <v>3228</v>
      </c>
      <c r="I51" s="3184" t="s">
        <v>3045</v>
      </c>
      <c r="J51" s="3184">
        <v>44186.46</v>
      </c>
      <c r="K51" s="3184">
        <v>88372.92</v>
      </c>
      <c r="L51" s="3184" t="s">
        <v>3046</v>
      </c>
      <c r="M51" s="3184" t="s">
        <v>2817</v>
      </c>
      <c r="N51" s="3184" t="s">
        <v>3215</v>
      </c>
      <c r="O51" s="3184" t="s">
        <v>3100</v>
      </c>
      <c r="P51" s="3184" t="s">
        <v>2817</v>
      </c>
      <c r="Q51" s="3184" t="s">
        <v>2817</v>
      </c>
      <c r="R51" s="3184" t="s">
        <v>2817</v>
      </c>
      <c r="S51" s="3184" t="s">
        <v>2817</v>
      </c>
      <c r="T51" s="3184" t="s">
        <v>2817</v>
      </c>
      <c r="U51" s="3184" t="s">
        <v>2817</v>
      </c>
      <c r="V51" s="3184" t="s">
        <v>2817</v>
      </c>
      <c r="W51" s="3184" t="s">
        <v>3119</v>
      </c>
      <c r="X51" s="3184" t="s">
        <v>3208</v>
      </c>
      <c r="Y51" s="3184" t="s">
        <v>3209</v>
      </c>
      <c r="Z51" s="3184" t="s">
        <v>3210</v>
      </c>
      <c r="AA51" s="3184" t="s">
        <v>3210</v>
      </c>
      <c r="AB51" s="3184" t="s">
        <v>3211</v>
      </c>
      <c r="AC51" s="3184" t="s">
        <v>3054</v>
      </c>
      <c r="AD51" s="3184" t="s">
        <v>3216</v>
      </c>
      <c r="AE51" s="3184">
        <v>2200</v>
      </c>
      <c r="AF51" s="3184">
        <v>4309</v>
      </c>
      <c r="AG51" s="3184">
        <v>4309</v>
      </c>
      <c r="AH51" s="3184">
        <v>65.010000000000005</v>
      </c>
      <c r="AI51" s="3184">
        <v>65.010000000000005</v>
      </c>
      <c r="AJ51" s="3184">
        <v>487.59</v>
      </c>
      <c r="AK51" s="3184">
        <v>487.58</v>
      </c>
      <c r="AL51" s="3184" t="s">
        <v>2817</v>
      </c>
      <c r="AM51" s="3184" t="s">
        <v>2817</v>
      </c>
      <c r="AN51" s="3184">
        <v>0</v>
      </c>
      <c r="AO51" s="3184" t="s">
        <v>3056</v>
      </c>
      <c r="AP51" s="3184" t="s">
        <v>2817</v>
      </c>
      <c r="AQ51" s="3184" t="s">
        <v>2817</v>
      </c>
      <c r="AR51" s="3184" t="s">
        <v>2817</v>
      </c>
    </row>
    <row r="52" spans="1:44" s="3187" customFormat="1">
      <c r="A52" s="3186" t="s">
        <v>3224</v>
      </c>
      <c r="B52" s="3186" t="s">
        <v>3040</v>
      </c>
      <c r="C52" s="3186" t="s">
        <v>3041</v>
      </c>
      <c r="D52" s="3186" t="s">
        <v>3042</v>
      </c>
      <c r="E52" s="3186" t="s">
        <v>2817</v>
      </c>
      <c r="F52" s="3186" t="s">
        <v>3224</v>
      </c>
      <c r="G52" s="3186" t="s">
        <v>3043</v>
      </c>
      <c r="H52" s="3186" t="s">
        <v>3229</v>
      </c>
      <c r="I52" s="3186" t="s">
        <v>3045</v>
      </c>
      <c r="J52" s="3186">
        <v>66660.25</v>
      </c>
      <c r="K52" s="3186">
        <v>99990.38</v>
      </c>
      <c r="L52" s="3186" t="s">
        <v>3147</v>
      </c>
      <c r="M52" s="3186" t="s">
        <v>2817</v>
      </c>
      <c r="N52" s="3186" t="s">
        <v>3195</v>
      </c>
      <c r="O52" s="3186" t="s">
        <v>3207</v>
      </c>
      <c r="P52" s="3186" t="s">
        <v>2817</v>
      </c>
      <c r="Q52" s="3186" t="s">
        <v>2817</v>
      </c>
      <c r="R52" s="3186" t="s">
        <v>2817</v>
      </c>
      <c r="S52" s="3186" t="s">
        <v>2817</v>
      </c>
      <c r="T52" s="3186" t="s">
        <v>2817</v>
      </c>
      <c r="U52" s="3186" t="s">
        <v>2817</v>
      </c>
      <c r="V52" s="3186" t="s">
        <v>2817</v>
      </c>
      <c r="W52" s="3186" t="s">
        <v>3119</v>
      </c>
      <c r="X52" s="3186" t="s">
        <v>3208</v>
      </c>
      <c r="Y52" s="3186" t="s">
        <v>3209</v>
      </c>
      <c r="Z52" s="3186" t="s">
        <v>3210</v>
      </c>
      <c r="AA52" s="3186" t="s">
        <v>3210</v>
      </c>
      <c r="AB52" s="3186" t="s">
        <v>3211</v>
      </c>
      <c r="AC52" s="3186" t="s">
        <v>3054</v>
      </c>
      <c r="AD52" s="3186" t="s">
        <v>3212</v>
      </c>
      <c r="AE52" s="3186">
        <v>5000</v>
      </c>
      <c r="AF52" s="3186">
        <v>10000</v>
      </c>
      <c r="AG52" s="3186">
        <v>10000</v>
      </c>
      <c r="AH52" s="3186">
        <v>100.01</v>
      </c>
      <c r="AI52" s="3186">
        <v>100.01</v>
      </c>
      <c r="AJ52" s="3186">
        <v>1000.09</v>
      </c>
      <c r="AK52" s="3186">
        <v>1000.1</v>
      </c>
      <c r="AL52" s="3186" t="s">
        <v>2817</v>
      </c>
      <c r="AM52" s="3186" t="s">
        <v>2817</v>
      </c>
      <c r="AN52" s="3186">
        <v>0</v>
      </c>
      <c r="AO52" s="3186" t="s">
        <v>3056</v>
      </c>
      <c r="AP52" s="3186" t="s">
        <v>2817</v>
      </c>
      <c r="AQ52" s="3186" t="s">
        <v>2817</v>
      </c>
      <c r="AR52" s="3186" t="s">
        <v>2817</v>
      </c>
    </row>
    <row r="53" spans="1:44" s="3185" customFormat="1">
      <c r="A53" s="3184" t="s">
        <v>3213</v>
      </c>
      <c r="B53" s="3184" t="s">
        <v>3040</v>
      </c>
      <c r="C53" s="3184" t="s">
        <v>3041</v>
      </c>
      <c r="D53" s="3184" t="s">
        <v>3042</v>
      </c>
      <c r="E53" s="3184" t="s">
        <v>2817</v>
      </c>
      <c r="F53" s="3184" t="s">
        <v>3213</v>
      </c>
      <c r="G53" s="3184" t="s">
        <v>3043</v>
      </c>
      <c r="H53" s="3184" t="s">
        <v>3230</v>
      </c>
      <c r="I53" s="3184" t="s">
        <v>3045</v>
      </c>
      <c r="J53" s="3184">
        <v>1326.41</v>
      </c>
      <c r="K53" s="3184">
        <v>2652.82</v>
      </c>
      <c r="L53" s="3184" t="s">
        <v>3046</v>
      </c>
      <c r="M53" s="3184" t="s">
        <v>2817</v>
      </c>
      <c r="N53" s="3184" t="s">
        <v>3215</v>
      </c>
      <c r="O53" s="3184" t="s">
        <v>3100</v>
      </c>
      <c r="P53" s="3184" t="s">
        <v>2817</v>
      </c>
      <c r="Q53" s="3184" t="s">
        <v>2817</v>
      </c>
      <c r="R53" s="3184" t="s">
        <v>2817</v>
      </c>
      <c r="S53" s="3184" t="s">
        <v>2817</v>
      </c>
      <c r="T53" s="3184" t="s">
        <v>2817</v>
      </c>
      <c r="U53" s="3184" t="s">
        <v>2817</v>
      </c>
      <c r="V53" s="3184" t="s">
        <v>2817</v>
      </c>
      <c r="W53" s="3184" t="s">
        <v>3119</v>
      </c>
      <c r="X53" s="3184" t="s">
        <v>3208</v>
      </c>
      <c r="Y53" s="3184" t="s">
        <v>3209</v>
      </c>
      <c r="Z53" s="3184" t="s">
        <v>3210</v>
      </c>
      <c r="AA53" s="3184" t="s">
        <v>3210</v>
      </c>
      <c r="AB53" s="3184" t="s">
        <v>3211</v>
      </c>
      <c r="AC53" s="3184" t="s">
        <v>3054</v>
      </c>
      <c r="AD53" s="3184" t="s">
        <v>3216</v>
      </c>
      <c r="AE53" s="3184">
        <v>70</v>
      </c>
      <c r="AF53" s="3184">
        <v>130</v>
      </c>
      <c r="AG53" s="3184">
        <v>130</v>
      </c>
      <c r="AH53" s="3184">
        <v>65.34</v>
      </c>
      <c r="AI53" s="3184">
        <v>65.34</v>
      </c>
      <c r="AJ53" s="3184">
        <v>490.04</v>
      </c>
      <c r="AK53" s="3184">
        <v>490.04</v>
      </c>
      <c r="AL53" s="3184" t="s">
        <v>2817</v>
      </c>
      <c r="AM53" s="3184" t="s">
        <v>2817</v>
      </c>
      <c r="AN53" s="3184">
        <v>0</v>
      </c>
      <c r="AO53" s="3184" t="s">
        <v>3056</v>
      </c>
      <c r="AP53" s="3184" t="s">
        <v>2817</v>
      </c>
      <c r="AQ53" s="3184" t="s">
        <v>2817</v>
      </c>
      <c r="AR53" s="3184" t="s">
        <v>2817</v>
      </c>
    </row>
    <row r="54" spans="1:44" s="3187" customFormat="1">
      <c r="A54" s="3186" t="s">
        <v>3224</v>
      </c>
      <c r="B54" s="3186" t="s">
        <v>3040</v>
      </c>
      <c r="C54" s="3186" t="s">
        <v>3041</v>
      </c>
      <c r="D54" s="3186" t="s">
        <v>3042</v>
      </c>
      <c r="E54" s="3186" t="s">
        <v>2817</v>
      </c>
      <c r="F54" s="3186" t="s">
        <v>3224</v>
      </c>
      <c r="G54" s="3186" t="s">
        <v>3043</v>
      </c>
      <c r="H54" s="3186" t="s">
        <v>3231</v>
      </c>
      <c r="I54" s="3186" t="s">
        <v>3045</v>
      </c>
      <c r="J54" s="3186">
        <v>13394</v>
      </c>
      <c r="K54" s="3186">
        <v>20091</v>
      </c>
      <c r="L54" s="3186" t="s">
        <v>3147</v>
      </c>
      <c r="M54" s="3186" t="s">
        <v>2817</v>
      </c>
      <c r="N54" s="3186" t="s">
        <v>3195</v>
      </c>
      <c r="O54" s="3186" t="s">
        <v>3232</v>
      </c>
      <c r="P54" s="3186" t="s">
        <v>2817</v>
      </c>
      <c r="Q54" s="3186" t="s">
        <v>2817</v>
      </c>
      <c r="R54" s="3186" t="s">
        <v>2817</v>
      </c>
      <c r="S54" s="3186" t="s">
        <v>2817</v>
      </c>
      <c r="T54" s="3186" t="s">
        <v>2817</v>
      </c>
      <c r="U54" s="3186" t="s">
        <v>2817</v>
      </c>
      <c r="V54" s="3186" t="s">
        <v>2817</v>
      </c>
      <c r="W54" s="3186" t="s">
        <v>3119</v>
      </c>
      <c r="X54" s="3186" t="s">
        <v>3208</v>
      </c>
      <c r="Y54" s="3186" t="s">
        <v>3209</v>
      </c>
      <c r="Z54" s="3186" t="s">
        <v>3210</v>
      </c>
      <c r="AA54" s="3186" t="s">
        <v>3210</v>
      </c>
      <c r="AB54" s="3186" t="s">
        <v>3211</v>
      </c>
      <c r="AC54" s="3186" t="s">
        <v>3054</v>
      </c>
      <c r="AD54" s="3186" t="s">
        <v>3212</v>
      </c>
      <c r="AE54" s="3186">
        <v>1050</v>
      </c>
      <c r="AF54" s="3186">
        <v>2009</v>
      </c>
      <c r="AG54" s="3186">
        <v>2009</v>
      </c>
      <c r="AH54" s="3186">
        <v>100</v>
      </c>
      <c r="AI54" s="3186">
        <v>100</v>
      </c>
      <c r="AJ54" s="3186">
        <v>999.95</v>
      </c>
      <c r="AK54" s="3186">
        <v>999.95</v>
      </c>
      <c r="AL54" s="3186" t="s">
        <v>2817</v>
      </c>
      <c r="AM54" s="3186" t="s">
        <v>2817</v>
      </c>
      <c r="AN54" s="3186">
        <v>0</v>
      </c>
      <c r="AO54" s="3186" t="s">
        <v>3056</v>
      </c>
      <c r="AP54" s="3186" t="s">
        <v>2817</v>
      </c>
      <c r="AQ54" s="3186" t="s">
        <v>2817</v>
      </c>
      <c r="AR54" s="3186" t="s">
        <v>2817</v>
      </c>
    </row>
    <row r="55" spans="1:44" s="3187" customFormat="1">
      <c r="A55" s="3186" t="s">
        <v>3217</v>
      </c>
      <c r="B55" s="3186" t="s">
        <v>3040</v>
      </c>
      <c r="C55" s="3186" t="s">
        <v>3041</v>
      </c>
      <c r="D55" s="3186" t="s">
        <v>3042</v>
      </c>
      <c r="E55" s="3186" t="s">
        <v>2817</v>
      </c>
      <c r="F55" s="3186" t="s">
        <v>3217</v>
      </c>
      <c r="G55" s="3186" t="s">
        <v>3043</v>
      </c>
      <c r="H55" s="3186" t="s">
        <v>3233</v>
      </c>
      <c r="I55" s="3186" t="s">
        <v>3045</v>
      </c>
      <c r="J55" s="3186">
        <v>11320.54</v>
      </c>
      <c r="K55" s="3186">
        <v>16980.810000000001</v>
      </c>
      <c r="L55" s="3186" t="s">
        <v>3147</v>
      </c>
      <c r="M55" s="3186" t="s">
        <v>2817</v>
      </c>
      <c r="N55" s="3186" t="s">
        <v>3195</v>
      </c>
      <c r="O55" s="3186" t="s">
        <v>3207</v>
      </c>
      <c r="P55" s="3186" t="s">
        <v>2817</v>
      </c>
      <c r="Q55" s="3186" t="s">
        <v>2817</v>
      </c>
      <c r="R55" s="3186" t="s">
        <v>2817</v>
      </c>
      <c r="S55" s="3186" t="s">
        <v>2817</v>
      </c>
      <c r="T55" s="3186" t="s">
        <v>2817</v>
      </c>
      <c r="U55" s="3186" t="s">
        <v>2817</v>
      </c>
      <c r="V55" s="3186" t="s">
        <v>2817</v>
      </c>
      <c r="W55" s="3186" t="s">
        <v>3119</v>
      </c>
      <c r="X55" s="3186" t="s">
        <v>3208</v>
      </c>
      <c r="Y55" s="3186" t="s">
        <v>3209</v>
      </c>
      <c r="Z55" s="3186" t="s">
        <v>3210</v>
      </c>
      <c r="AA55" s="3186" t="s">
        <v>3210</v>
      </c>
      <c r="AB55" s="3186" t="s">
        <v>3211</v>
      </c>
      <c r="AC55" s="3186" t="s">
        <v>3054</v>
      </c>
      <c r="AD55" s="3186" t="s">
        <v>3212</v>
      </c>
      <c r="AE55" s="3186">
        <v>850</v>
      </c>
      <c r="AF55" s="3186">
        <v>1700</v>
      </c>
      <c r="AG55" s="3186">
        <v>1700</v>
      </c>
      <c r="AH55" s="3186">
        <v>100.11</v>
      </c>
      <c r="AI55" s="3186">
        <v>100.11</v>
      </c>
      <c r="AJ55" s="3186">
        <v>1001.13</v>
      </c>
      <c r="AK55" s="3186">
        <v>1001.12</v>
      </c>
      <c r="AL55" s="3186" t="s">
        <v>2817</v>
      </c>
      <c r="AM55" s="3186" t="s">
        <v>2817</v>
      </c>
      <c r="AN55" s="3186">
        <v>0</v>
      </c>
      <c r="AO55" s="3186" t="s">
        <v>3056</v>
      </c>
      <c r="AP55" s="3186" t="s">
        <v>2817</v>
      </c>
      <c r="AQ55" s="3186" t="s">
        <v>2817</v>
      </c>
      <c r="AR55" s="3186" t="s">
        <v>2817</v>
      </c>
    </row>
  </sheetData>
  <autoFilter ref="A5:AR5"/>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6" workbookViewId="0">
      <selection activeCell="AB28" sqref="AB28"/>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81:F90"/>
  <sheetViews>
    <sheetView workbookViewId="0">
      <selection activeCell="J81" sqref="J81"/>
    </sheetView>
  </sheetViews>
  <sheetFormatPr defaultRowHeight="13.5"/>
  <sheetData>
    <row r="81" spans="4:6">
      <c r="E81" s="3216" t="s">
        <v>3335</v>
      </c>
    </row>
    <row r="82" spans="4:6" ht="16.5">
      <c r="D82" s="3045">
        <v>32309</v>
      </c>
      <c r="E82">
        <f>'数据-汇总表'!F31</f>
        <v>121150.54999999997</v>
      </c>
      <c r="F82">
        <f>ROUND(D82*10000/E82,0)</f>
        <v>2667</v>
      </c>
    </row>
    <row r="83" spans="4:6" ht="16.5">
      <c r="D83" s="3214">
        <v>19584</v>
      </c>
      <c r="E83">
        <f>'[1]数据-汇总表'!$F$31</f>
        <v>67575.3</v>
      </c>
      <c r="F83">
        <f t="shared" ref="F83:F90" si="0">ROUND(D83*10000/E83,0)</f>
        <v>2898</v>
      </c>
    </row>
    <row r="84" spans="4:6" ht="16.5">
      <c r="D84" s="3214">
        <v>1998</v>
      </c>
      <c r="E84">
        <f>'[2]数据-汇总表'!$F$31</f>
        <v>6789.09</v>
      </c>
      <c r="F84">
        <f t="shared" si="0"/>
        <v>2943</v>
      </c>
    </row>
    <row r="85" spans="4:6" ht="16.5">
      <c r="D85" s="3214">
        <v>12145</v>
      </c>
      <c r="E85">
        <f>'[3]数据-汇总表'!$F$31</f>
        <v>40422.079999999994</v>
      </c>
      <c r="F85">
        <f t="shared" si="0"/>
        <v>3005</v>
      </c>
    </row>
    <row r="86" spans="4:6" ht="16.5">
      <c r="D86" s="3214">
        <v>10491</v>
      </c>
      <c r="E86">
        <f>'[4]数据-汇总表'!$F$31</f>
        <v>23818.62999999999</v>
      </c>
      <c r="F86">
        <f t="shared" si="0"/>
        <v>4405</v>
      </c>
    </row>
    <row r="87" spans="4:6" ht="16.5">
      <c r="D87" s="3214">
        <v>18445</v>
      </c>
      <c r="E87">
        <f>'[5]数据-汇总表'!$F$31</f>
        <v>64474.94</v>
      </c>
      <c r="F87">
        <f t="shared" si="0"/>
        <v>2861</v>
      </c>
    </row>
    <row r="88" spans="4:6" ht="16.5">
      <c r="D88" s="3214">
        <v>19179</v>
      </c>
      <c r="E88">
        <f>'[6]数据-汇总表'!$F$31</f>
        <v>67041.740000000005</v>
      </c>
      <c r="F88">
        <f t="shared" si="0"/>
        <v>2861</v>
      </c>
    </row>
    <row r="89" spans="4:6" ht="16.5">
      <c r="D89" s="3214">
        <v>5748</v>
      </c>
      <c r="E89">
        <f>'[7]数据-汇总表'!$F$31</f>
        <v>20091</v>
      </c>
      <c r="F89">
        <f t="shared" si="0"/>
        <v>2861</v>
      </c>
    </row>
    <row r="90" spans="4:6" ht="16.5">
      <c r="D90" s="3214">
        <v>17809</v>
      </c>
      <c r="E90">
        <f>'[8]数据-汇总表'!$F$31</f>
        <v>62253.599999999999</v>
      </c>
      <c r="F90">
        <f t="shared" si="0"/>
        <v>2861</v>
      </c>
    </row>
  </sheetData>
  <phoneticPr fontId="233" type="noConversion"/>
  <pageMargins left="0.7" right="0.7" top="0.75" bottom="0.75" header="0.3" footer="0.3"/>
  <pageSetup paperSize="9" scale="2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F20" sqref="F20"/>
    </sheetView>
  </sheetViews>
  <sheetFormatPr defaultRowHeight="13.5"/>
  <cols>
    <col min="2" max="2" width="34.5" customWidth="1"/>
    <col min="3" max="3" width="24.125" customWidth="1"/>
    <col min="4" max="4" width="16.25" customWidth="1"/>
  </cols>
  <sheetData>
    <row r="2" spans="1:4" ht="16.5">
      <c r="A2" s="3217" t="s">
        <v>3344</v>
      </c>
      <c r="B2" s="3217" t="s">
        <v>3345</v>
      </c>
      <c r="C2" s="3217" t="s">
        <v>3346</v>
      </c>
      <c r="D2" s="3217" t="s">
        <v>3347</v>
      </c>
    </row>
    <row r="3" spans="1:4" s="3185" customFormat="1" ht="16.5">
      <c r="A3" s="3523">
        <v>1</v>
      </c>
      <c r="B3" s="3523" t="s">
        <v>3337</v>
      </c>
      <c r="C3" s="3523">
        <v>64530.53</v>
      </c>
      <c r="D3" s="3523">
        <v>32309</v>
      </c>
    </row>
    <row r="4" spans="1:4" s="3185" customFormat="1" ht="16.5">
      <c r="A4" s="3523">
        <v>2</v>
      </c>
      <c r="B4" s="3523" t="s">
        <v>3338</v>
      </c>
      <c r="C4" s="3523">
        <v>32979.83</v>
      </c>
      <c r="D4" s="3523">
        <v>19584</v>
      </c>
    </row>
    <row r="5" spans="1:4" s="3185" customFormat="1" ht="16.5">
      <c r="A5" s="3523">
        <v>3</v>
      </c>
      <c r="B5" s="3523" t="s">
        <v>3339</v>
      </c>
      <c r="C5" s="3523">
        <v>2278.2199999999998</v>
      </c>
      <c r="D5" s="3523">
        <v>1998</v>
      </c>
    </row>
    <row r="6" spans="1:4" s="3185" customFormat="1" ht="16.5">
      <c r="A6" s="3523">
        <v>4</v>
      </c>
      <c r="B6" s="3523" t="s">
        <v>3340</v>
      </c>
      <c r="C6" s="3523">
        <v>18792.48</v>
      </c>
      <c r="D6" s="3523">
        <v>12145</v>
      </c>
    </row>
    <row r="7" spans="1:4" ht="16.5">
      <c r="A7" s="3217">
        <v>5</v>
      </c>
      <c r="B7" s="3217" t="s">
        <v>3341</v>
      </c>
      <c r="C7" s="3217">
        <v>39452.22</v>
      </c>
      <c r="D7" s="3217">
        <v>10491</v>
      </c>
    </row>
    <row r="8" spans="1:4" ht="16.5">
      <c r="A8" s="3217">
        <v>6</v>
      </c>
      <c r="B8" s="3217" t="s">
        <v>3342</v>
      </c>
      <c r="C8" s="3217">
        <v>42983.29</v>
      </c>
      <c r="D8" s="3217">
        <v>18445</v>
      </c>
    </row>
    <row r="9" spans="1:4" ht="16.5">
      <c r="A9" s="3217">
        <v>7</v>
      </c>
      <c r="B9" s="3217" t="s">
        <v>3343</v>
      </c>
      <c r="C9" s="3217">
        <v>44694.49</v>
      </c>
      <c r="D9" s="3217">
        <v>19179</v>
      </c>
    </row>
    <row r="10" spans="1:4" ht="16.5">
      <c r="A10" s="3515" t="s">
        <v>3348</v>
      </c>
      <c r="B10" s="3516"/>
      <c r="C10" s="3217">
        <f>SUM(C3:C9)</f>
        <v>245711.06</v>
      </c>
      <c r="D10" s="3217">
        <f>SUM(D3:D9)</f>
        <v>114151</v>
      </c>
    </row>
    <row r="11" spans="1:4" s="3185" customFormat="1" ht="16.5">
      <c r="A11" s="3523">
        <v>8</v>
      </c>
      <c r="B11" s="3523" t="s">
        <v>3361</v>
      </c>
      <c r="C11" s="3523">
        <v>13394</v>
      </c>
      <c r="D11" s="3523">
        <v>5614</v>
      </c>
    </row>
    <row r="12" spans="1:4" s="3185" customFormat="1" ht="16.5">
      <c r="A12" s="3523">
        <v>9</v>
      </c>
      <c r="B12" s="3523" t="s">
        <v>3362</v>
      </c>
      <c r="C12" s="3523">
        <v>41502.400000000001</v>
      </c>
      <c r="D12" s="3523">
        <v>17394</v>
      </c>
    </row>
    <row r="13" spans="1:4" ht="16.5">
      <c r="A13" s="3217"/>
      <c r="B13" s="3217" t="s">
        <v>3349</v>
      </c>
      <c r="C13" s="3217">
        <f>SUM(C11:C12)</f>
        <v>54896.4</v>
      </c>
      <c r="D13" s="3217">
        <f>SUM(D11:D12)</f>
        <v>23008</v>
      </c>
    </row>
    <row r="15" spans="1:4" ht="16.5">
      <c r="A15" s="3217" t="s">
        <v>3344</v>
      </c>
      <c r="B15" s="3217" t="s">
        <v>3350</v>
      </c>
      <c r="C15" s="3217" t="s">
        <v>3346</v>
      </c>
      <c r="D15" s="3217" t="s">
        <v>3347</v>
      </c>
    </row>
    <row r="16" spans="1:4" ht="16.5">
      <c r="A16" s="3217">
        <v>1</v>
      </c>
      <c r="B16" s="3217" t="s">
        <v>3351</v>
      </c>
      <c r="C16" s="3217">
        <v>7122.94</v>
      </c>
      <c r="D16" s="3217">
        <v>6922</v>
      </c>
    </row>
    <row r="17" spans="1:4" ht="16.5">
      <c r="A17" s="3217">
        <v>2</v>
      </c>
      <c r="B17" s="3217" t="s">
        <v>3352</v>
      </c>
      <c r="C17" s="3217">
        <v>14827.52</v>
      </c>
      <c r="D17" s="3217">
        <v>14719</v>
      </c>
    </row>
    <row r="18" spans="1:4" ht="16.5">
      <c r="A18" s="3217"/>
      <c r="B18" s="3217" t="s">
        <v>3349</v>
      </c>
      <c r="C18" s="3217">
        <f>SUM(C16:C17)</f>
        <v>21950.46</v>
      </c>
      <c r="D18" s="3217">
        <f>SUM(D16:D17)</f>
        <v>21641</v>
      </c>
    </row>
  </sheetData>
  <mergeCells count="1">
    <mergeCell ref="A10:B10"/>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2039</v>
      </c>
      <c r="B1" s="3222"/>
      <c r="C1" s="3222"/>
      <c r="D1" s="3222"/>
      <c r="E1" s="3222"/>
      <c r="F1" s="3222"/>
      <c r="G1" s="3222"/>
      <c r="H1" s="3222"/>
      <c r="I1" s="3222"/>
      <c r="J1" s="3222"/>
      <c r="K1" s="3222"/>
      <c r="L1" s="3222"/>
      <c r="M1" s="3222"/>
      <c r="N1" s="3222"/>
      <c r="O1" s="3222"/>
      <c r="P1" s="3222"/>
      <c r="Q1" s="3222"/>
      <c r="R1" s="3222"/>
    </row>
    <row r="2" spans="1:18">
      <c r="A2" s="1806" t="s">
        <v>2041</v>
      </c>
      <c r="B2" s="1806"/>
      <c r="C2" s="1806"/>
      <c r="D2" s="1806"/>
      <c r="E2" s="1806"/>
      <c r="F2" s="1806"/>
      <c r="G2" s="1806"/>
      <c r="H2" s="1806"/>
      <c r="I2" s="1807"/>
      <c r="J2" s="1807"/>
      <c r="K2" s="1808" t="str">
        <f>"估价期日："&amp;TEXT(项目基本情况!D3,"yyyy年m月d日;;")</f>
        <v>估价期日：2018年9月18日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3" t="s">
        <v>2030</v>
      </c>
      <c r="B3" s="3223" t="s">
        <v>2730</v>
      </c>
      <c r="C3" s="3224" t="s">
        <v>2031</v>
      </c>
      <c r="D3" s="3223" t="s">
        <v>2734</v>
      </c>
      <c r="E3" s="3226" t="s">
        <v>2032</v>
      </c>
      <c r="F3" s="3226"/>
      <c r="G3" s="3226"/>
      <c r="H3" s="3226" t="s">
        <v>2033</v>
      </c>
      <c r="I3" s="3226"/>
      <c r="J3" s="3226"/>
      <c r="K3" s="3224" t="s">
        <v>2034</v>
      </c>
      <c r="L3" s="3224" t="s">
        <v>2035</v>
      </c>
      <c r="M3" s="3223" t="s">
        <v>2731</v>
      </c>
      <c r="N3" s="3225" t="str">
        <f>"（分摊）"&amp;项目基本情况!B16&amp;"国有建设用地使用权面积/㎡"</f>
        <v>（分摊）出让国有建设用地使用权面积/㎡</v>
      </c>
      <c r="O3" s="3223" t="s">
        <v>2064</v>
      </c>
      <c r="P3" s="3224" t="s">
        <v>2044</v>
      </c>
      <c r="Q3" s="3224" t="s">
        <v>2065</v>
      </c>
      <c r="R3" s="3224" t="s">
        <v>2036</v>
      </c>
    </row>
    <row r="4" spans="1:18" ht="36.75" customHeight="1">
      <c r="A4" s="3223"/>
      <c r="B4" s="3223"/>
      <c r="C4" s="3224"/>
      <c r="D4" s="3223"/>
      <c r="E4" s="2647" t="s">
        <v>2043</v>
      </c>
      <c r="F4" s="2647" t="s">
        <v>2743</v>
      </c>
      <c r="G4" s="2647" t="s">
        <v>2037</v>
      </c>
      <c r="H4" s="2647" t="s">
        <v>2038</v>
      </c>
      <c r="I4" s="2647" t="s">
        <v>2744</v>
      </c>
      <c r="J4" s="2647" t="s">
        <v>2037</v>
      </c>
      <c r="K4" s="3224"/>
      <c r="L4" s="3224"/>
      <c r="M4" s="3223"/>
      <c r="N4" s="3225"/>
      <c r="O4" s="3223"/>
      <c r="P4" s="3224"/>
      <c r="Q4" s="3224"/>
      <c r="R4" s="3224"/>
    </row>
    <row r="5" spans="1:18" ht="135" customHeight="1">
      <c r="A5" s="1941" t="s">
        <v>2654</v>
      </c>
      <c r="B5" s="2865" t="s">
        <v>2652</v>
      </c>
      <c r="C5" s="2646">
        <v>22</v>
      </c>
      <c r="D5" s="2645" t="s">
        <v>2653</v>
      </c>
      <c r="E5" s="1809" t="str">
        <f>项目基本情况!B12</f>
        <v>住宅</v>
      </c>
      <c r="F5" s="2645">
        <v>258</v>
      </c>
      <c r="G5" s="1809" t="str">
        <f>项目基本情况!B13</f>
        <v>住宅</v>
      </c>
      <c r="H5" s="2645">
        <v>1.5</v>
      </c>
      <c r="I5" s="2645">
        <v>1.5</v>
      </c>
      <c r="J5" s="264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64530.53</v>
      </c>
      <c r="O5" s="1809">
        <f>项目基本情况!C21</f>
        <v>195640.36</v>
      </c>
      <c r="P5" s="1809">
        <f ca="1">结果表!E42</f>
        <v>5007</v>
      </c>
      <c r="Q5" s="1809">
        <f ca="1">结果表!D42</f>
        <v>1651</v>
      </c>
      <c r="R5" s="1810">
        <f ca="1">结果表!C42</f>
        <v>32309</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811">
        <f ca="1">结果表!O39</f>
        <v>32309</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811"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8" t="s">
        <v>2066</v>
      </c>
      <c r="B1" s="3228"/>
      <c r="C1" s="3228"/>
      <c r="D1" s="3228"/>
    </row>
    <row r="2" spans="1:4" ht="47.25" customHeight="1">
      <c r="A2" s="3229" t="str">
        <f>"1.权利限制："&amp;项目基本情况!L24&amp;"未设定租赁等其他他项权利。"</f>
        <v>1.权利限制：根据估价对象《国有土地使用证》原件、，截至估价期日，估价对象抵押权未见登记。未设定租赁等其他他项权利。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8"/>
      <c r="C3" s="3228"/>
      <c r="D3" s="3228"/>
    </row>
    <row r="4" spans="1:4" ht="36.75" customHeight="1">
      <c r="A4" s="3228" t="str">
        <f>"3.估价规划限制条件：详见"&amp;项目基本情况!E21&amp;"。"</f>
        <v>3.估价规划限制条件：详见《建设工程规划许可证》[建字第13073020180049、51号]及附图。</v>
      </c>
      <c r="B4" s="3228"/>
      <c r="C4" s="3228"/>
      <c r="D4" s="3228"/>
    </row>
    <row r="5" spans="1:4">
      <c r="A5" s="3227" t="s">
        <v>2067</v>
      </c>
      <c r="B5" s="3227"/>
      <c r="C5" s="3227"/>
      <c r="D5" s="3227"/>
    </row>
    <row r="6" spans="1:4">
      <c r="A6" s="3228" t="s">
        <v>2045</v>
      </c>
      <c r="B6" s="3228"/>
      <c r="C6" s="3228"/>
      <c r="D6" s="3228"/>
    </row>
    <row r="7" spans="1:4" ht="33" customHeight="1">
      <c r="A7" s="3228" t="s">
        <v>2574</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（1）根据估价对象《国有土地使用证》原件、，截至估价期日，估价对象抵押权未见登记。</v>
      </c>
      <c r="B11" s="3230"/>
      <c r="C11" s="3230"/>
      <c r="D11" s="3230"/>
    </row>
    <row r="12" spans="1:4" ht="168" customHeight="1">
      <c r="A12" s="3227" t="s">
        <v>2069</v>
      </c>
      <c r="B12" s="3227"/>
      <c r="C12" s="3227"/>
      <c r="D12" s="3227"/>
    </row>
    <row r="13" spans="1:4">
      <c r="A13" s="3231" t="s">
        <v>2745</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2701</v>
      </c>
      <c r="B17" s="3228"/>
      <c r="C17" s="3228"/>
      <c r="D17" s="3228"/>
    </row>
    <row r="18" spans="1:4">
      <c r="A18" s="3228" t="s">
        <v>2693</v>
      </c>
      <c r="B18" s="3228"/>
      <c r="C18" s="3228"/>
      <c r="D18" s="3228"/>
    </row>
    <row r="19" spans="1:4">
      <c r="A19" s="2866" t="s">
        <v>2694</v>
      </c>
      <c r="B19" s="2866" t="s">
        <v>2695</v>
      </c>
      <c r="C19" s="2866" t="s">
        <v>2696</v>
      </c>
      <c r="D19" s="2866" t="s">
        <v>2697</v>
      </c>
    </row>
    <row r="20" spans="1:4">
      <c r="A20" s="2866" t="str">
        <f>项目基本情况!B4</f>
        <v>王鹏</v>
      </c>
      <c r="B20" s="2866">
        <f ca="1">项目基本情况!C4</f>
        <v>2002110030</v>
      </c>
      <c r="C20" s="2868"/>
      <c r="D20" s="1799" t="s">
        <v>2702</v>
      </c>
    </row>
    <row r="21" spans="1:4">
      <c r="A21" s="2866" t="str">
        <f>项目基本情况!D4</f>
        <v>赵雯</v>
      </c>
      <c r="B21" s="2866">
        <f ca="1">项目基本情况!E4</f>
        <v>2011110090</v>
      </c>
      <c r="C21" s="2868"/>
      <c r="D21" s="1799" t="s">
        <v>2703</v>
      </c>
    </row>
    <row r="23" spans="1:4">
      <c r="A23" s="3228" t="s">
        <v>2698</v>
      </c>
      <c r="B23" s="3228"/>
      <c r="C23" s="3228"/>
      <c r="D23" s="3228"/>
    </row>
    <row r="24" spans="1:4">
      <c r="A24" s="2866" t="s">
        <v>2694</v>
      </c>
      <c r="B24" s="2866" t="s">
        <v>2699</v>
      </c>
      <c r="C24" s="2866" t="s">
        <v>2696</v>
      </c>
      <c r="D24" s="2866" t="s">
        <v>2697</v>
      </c>
    </row>
    <row r="25" spans="1:4">
      <c r="A25" s="2869" t="s">
        <v>2700</v>
      </c>
      <c r="B25" s="2866" t="s">
        <v>952</v>
      </c>
      <c r="C25" s="2868"/>
      <c r="D25" s="1799" t="s">
        <v>2703</v>
      </c>
    </row>
    <row r="29" spans="1:4">
      <c r="D29" s="2867" t="s">
        <v>2040</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39" t="s">
        <v>53</v>
      </c>
      <c r="B15" s="3240" t="s">
        <v>846</v>
      </c>
      <c r="C15" s="3236"/>
    </row>
    <row r="16" spans="1:7" ht="14.25">
      <c r="A16" s="3239"/>
      <c r="B16" s="3237" t="s">
        <v>54</v>
      </c>
      <c r="C16" s="1170" t="s">
        <v>53</v>
      </c>
    </row>
    <row r="17" spans="1:3" ht="14.25">
      <c r="A17" s="3239"/>
      <c r="B17" s="3237"/>
      <c r="C17" s="1170" t="s">
        <v>55</v>
      </c>
    </row>
    <row r="18" spans="1:3" ht="14.25">
      <c r="A18" s="3239"/>
      <c r="B18" s="3237"/>
      <c r="C18" s="1170" t="s">
        <v>56</v>
      </c>
    </row>
    <row r="19" spans="1:3" ht="14.25">
      <c r="A19" s="3239"/>
      <c r="B19" s="3235" t="s">
        <v>57</v>
      </c>
      <c r="C19" s="3236"/>
    </row>
    <row r="20" spans="1:3" ht="14.25">
      <c r="A20" s="1171" t="s">
        <v>58</v>
      </c>
      <c r="B20" s="1172"/>
      <c r="C20" s="1173"/>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4" t="s">
        <v>837</v>
      </c>
    </row>
    <row r="25" spans="1:3" ht="14.25">
      <c r="A25" s="3238"/>
      <c r="B25" s="3242"/>
      <c r="C25" s="1174" t="s">
        <v>838</v>
      </c>
    </row>
    <row r="26" spans="1:3" ht="14.25">
      <c r="A26" s="3238"/>
      <c r="B26" s="3242"/>
      <c r="C26" s="1174" t="s">
        <v>839</v>
      </c>
    </row>
    <row r="27" spans="1:3" ht="14.25">
      <c r="A27" s="3238"/>
      <c r="B27" s="3242"/>
      <c r="C27" s="1174" t="s">
        <v>840</v>
      </c>
    </row>
    <row r="28" spans="1:3" ht="14.25">
      <c r="A28" s="3238"/>
      <c r="B28" s="3242"/>
      <c r="C28" s="1174" t="s">
        <v>841</v>
      </c>
    </row>
    <row r="29" spans="1:3" ht="14.25">
      <c r="A29" s="3238"/>
      <c r="B29" s="3242"/>
      <c r="C29" s="1174" t="s">
        <v>842</v>
      </c>
    </row>
    <row r="30" spans="1:3" ht="14.25">
      <c r="A30" s="3238"/>
      <c r="B30" s="3242"/>
      <c r="C30" s="1174" t="s">
        <v>843</v>
      </c>
    </row>
    <row r="31" spans="1:3" ht="14.25">
      <c r="A31" s="3238"/>
      <c r="B31" s="3242"/>
      <c r="C31" s="1174" t="s">
        <v>844</v>
      </c>
    </row>
    <row r="32" spans="1:3" ht="14.25">
      <c r="A32" s="3238"/>
      <c r="B32" s="3242"/>
      <c r="C32" s="1174" t="s">
        <v>1647</v>
      </c>
    </row>
    <row r="33" spans="1:3" ht="14.25">
      <c r="A33" s="3238"/>
      <c r="B33" s="3232" t="s">
        <v>1653</v>
      </c>
      <c r="C33" s="1174" t="s">
        <v>1648</v>
      </c>
    </row>
    <row r="34" spans="1:3" ht="14.25">
      <c r="A34" s="3238"/>
      <c r="B34" s="3233"/>
      <c r="C34" s="1179" t="s">
        <v>1649</v>
      </c>
    </row>
    <row r="35" spans="1:3" ht="14.25">
      <c r="A35" s="3238"/>
      <c r="B35" s="3233"/>
      <c r="C35" s="1180" t="s">
        <v>1650</v>
      </c>
    </row>
    <row r="36" spans="1:3" ht="14.25">
      <c r="A36" s="3238"/>
      <c r="B36" s="3233"/>
      <c r="C36" s="1180" t="s">
        <v>1651</v>
      </c>
    </row>
    <row r="37" spans="1:3" ht="14.25">
      <c r="A37" s="3238"/>
      <c r="B37" s="3234"/>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6">
        <f ca="1">TODAY()</f>
        <v>43387</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4">
        <v>43849</v>
      </c>
      <c r="D4" s="2341" t="s">
        <v>1915</v>
      </c>
      <c r="E4" s="2341">
        <f ca="1">IF(F4&lt;B2,"已过期",96010014)</f>
        <v>96010014</v>
      </c>
      <c r="F4" s="3005">
        <v>47118</v>
      </c>
    </row>
    <row r="5" spans="1:6" ht="20.25" customHeight="1">
      <c r="A5" s="2341" t="s">
        <v>1916</v>
      </c>
      <c r="B5" s="2341">
        <f ca="1">IF(C5&lt;B2,"已过期",1119970074)</f>
        <v>1119970074</v>
      </c>
      <c r="C5" s="3004">
        <v>43849</v>
      </c>
      <c r="D5" s="2341" t="s">
        <v>1916</v>
      </c>
      <c r="E5" s="2341">
        <f ca="1">IF(F5&lt;B2,"已过期",2002110027)</f>
        <v>2002110027</v>
      </c>
      <c r="F5" s="3005">
        <v>46752</v>
      </c>
    </row>
    <row r="6" spans="1:6" ht="20.25" customHeight="1">
      <c r="A6" s="2341" t="s">
        <v>1917</v>
      </c>
      <c r="B6" s="2341">
        <f ca="1">IF(C6&lt;B2,"已过期",1119970111)</f>
        <v>1119970111</v>
      </c>
      <c r="C6" s="3004">
        <v>43849</v>
      </c>
      <c r="D6" s="2341" t="s">
        <v>1917</v>
      </c>
      <c r="E6" s="2341">
        <f ca="1">IF(F6&lt;B2,"已过期",94010078)</f>
        <v>94010078</v>
      </c>
      <c r="F6" s="3005">
        <v>46387</v>
      </c>
    </row>
    <row r="7" spans="1:6" ht="20.25" customHeight="1">
      <c r="A7" s="2341" t="s">
        <v>1918</v>
      </c>
      <c r="B7" s="2341">
        <f ca="1">IF(C7&lt;B2,"已过期",1120050019)</f>
        <v>1120050019</v>
      </c>
      <c r="C7" s="3004">
        <v>44395</v>
      </c>
      <c r="D7" s="2341" t="s">
        <v>1918</v>
      </c>
      <c r="E7" s="2341">
        <f ca="1">IF(F7&lt;B2,"已过期",2002110030)</f>
        <v>2002110030</v>
      </c>
      <c r="F7" s="3005">
        <v>46387</v>
      </c>
    </row>
    <row r="8" spans="1:6" ht="20.25" customHeight="1">
      <c r="A8" s="2341" t="s">
        <v>1919</v>
      </c>
      <c r="B8" s="2341">
        <f ca="1">IF(C8&lt;B2,"已过期",1120000080)</f>
        <v>1120000080</v>
      </c>
      <c r="C8" s="3004">
        <v>43849</v>
      </c>
      <c r="D8" s="2341" t="s">
        <v>1919</v>
      </c>
      <c r="E8" s="2341">
        <f ca="1">IF(F8&lt;B2,"已过期",2000110082)</f>
        <v>2000110082</v>
      </c>
      <c r="F8" s="3005">
        <v>46387</v>
      </c>
    </row>
    <row r="9" spans="1:6" ht="20.25" customHeight="1">
      <c r="A9" s="2341" t="s">
        <v>1920</v>
      </c>
      <c r="B9" s="2341">
        <f ca="1">IF(C9&lt;B2,"已过期",1419970001)</f>
        <v>1419970001</v>
      </c>
      <c r="C9" s="3004">
        <v>43867</v>
      </c>
      <c r="D9" s="2341" t="s">
        <v>1920</v>
      </c>
      <c r="E9" s="2341">
        <f ca="1">IF(F9&lt;B2,"已过期",2002110125)</f>
        <v>2002110125</v>
      </c>
      <c r="F9" s="3005">
        <v>47118</v>
      </c>
    </row>
    <row r="10" spans="1:6" ht="20.25" customHeight="1">
      <c r="A10" s="2341" t="s">
        <v>1921</v>
      </c>
      <c r="B10" s="2341">
        <f ca="1">IF(C10&lt;B2,"已过期",1120060040)</f>
        <v>1120060040</v>
      </c>
      <c r="C10" s="3004">
        <v>43483</v>
      </c>
      <c r="D10" s="2341" t="s">
        <v>1921</v>
      </c>
      <c r="E10" s="2341">
        <f ca="1">IF(F10&lt;B2,"已过期",2004110096)</f>
        <v>2004110096</v>
      </c>
      <c r="F10" s="3005">
        <v>47118</v>
      </c>
    </row>
    <row r="11" spans="1:6" ht="20.25" customHeight="1">
      <c r="A11" s="2341" t="s">
        <v>1922</v>
      </c>
      <c r="B11" s="2341">
        <f ca="1">IF(C11&lt;B2,"已过期",1120100036)</f>
        <v>1120100036</v>
      </c>
      <c r="C11" s="3004">
        <v>43622</v>
      </c>
      <c r="D11" s="2341" t="s">
        <v>1922</v>
      </c>
      <c r="E11" s="2341">
        <f ca="1">IF(F11&lt;B2,"已过期",2010110070)</f>
        <v>2010110070</v>
      </c>
      <c r="F11" s="3005">
        <v>47907</v>
      </c>
    </row>
    <row r="12" spans="1:6" ht="20.25" customHeight="1">
      <c r="A12" s="2341" t="s">
        <v>2963</v>
      </c>
      <c r="B12" s="2341">
        <v>1120110054</v>
      </c>
      <c r="C12" s="3004">
        <v>43937</v>
      </c>
      <c r="D12" s="2341" t="s">
        <v>2963</v>
      </c>
      <c r="E12" s="2341">
        <v>2008110060</v>
      </c>
      <c r="F12" s="3005">
        <v>47177</v>
      </c>
    </row>
    <row r="13" spans="1:6" ht="20.25" customHeight="1">
      <c r="A13" s="2341" t="s">
        <v>1923</v>
      </c>
      <c r="B13" s="2341">
        <f ca="1">IF(C13&lt;B2,"已过期",1120070131)</f>
        <v>1120070131</v>
      </c>
      <c r="C13" s="3004">
        <v>43814</v>
      </c>
      <c r="D13" s="2341" t="s">
        <v>1923</v>
      </c>
      <c r="E13" s="2341">
        <v>2014110011</v>
      </c>
      <c r="F13" s="3005">
        <v>49302</v>
      </c>
    </row>
    <row r="14" spans="1:6" ht="20.25" customHeight="1">
      <c r="A14" s="2341" t="s">
        <v>1924</v>
      </c>
      <c r="B14" s="2341">
        <f ca="1">IF(C14&lt;B2,"已过期",1120130020)</f>
        <v>1120130020</v>
      </c>
      <c r="C14" s="3004">
        <v>43622</v>
      </c>
      <c r="D14" s="2341"/>
      <c r="E14" s="2341"/>
      <c r="F14" s="2341"/>
    </row>
    <row r="15" spans="1:6" ht="20.25" customHeight="1">
      <c r="A15" s="2341" t="s">
        <v>2573</v>
      </c>
      <c r="B15" s="2341">
        <v>1120070085</v>
      </c>
      <c r="C15" s="3004">
        <v>43814</v>
      </c>
      <c r="D15" s="2341" t="s">
        <v>2573</v>
      </c>
      <c r="E15" s="2341">
        <v>2004110128</v>
      </c>
      <c r="F15" s="3005">
        <v>47118</v>
      </c>
    </row>
    <row r="16" spans="1:6" ht="20.25" customHeight="1">
      <c r="A16" s="2341" t="s">
        <v>1925</v>
      </c>
      <c r="B16" s="2341">
        <f ca="1">IF(C16&lt;B2,"已过期",1120140022)</f>
        <v>1120140022</v>
      </c>
      <c r="C16" s="3004">
        <v>44029</v>
      </c>
      <c r="D16" s="2341" t="s">
        <v>1925</v>
      </c>
      <c r="E16" s="2341">
        <f ca="1">IF(F16&lt;B2,"已过期",2008110059)</f>
        <v>2008110059</v>
      </c>
      <c r="F16" s="3005">
        <v>47177</v>
      </c>
    </row>
    <row r="17" spans="1:7" ht="20.25" customHeight="1">
      <c r="A17" s="2341"/>
      <c r="B17" s="2341"/>
      <c r="C17" s="3004"/>
      <c r="D17" s="2341"/>
      <c r="E17" s="2341"/>
      <c r="F17" s="3005"/>
    </row>
    <row r="18" spans="1:7" ht="20.25" customHeight="1">
      <c r="A18" s="2341"/>
      <c r="B18" s="2341"/>
      <c r="C18" s="3004"/>
      <c r="D18" s="2341"/>
      <c r="E18" s="2341"/>
      <c r="F18" s="3005"/>
    </row>
    <row r="19" spans="1:7" ht="20.25" customHeight="1">
      <c r="A19" s="2341"/>
      <c r="B19" s="2341"/>
      <c r="C19" s="3004"/>
      <c r="D19" s="2341"/>
      <c r="E19" s="2341"/>
      <c r="F19" s="2341"/>
    </row>
    <row r="20" spans="1:7" ht="20.25" customHeight="1">
      <c r="A20" s="2341"/>
      <c r="B20" s="2341"/>
      <c r="C20" s="3004"/>
      <c r="D20" s="2341"/>
      <c r="E20" s="2341"/>
      <c r="F20" s="2341"/>
    </row>
    <row r="21" spans="1:7" ht="20.25" customHeight="1">
      <c r="A21" s="2341"/>
      <c r="B21" s="2341"/>
      <c r="C21" s="3004"/>
      <c r="D21" s="2341" t="s">
        <v>1926</v>
      </c>
      <c r="E21" s="2341">
        <f ca="1">IF(F21&lt;B2,"已过期",2011110090)</f>
        <v>2011110090</v>
      </c>
      <c r="F21" s="3005">
        <v>48302</v>
      </c>
    </row>
    <row r="22" spans="1:7" ht="20.25" customHeight="1">
      <c r="A22" s="2341" t="s">
        <v>1927</v>
      </c>
      <c r="B22" s="2341">
        <f ca="1">IF(C22&lt;B2,"已过期",1120020033)</f>
        <v>1120020033</v>
      </c>
      <c r="C22" s="3004">
        <v>44339</v>
      </c>
      <c r="D22" s="2341" t="s">
        <v>1927</v>
      </c>
      <c r="E22" s="2341">
        <f ca="1">IF(F22&lt;B2,"已过期",2000110137)</f>
        <v>2000110137</v>
      </c>
      <c r="F22" s="3005">
        <v>46387</v>
      </c>
    </row>
    <row r="23" spans="1:7" ht="20.25" customHeight="1">
      <c r="A23" s="2341" t="s">
        <v>1928</v>
      </c>
      <c r="B23" s="2341">
        <f ca="1">IF(C23&lt;B2,"已过期",1120130048)</f>
        <v>1120130048</v>
      </c>
      <c r="C23" s="3004">
        <v>43686</v>
      </c>
      <c r="D23" s="2341"/>
      <c r="E23" s="2341"/>
      <c r="F23" s="2341"/>
    </row>
    <row r="24" spans="1:7" s="2345" customFormat="1" ht="20.25" customHeight="1">
      <c r="A24" s="2343" t="s">
        <v>2054</v>
      </c>
      <c r="B24" s="2343" t="s">
        <v>2054</v>
      </c>
      <c r="C24" s="3004"/>
      <c r="D24" s="3006" t="s">
        <v>2054</v>
      </c>
      <c r="E24" s="2343" t="s">
        <v>2054</v>
      </c>
      <c r="F24" s="2344"/>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2929</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2544</v>
      </c>
      <c r="R1" s="2580" t="s">
        <v>2538</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7" t="s">
        <v>2941</v>
      </c>
      <c r="C18" s="1553"/>
    </row>
    <row r="19" spans="1:3">
      <c r="A19" s="8" t="s">
        <v>120</v>
      </c>
      <c r="B19" s="3107" t="s">
        <v>2949</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华夏幸福拟使用河北省怀来县东花园镇董庄子村、杨庄子村英国宫5期住宅地块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45"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c r="D53" s="1766"/>
      <c r="E53" s="1766"/>
    </row>
    <row r="54" spans="1:5">
      <c r="A54" s="3245"/>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5"/>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5"/>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5"/>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新房案例</vt:lpstr>
      <vt:lpstr>面积指标</vt:lpstr>
      <vt:lpstr>清单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2018-09-20T02:49:19Z</cp:lastPrinted>
  <dcterms:created xsi:type="dcterms:W3CDTF">2015-07-13T07:17:23Z</dcterms:created>
  <dcterms:modified xsi:type="dcterms:W3CDTF">2018-10-14T12:29:04Z</dcterms:modified>
</cp:coreProperties>
</file>