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6"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S38" i="64" l="1"/>
  <c r="S39" i="64"/>
  <c r="S40" i="64"/>
  <c r="S37" i="64"/>
  <c r="R43" i="64"/>
  <c r="R41" i="64"/>
  <c r="I46" i="15"/>
  <c r="H46" i="15"/>
  <c r="J53" i="15"/>
  <c r="E48" i="34" l="1"/>
  <c r="I37" i="34" l="1"/>
  <c r="I48" i="34"/>
  <c r="G48" i="34"/>
  <c r="E20" i="1" l="1"/>
  <c r="R38" i="64"/>
  <c r="R39" i="64"/>
  <c r="R40" i="64"/>
  <c r="R37" i="64"/>
  <c r="G37" i="34" l="1"/>
  <c r="D105" i="34"/>
  <c r="E105" i="34" s="1"/>
  <c r="F105" i="34" s="1"/>
  <c r="G105" i="34" s="1"/>
  <c r="E37" i="34" l="1"/>
  <c r="C37" i="34"/>
  <c r="C34" i="34"/>
  <c r="AH5" i="59" l="1"/>
  <c r="AG5" i="59"/>
  <c r="AF5" i="59"/>
  <c r="AE5" i="59"/>
  <c r="AD5" i="59"/>
  <c r="Q5" i="59"/>
  <c r="P5" i="59"/>
  <c r="O5" i="59"/>
  <c r="N5" i="59"/>
  <c r="AH6" i="59"/>
  <c r="AG6" i="59"/>
  <c r="AF6" i="59"/>
  <c r="AE6" i="59"/>
  <c r="AD6" i="59"/>
  <c r="Q6" i="59"/>
  <c r="P6" i="59"/>
  <c r="O6" i="59"/>
  <c r="N6" i="59"/>
  <c r="AH7" i="59"/>
  <c r="AG7" i="59"/>
  <c r="AF7" i="59"/>
  <c r="AE7" i="59"/>
  <c r="AD7" i="59"/>
  <c r="Q7" i="59"/>
  <c r="P7" i="59"/>
  <c r="O7" i="59"/>
  <c r="N7" i="59"/>
  <c r="AH8" i="59"/>
  <c r="AG8" i="59"/>
  <c r="AE8" i="59"/>
  <c r="AF8" i="59" s="1"/>
  <c r="AD8" i="59"/>
  <c r="Q8" i="59"/>
  <c r="P8" i="59"/>
  <c r="O8" i="59"/>
  <c r="N8" i="59"/>
  <c r="G14" i="61" l="1"/>
  <c r="F14" i="61"/>
  <c r="E14" i="61"/>
  <c r="G15" i="61" l="1"/>
  <c r="F15" i="61"/>
  <c r="E15"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6" i="61"/>
  <c r="F16" i="61"/>
  <c r="E16" i="61"/>
  <c r="G17" i="61"/>
  <c r="F17" i="61"/>
  <c r="E17" i="61"/>
  <c r="E18" i="61"/>
  <c r="F18" i="61"/>
  <c r="G18" i="61"/>
  <c r="G19" i="61"/>
  <c r="F19" i="61"/>
  <c r="E19"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F116" i="57"/>
  <c r="A133" i="57" s="1"/>
  <c r="A120" i="57"/>
  <c r="D120" i="57" s="1"/>
  <c r="A116" i="9"/>
  <c r="F114" i="57"/>
  <c r="B18" i="50" s="1"/>
  <c r="A118" i="57"/>
  <c r="A131" i="57" s="1"/>
  <c r="A114" i="9"/>
  <c r="A127" i="9" s="1"/>
  <c r="F114" i="9"/>
  <c r="A129" i="9" s="1"/>
  <c r="A12" i="52" s="1"/>
  <c r="B67" i="60" s="1"/>
  <c r="F112" i="9"/>
  <c r="B45" i="50"/>
  <c r="B59" i="60" s="1"/>
  <c r="D2" i="52"/>
  <c r="B60" i="60" s="1"/>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U21" i="33"/>
  <c r="S21" i="33"/>
  <c r="S21" i="21"/>
  <c r="J25" i="40"/>
  <c r="J27" i="39"/>
  <c r="H27" i="39"/>
  <c r="F27" i="39"/>
  <c r="H18" i="36"/>
  <c r="J18" i="36"/>
  <c r="G77" i="37"/>
  <c r="J21" i="37"/>
  <c r="H21" i="34"/>
  <c r="U21" i="34" s="1"/>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c r="F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C15" i="34"/>
  <c r="F67" i="34"/>
  <c r="G67" i="34"/>
  <c r="H67" i="34" s="1"/>
  <c r="I67" i="34" s="1"/>
  <c r="D126" i="34"/>
  <c r="D124" i="34"/>
  <c r="E124" i="34" s="1"/>
  <c r="F124" i="34" s="1"/>
  <c r="G124" i="34" s="1"/>
  <c r="H124" i="34" s="1"/>
  <c r="I124" i="34" s="1"/>
  <c r="J124" i="34" s="1"/>
  <c r="K124" i="34" s="1"/>
  <c r="L124" i="34" s="1"/>
  <c r="M124" i="34" s="1"/>
  <c r="D118" i="34"/>
  <c r="E118" i="34" s="1"/>
  <c r="F118" i="34" s="1"/>
  <c r="G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c r="G92" i="34"/>
  <c r="H92" i="34"/>
  <c r="I92" i="34"/>
  <c r="J92" i="34"/>
  <c r="K92" i="34"/>
  <c r="L92" i="34"/>
  <c r="M92" i="34"/>
  <c r="B91" i="34"/>
  <c r="B89" i="34"/>
  <c r="D88" i="34"/>
  <c r="E88" i="34" s="1"/>
  <c r="F88" i="34" s="1"/>
  <c r="G88" i="34" s="1"/>
  <c r="D86" i="34"/>
  <c r="E86" i="34" s="1"/>
  <c r="F86" i="34" s="1"/>
  <c r="G86" i="34" s="1"/>
  <c r="F23" i="34"/>
  <c r="AA23" i="34" s="1"/>
  <c r="D82" i="34"/>
  <c r="E82" i="34" s="1"/>
  <c r="F82" i="34" s="1"/>
  <c r="G82" i="34" s="1"/>
  <c r="F19" i="34"/>
  <c r="S19" i="34" s="1"/>
  <c r="D80" i="34"/>
  <c r="E80" i="34" s="1"/>
  <c r="F80" i="34" s="1"/>
  <c r="G80" i="34" s="1"/>
  <c r="D78" i="34"/>
  <c r="E78" i="34" s="1"/>
  <c r="F78" i="34" s="1"/>
  <c r="G78" i="34" s="1"/>
  <c r="F15" i="34"/>
  <c r="AA15" i="34" s="1"/>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AA10" i="34" s="1"/>
  <c r="Q9" i="34"/>
  <c r="Z9" i="34"/>
  <c r="J8" i="34"/>
  <c r="W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H40" i="34"/>
  <c r="U40" i="34" s="1"/>
  <c r="E114" i="34"/>
  <c r="F38" i="34"/>
  <c r="AA38" i="34" s="1"/>
  <c r="F114" i="34"/>
  <c r="G114" i="34"/>
  <c r="H114" i="34" s="1"/>
  <c r="I114" i="34" s="1"/>
  <c r="J114" i="34" s="1"/>
  <c r="K114" i="34" s="1"/>
  <c r="L114" i="34" s="1"/>
  <c r="M114" i="34" s="1"/>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AB38" i="34" s="1"/>
  <c r="F113" i="33"/>
  <c r="G113" i="33"/>
  <c r="H113" i="33"/>
  <c r="I113" i="33"/>
  <c r="J113" i="33"/>
  <c r="K113" i="33"/>
  <c r="L113" i="33"/>
  <c r="M113" i="33"/>
  <c r="H37" i="33"/>
  <c r="AB37" i="33"/>
  <c r="AA37" i="33"/>
  <c r="H36" i="33"/>
  <c r="U36" i="33"/>
  <c r="S25" i="33"/>
  <c r="F17" i="33"/>
  <c r="AA17" i="33"/>
  <c r="H15" i="33"/>
  <c r="AB15" i="33"/>
  <c r="AB11" i="33"/>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c r="H41" i="34"/>
  <c r="U41" i="34"/>
  <c r="J41" i="34"/>
  <c r="AC41" i="34"/>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S30" i="31"/>
  <c r="U11" i="40"/>
  <c r="AC33" i="36"/>
  <c r="AB20" i="35"/>
  <c r="AA11" i="35"/>
  <c r="AC12" i="35"/>
  <c r="S28" i="37"/>
  <c r="U39" i="37"/>
  <c r="S25" i="37"/>
  <c r="W47"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W34" i="34"/>
  <c r="S28" i="34"/>
  <c r="J33" i="34"/>
  <c r="W33"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F40" i="34"/>
  <c r="AA40" i="34" s="1"/>
  <c r="U20" i="36"/>
  <c r="AB20" i="36"/>
  <c r="AA16" i="36"/>
  <c r="AC44" i="39"/>
  <c r="W44" i="39"/>
  <c r="H13" i="21"/>
  <c r="U13" i="21"/>
  <c r="J13" i="21"/>
  <c r="F13" i="21"/>
  <c r="AA13" i="21"/>
  <c r="J45" i="21"/>
  <c r="F45" i="21"/>
  <c r="AA45" i="21"/>
  <c r="S42" i="21"/>
  <c r="B41" i="47"/>
  <c r="C23" i="40"/>
  <c r="AC8" i="34"/>
  <c r="W12" i="34"/>
  <c r="AC12" i="34"/>
  <c r="J9" i="34"/>
  <c r="AC9" i="34" s="1"/>
  <c r="F9" i="34"/>
  <c r="S9" i="34" s="1"/>
  <c r="AA19" i="34"/>
  <c r="AA9" i="36"/>
  <c r="S9" i="36"/>
  <c r="AB23" i="36"/>
  <c r="U23" i="36"/>
  <c r="J12" i="36"/>
  <c r="W12" i="36"/>
  <c r="H12" i="36"/>
  <c r="AB12" i="36"/>
  <c r="AA9" i="39"/>
  <c r="S9" i="39"/>
  <c r="AB12" i="39"/>
  <c r="U12" i="39"/>
  <c r="J12" i="39"/>
  <c r="F12" i="39"/>
  <c r="S12" i="39" s="1"/>
  <c r="R29" i="31"/>
  <c r="T29" i="31" s="1"/>
  <c r="F15" i="21"/>
  <c r="S15" i="21"/>
  <c r="C106" i="9"/>
  <c r="H102" i="9" s="1"/>
  <c r="AA30" i="21"/>
  <c r="J36" i="34"/>
  <c r="W36" i="34" s="1"/>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c r="E116" i="34"/>
  <c r="F116" i="34"/>
  <c r="G116" i="34" s="1"/>
  <c r="H116" i="34" s="1"/>
  <c r="I116" i="34" s="1"/>
  <c r="J116" i="34" s="1"/>
  <c r="K116" i="34" s="1"/>
  <c r="L116" i="34" s="1"/>
  <c r="M116" i="34" s="1"/>
  <c r="J39" i="34"/>
  <c r="W39" i="34" s="1"/>
  <c r="J27" i="36"/>
  <c r="F26" i="47"/>
  <c r="B24" i="47"/>
  <c r="AA32" i="37"/>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AB35" i="39"/>
  <c r="AC40" i="37"/>
  <c r="S27" i="37"/>
  <c r="AA12" i="37"/>
  <c r="AA34" i="35"/>
  <c r="S34" i="35"/>
  <c r="AB24" i="35"/>
  <c r="J17" i="34"/>
  <c r="AC17" i="34"/>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6" i="39"/>
  <c r="G96" i="39"/>
  <c r="S26" i="37"/>
  <c r="S24" i="36"/>
  <c r="F44" i="34"/>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AA44" i="34"/>
  <c r="S44" i="34"/>
  <c r="S27" i="36"/>
  <c r="I60" i="37"/>
  <c r="J10" i="37"/>
  <c r="AC10" i="37"/>
  <c r="H23" i="39"/>
  <c r="AB23" i="39"/>
  <c r="J11" i="34"/>
  <c r="W11" i="34"/>
  <c r="J27" i="33"/>
  <c r="W27" i="33"/>
  <c r="W17"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S43" i="34"/>
  <c r="AB17" i="34"/>
  <c r="W15" i="34"/>
  <c r="W31" i="34"/>
  <c r="AB21"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40" i="34"/>
  <c r="AB28" i="34"/>
  <c r="W41" i="34"/>
  <c r="AA45" i="34"/>
  <c r="AB45" i="34"/>
  <c r="AB35" i="34"/>
  <c r="W29" i="34"/>
  <c r="W43" i="34"/>
  <c r="S3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B41" i="1"/>
  <c r="M27" i="15" s="1"/>
  <c r="C11" i="12"/>
  <c r="C15" i="12"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D19" i="59"/>
  <c r="I114" i="9"/>
  <c r="D129" i="9" s="1"/>
  <c r="D116" i="9"/>
  <c r="D4" i="61"/>
  <c r="E2" i="11"/>
  <c r="F3" i="61"/>
  <c r="F4" i="61"/>
  <c r="C20" i="57"/>
  <c r="C19" i="57"/>
  <c r="E2" i="37"/>
  <c r="E2" i="36"/>
  <c r="E2" i="35"/>
  <c r="H23" i="31"/>
  <c r="F5" i="61"/>
  <c r="D5" i="61"/>
  <c r="D6" i="61"/>
  <c r="D19" i="57"/>
  <c r="E2" i="34"/>
  <c r="E2" i="21"/>
  <c r="D20" i="57"/>
  <c r="D3" i="61"/>
  <c r="F7" i="61"/>
  <c r="E2" i="33"/>
  <c r="F6" i="61"/>
  <c r="D7" i="61"/>
  <c r="I14" i="62" l="1"/>
  <c r="B8" i="62" s="1"/>
  <c r="D8" i="62" s="1"/>
  <c r="F37" i="34"/>
  <c r="AA37" i="34" s="1"/>
  <c r="G112" i="34"/>
  <c r="H112" i="34" s="1"/>
  <c r="I112" i="34" s="1"/>
  <c r="J112" i="34" s="1"/>
  <c r="K112" i="34" s="1"/>
  <c r="L112" i="34" s="1"/>
  <c r="M112" i="34" s="1"/>
  <c r="J37" i="34"/>
  <c r="H37" i="34"/>
  <c r="AB33" i="34"/>
  <c r="F90" i="34"/>
  <c r="G90" i="34" s="1"/>
  <c r="H90" i="34" s="1"/>
  <c r="I90" i="34" s="1"/>
  <c r="J90" i="34" s="1"/>
  <c r="K90" i="34" s="1"/>
  <c r="L90" i="34" s="1"/>
  <c r="M90" i="34" s="1"/>
  <c r="J27" i="34"/>
  <c r="W27" i="34" s="1"/>
  <c r="F27" i="34"/>
  <c r="H88" i="34"/>
  <c r="I88" i="34" s="1"/>
  <c r="J88" i="34" s="1"/>
  <c r="K88" i="34" s="1"/>
  <c r="L88" i="34" s="1"/>
  <c r="M88" i="34" s="1"/>
  <c r="J25" i="34"/>
  <c r="W25" i="34" s="1"/>
  <c r="F25" i="34"/>
  <c r="S25" i="34" s="1"/>
  <c r="H25" i="34"/>
  <c r="U25" i="34" s="1"/>
  <c r="U23" i="34"/>
  <c r="AC19" i="34"/>
  <c r="S37" i="34"/>
  <c r="AB44" i="34"/>
  <c r="S40" i="34"/>
  <c r="W44" i="34"/>
  <c r="AC25" i="34"/>
  <c r="AB25" i="34"/>
  <c r="AC23" i="34"/>
  <c r="W21" i="34"/>
  <c r="S21" i="34"/>
  <c r="AB19" i="34"/>
  <c r="S17" i="34"/>
  <c r="S15" i="34"/>
  <c r="U15" i="34"/>
  <c r="W9" i="34"/>
  <c r="AC10" i="34"/>
  <c r="AB8" i="34"/>
  <c r="S8" i="34"/>
  <c r="U10" i="34"/>
  <c r="U9" i="34"/>
  <c r="AA9" i="34"/>
  <c r="U43" i="34"/>
  <c r="W40" i="34"/>
  <c r="AC39" i="34"/>
  <c r="S39" i="34"/>
  <c r="U39" i="34"/>
  <c r="U38" i="34"/>
  <c r="S38" i="34"/>
  <c r="W38" i="34"/>
  <c r="AC36" i="34"/>
  <c r="U36" i="34"/>
  <c r="S36" i="34"/>
  <c r="W35" i="34"/>
  <c r="S35" i="34"/>
  <c r="U34" i="34"/>
  <c r="AC33" i="34"/>
  <c r="AA33" i="34"/>
  <c r="AB27" i="34"/>
  <c r="F7" i="15"/>
  <c r="E13" i="1"/>
  <c r="C8" i="11" s="1"/>
  <c r="C5" i="11"/>
  <c r="D42" i="50"/>
  <c r="D43" i="50" s="1"/>
  <c r="B15" i="50"/>
  <c r="B56" i="60" s="1"/>
  <c r="I114" i="57"/>
  <c r="D131" i="57" s="1"/>
  <c r="A8" i="52"/>
  <c r="B65" i="6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A10" i="52"/>
  <c r="B66" i="60" s="1"/>
  <c r="C14" i="15"/>
  <c r="C15" i="15" s="1"/>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H53" i="43"/>
  <c r="N60" i="15"/>
  <c r="C12" i="12"/>
  <c r="C16" i="12" s="1"/>
  <c r="G17" i="43"/>
  <c r="C16" i="43" s="1"/>
  <c r="C5" i="43" s="1"/>
  <c r="J20" i="15"/>
  <c r="C6" i="15"/>
  <c r="F51" i="15"/>
  <c r="D62" i="40"/>
  <c r="C64" i="40"/>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C12" i="50"/>
  <c r="E125" i="57"/>
  <c r="D126" i="57"/>
  <c r="C94" i="57"/>
  <c r="C96" i="57"/>
  <c r="C113" i="57"/>
  <c r="H108" i="57" s="1"/>
  <c r="C115" i="57"/>
  <c r="H110" i="57" s="1"/>
  <c r="C23" i="12"/>
  <c r="C20" i="11"/>
  <c r="C28" i="11" s="1"/>
  <c r="C27" i="11" s="1"/>
  <c r="C34" i="15"/>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5" i="57" s="1"/>
  <c r="C104" i="57"/>
  <c r="D104" i="57"/>
  <c r="G1" i="61"/>
  <c r="D69" i="39" l="1"/>
  <c r="AC27" i="34"/>
  <c r="AA25" i="34"/>
  <c r="U37" i="34"/>
  <c r="AB37" i="34"/>
  <c r="W37" i="34"/>
  <c r="AC37" i="34"/>
  <c r="S27" i="34"/>
  <c r="AA27" i="34"/>
  <c r="F7" i="35"/>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U7" i="37"/>
  <c r="C50" i="15"/>
  <c r="F60" i="15"/>
  <c r="B23" i="31"/>
  <c r="R25" i="31"/>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B24" i="31"/>
  <c r="B3" i="31" s="1"/>
  <c r="C35" i="57" s="1"/>
  <c r="I125" i="57" s="1"/>
  <c r="B2" i="31"/>
  <c r="C34" i="57" s="1"/>
  <c r="H125" i="57" s="1"/>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D110" i="57"/>
  <c r="H126" i="57"/>
  <c r="C107" i="57"/>
  <c r="I104" i="57"/>
  <c r="D111" i="57"/>
  <c r="C108" i="57"/>
  <c r="I105" i="57"/>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I112" i="57"/>
  <c r="D47" i="57"/>
  <c r="N50" i="57"/>
  <c r="D116" i="57"/>
  <c r="D117" i="57" s="1"/>
  <c r="I113" i="57" s="1"/>
  <c r="D130" i="57" s="1"/>
  <c r="D121" i="57"/>
  <c r="I117" i="57" s="1"/>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C98" i="57"/>
  <c r="E98" i="57" s="1"/>
  <c r="E99" i="57" s="1"/>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F45" i="15" l="1"/>
  <c r="F46" i="15" s="1"/>
  <c r="C7" i="59"/>
  <c r="D8" i="59"/>
  <c r="D9" i="59"/>
  <c r="T9" i="59"/>
  <c r="N71" i="57"/>
  <c r="O71" i="57" s="1"/>
  <c r="O61" i="57"/>
  <c r="O60" i="57"/>
  <c r="Q59" i="57"/>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O63" i="57"/>
  <c r="O62" i="57"/>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20" i="9"/>
  <c r="D19" i="9"/>
  <c r="D101" i="9" l="1"/>
  <c r="D102" i="9"/>
  <c r="R50" i="34"/>
  <c r="C49" i="34" s="1"/>
  <c r="E49" i="34"/>
  <c r="E53" i="34" s="1"/>
  <c r="F53" i="34" s="1"/>
  <c r="I53" i="34"/>
  <c r="J53" i="34" s="1"/>
  <c r="I54" i="34"/>
  <c r="J54"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50" i="34" l="1"/>
  <c r="B2" i="34" s="1"/>
  <c r="E54" i="34"/>
  <c r="F54" i="34" s="1"/>
  <c r="AC7" i="40"/>
  <c r="V42" i="40" s="1"/>
  <c r="I42" i="40" s="1"/>
  <c r="I46" i="40" s="1"/>
  <c r="J46" i="40" s="1"/>
  <c r="W7" i="40"/>
  <c r="S7" i="40"/>
  <c r="AA7" i="40"/>
  <c r="R42" i="40" s="1"/>
  <c r="R43" i="40" s="1"/>
  <c r="AB7" i="40"/>
  <c r="T42" i="40" s="1"/>
  <c r="G42" i="40" s="1"/>
  <c r="G46" i="40" s="1"/>
  <c r="H46" i="40" s="1"/>
  <c r="U7" i="40"/>
  <c r="C19" i="9"/>
  <c r="B3" i="34" l="1"/>
  <c r="C101" i="9"/>
  <c r="D22" i="9"/>
  <c r="G19" i="9"/>
  <c r="G47" i="40"/>
  <c r="H47" i="40" s="1"/>
  <c r="E42" i="40"/>
  <c r="C20" i="9"/>
  <c r="C102" i="9" l="1"/>
  <c r="G20" i="9"/>
  <c r="C32" i="9" s="1"/>
  <c r="C35" i="9" s="1"/>
  <c r="C34" i="9" s="1"/>
  <c r="I47" i="40"/>
  <c r="J47" i="40" s="1"/>
  <c r="E47" i="40"/>
  <c r="F47" i="40" s="1"/>
  <c r="E46" i="40"/>
  <c r="F46" i="40" s="1"/>
  <c r="C43" i="40"/>
  <c r="C42" i="40"/>
  <c r="B57" i="40" l="1"/>
  <c r="F57" i="40" s="1"/>
  <c r="B54" i="40"/>
  <c r="F54" i="40" s="1"/>
  <c r="B56" i="40"/>
  <c r="F56" i="40" s="1"/>
  <c r="B53" i="40"/>
  <c r="F53" i="40" s="1"/>
  <c r="B58" i="40"/>
  <c r="F58" i="40" s="1"/>
  <c r="B52" i="40"/>
  <c r="F52" i="40" s="1"/>
  <c r="B55" i="40"/>
  <c r="F55" i="40" s="1"/>
  <c r="B51" i="40"/>
  <c r="F51" i="40" s="1"/>
  <c r="F60" i="40" s="1"/>
  <c r="B2" i="40" s="1"/>
  <c r="B3" i="40" s="1"/>
  <c r="B59" i="40"/>
  <c r="F59" i="40" s="1"/>
  <c r="I112" i="9" l="1"/>
  <c r="D114" i="9"/>
  <c r="D115" i="9"/>
  <c r="I113" i="9" l="1"/>
  <c r="D41" i="50"/>
  <c r="B63" i="60" s="1"/>
  <c r="D127" i="9"/>
  <c r="D18" i="50"/>
  <c r="D39" i="50"/>
  <c r="D40" i="50" s="1"/>
  <c r="E121" i="9"/>
  <c r="G121" i="9"/>
  <c r="I121" i="9"/>
  <c r="H14" i="62" l="1"/>
  <c r="B7" i="62" s="1"/>
  <c r="D10" i="52"/>
  <c r="D128" i="9"/>
  <c r="D11" i="52" s="1"/>
  <c r="D20" i="50"/>
  <c r="B31" i="60"/>
  <c r="D19" i="50"/>
  <c r="B32" i="60" s="1"/>
  <c r="F121" i="9"/>
  <c r="G4" i="52"/>
  <c r="B41" i="60" s="1"/>
  <c r="I103" i="9"/>
  <c r="I4" i="52"/>
  <c r="D121" i="9"/>
  <c r="E4" i="52"/>
  <c r="B38" i="60" s="1"/>
  <c r="H121" i="9"/>
  <c r="D107" i="9"/>
  <c r="C104" i="9"/>
  <c r="D7" i="62" l="1"/>
  <c r="C7" i="62"/>
  <c r="H122" i="9"/>
  <c r="H5" i="52" s="1"/>
  <c r="H4" i="52"/>
  <c r="D122" i="9"/>
  <c r="D5" i="52" s="1"/>
  <c r="B39" i="60" s="1"/>
  <c r="D4" i="52"/>
  <c r="B37" i="60" s="1"/>
  <c r="D30" i="50"/>
  <c r="D9" i="50"/>
  <c r="B21" i="60" s="1"/>
  <c r="F122" i="9"/>
  <c r="F5" i="52" s="1"/>
  <c r="B42" i="60" s="1"/>
  <c r="F4" i="52"/>
  <c r="B40" i="60" s="1"/>
  <c r="D106" i="9"/>
  <c r="D112" i="9" s="1"/>
  <c r="D113" i="9" s="1"/>
  <c r="C103" i="9"/>
  <c r="I102" i="9"/>
  <c r="I110" i="9" s="1"/>
  <c r="D14" i="62"/>
  <c r="F14" i="62" s="1"/>
  <c r="N48" i="9"/>
  <c r="B5" i="62" l="1"/>
  <c r="D5" i="62" s="1"/>
  <c r="D117" i="9"/>
  <c r="I115" i="9" s="1"/>
  <c r="D23" i="50" s="1"/>
  <c r="B34" i="60" s="1"/>
  <c r="I111" i="9"/>
  <c r="D38" i="50"/>
  <c r="B62" i="60" s="1"/>
  <c r="D28" i="50"/>
  <c r="D29" i="50" s="1"/>
  <c r="D7" i="50"/>
  <c r="D45" i="9"/>
  <c r="C64" i="9" s="1"/>
  <c r="C63" i="9" s="1"/>
  <c r="C67" i="9" s="1"/>
  <c r="C68" i="9" s="1"/>
  <c r="D54" i="9" s="1"/>
  <c r="D36" i="50"/>
  <c r="D37" i="50" s="1"/>
  <c r="D15" i="50"/>
  <c r="E14" i="62"/>
  <c r="C5" i="62"/>
  <c r="D125" i="9"/>
  <c r="N49" i="9"/>
  <c r="C78" i="9" l="1"/>
  <c r="C73" i="9" s="1"/>
  <c r="D44" i="50"/>
  <c r="C85" i="9"/>
  <c r="D53" i="9"/>
  <c r="D48" i="9" s="1"/>
  <c r="N52" i="9" s="1"/>
  <c r="O57" i="9" s="1"/>
  <c r="Q57" i="9" s="1"/>
  <c r="C93" i="9"/>
  <c r="C86" i="9" s="1"/>
  <c r="C95" i="9" s="1"/>
  <c r="D52" i="9"/>
  <c r="C72" i="9"/>
  <c r="C79" i="9" s="1"/>
  <c r="C80" i="9" s="1"/>
  <c r="E80" i="9" s="1"/>
  <c r="E81" i="9" s="1"/>
  <c r="G14" i="62"/>
  <c r="B6" i="62" s="1"/>
  <c r="C6" i="62" s="1"/>
  <c r="D8" i="52"/>
  <c r="B19" i="60"/>
  <c r="D8" i="50"/>
  <c r="B22" i="60" s="1"/>
  <c r="B29" i="60"/>
  <c r="D16" i="50"/>
  <c r="B30" i="60" s="1"/>
  <c r="D126" i="9"/>
  <c r="D9" i="52" s="1"/>
  <c r="D17" i="50"/>
  <c r="M64" i="9"/>
  <c r="N64" i="9" s="1"/>
  <c r="M63" i="9"/>
  <c r="N63" i="9" s="1"/>
  <c r="M65" i="9"/>
  <c r="N65" i="9" s="1"/>
  <c r="M66" i="9"/>
  <c r="N66" i="9" s="1"/>
  <c r="M68" i="9"/>
  <c r="N68" i="9" s="1"/>
  <c r="M67" i="9"/>
  <c r="N67" i="9" s="1"/>
  <c r="O59" i="9" l="1"/>
  <c r="O60" i="9" s="1"/>
  <c r="N69" i="9"/>
  <c r="O69" i="9" s="1"/>
  <c r="C81" i="9"/>
  <c r="O58" i="9"/>
  <c r="C96" i="9"/>
  <c r="E96" i="9" s="1"/>
  <c r="E97" i="9" s="1"/>
  <c r="D6" i="62"/>
  <c r="O61" i="9"/>
  <c r="C97" i="9" l="1"/>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<sst xmlns="http://schemas.openxmlformats.org/spreadsheetml/2006/main" count="7014" uniqueCount="3089">
  <si>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</si>
  <si>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</si>
  <si>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</si>
  <si>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</si>
  <si>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</si>
  <si>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</si>
  <si>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</si>
  <si>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</si>
  <si>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</si>
  <si>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</si>
  <si>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</si>
  <si>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</si>
  <si>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</si>
  <si>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</si>
  <si>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</si>
  <si>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</si>
  <si>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</si>
  <si>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</si>
  <si>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</si>
  <si>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</si>
  <si>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</si>
  <si>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</si>
  <si>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</si>
  <si>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</si>
  <si>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</si>
  <si>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</si>
  <si>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</si>
  <si>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</si>
  <si>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</si>
  <si>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</si>
  <si>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</si>
  <si>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</si>
  <si>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</si>
  <si>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</si>
  <si>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</si>
  <si>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</si>
  <si>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</si>
  <si>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</si>
  <si>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</si>
  <si>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</si>
  <si>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</si>
  <si>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</si>
  <si>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</si>
  <si>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</si>
  <si>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</si>
  <si>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</si>
  <si>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</si>
  <si>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</si>
  <si>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</si>
  <si>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</si>
  <si>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</si>
  <si>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</si>
  <si>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</si>
  <si>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</si>
  <si>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</si>
  <si>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</si>
  <si>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</si>
  <si>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</si>
  <si>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</si>
  <si>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</si>
  <si>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</si>
  <si>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</si>
  <si>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</si>
  <si>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</si>
  <si>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</si>
  <si>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</si>
  <si>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</si>
  <si>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</si>
  <si>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</si>
  <si>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</si>
  <si>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</si>
  <si>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</si>
  <si>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</si>
  <si>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</si>
  <si>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</si>
  <si>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</si>
  <si>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</si>
  <si>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</si>
  <si>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</si>
  <si>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</si>
  <si>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</si>
  <si>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</si>
  <si>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</si>
  <si>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</si>
  <si>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</si>
  <si>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</si>
  <si>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</si>
  <si>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</si>
  <si>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</si>
  <si>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</si>
  <si>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</si>
  <si>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</si>
  <si>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</si>
  <si>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</si>
  <si>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</si>
  <si>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</si>
  <si>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</si>
  <si>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</si>
  <si>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</si>
  <si>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</si>
  <si>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</si>
  <si>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</si>
  <si>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</si>
  <si>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</si>
  <si>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</si>
  <si>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</si>
  <si>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</si>
  <si>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</si>
  <si>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</si>
  <si>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</si>
  <si>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</si>
  <si>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</si>
  <si>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</si>
  <si>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</si>
  <si>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</si>
  <si>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</si>
  <si>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</si>
  <si>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</si>
  <si>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</si>
  <si>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</si>
  <si>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</si>
  <si>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</si>
  <si>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</si>
  <si>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</si>
  <si>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</si>
  <si>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</si>
  <si>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</si>
  <si>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</si>
  <si>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</si>
  <si>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</si>
  <si>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</si>
  <si>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</si>
  <si>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</si>
  <si>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</si>
  <si>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</si>
  <si>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</si>
  <si>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</si>
  <si>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</si>
  <si>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</si>
  <si>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</si>
  <si>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</si>
  <si>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</si>
  <si>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</si>
  <si>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</si>
  <si>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</si>
  <si>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</si>
  <si>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</si>
  <si>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</si>
  <si>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</si>
  <si>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</si>
  <si>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</si>
  <si>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</si>
  <si>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</si>
  <si>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</si>
  <si>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</si>
  <si>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</si>
  <si>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</si>
  <si>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</si>
  <si>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</si>
  <si>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</si>
  <si>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</si>
  <si>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</si>
  <si>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</si>
  <si>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</si>
  <si>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</si>
  <si>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</si>
  <si>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</si>
  <si>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</si>
  <si>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</si>
  <si>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</si>
  <si>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</si>
  <si>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</si>
  <si>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</si>
  <si>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</si>
  <si>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</si>
  <si>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</si>
  <si>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</si>
  <si>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</si>
  <si>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</si>
  <si>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</si>
  <si>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</si>
  <si>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</si>
  <si>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</si>
  <si>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</si>
  <si>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</si>
  <si>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</si>
  <si>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</si>
  <si>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</si>
  <si>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</si>
  <si>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</si>
  <si>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</si>
  <si>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</si>
  <si>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</si>
  <si>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</si>
  <si>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</si>
  <si>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</si>
  <si>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</si>
  <si>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</si>
  <si>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</si>
  <si>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</si>
  <si>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</si>
  <si>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</si>
  <si>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</si>
  <si>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</si>
  <si>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</si>
  <si>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</si>
  <si>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</si>
  <si>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</si>
  <si>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</si>
  <si>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</si>
  <si>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</si>
  <si>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</si>
  <si>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</si>
  <si>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</si>
  <si>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</si>
  <si>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</si>
  <si>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</si>
  <si>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</si>
  <si>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</si>
  <si>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</si>
  <si>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</si>
  <si>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</si>
  <si>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</si>
  <si>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</si>
  <si>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</si>
  <si>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</si>
  <si>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</si>
  <si>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</si>
  <si>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</si>
  <si>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</si>
  <si>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</si>
  <si>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</si>
  <si>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</si>
  <si>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</si>
  <si>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</si>
  <si>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</si>
  <si>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</si>
  <si>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</si>
  <si>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</si>
  <si>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</si>
  <si>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</si>
  <si>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</si>
  <si>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</si>
  <si>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</si>
  <si>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</si>
  <si>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</si>
  <si>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</si>
  <si>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</si>
  <si>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</si>
  <si>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</si>
  <si>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</si>
  <si>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</si>
  <si>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</si>
  <si>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</si>
  <si>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</si>
  <si>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</si>
  <si>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</si>
  <si>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</si>
  <si>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</si>
  <si>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</si>
  <si>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</si>
  <si>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</si>
  <si>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</si>
  <si>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</si>
  <si>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</si>
  <si>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</si>
  <si>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</si>
  <si>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</si>
  <si>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</si>
  <si>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</si>
  <si>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</si>
  <si>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</si>
  <si>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</si>
  <si>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</si>
  <si>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</si>
  <si>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</si>
  <si>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</si>
  <si>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</si>
  <si>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</si>
  <si>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</si>
  <si>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</si>
  <si>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</si>
  <si>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</si>
  <si>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</si>
  <si>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</si>
  <si>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</si>
  <si>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</si>
  <si>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</si>
  <si>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</si>
  <si>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</si>
  <si>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</si>
  <si>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</si>
  <si>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</si>
  <si>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</si>
  <si>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</si>
  <si>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</si>
  <si>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</si>
  <si>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</si>
  <si>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</si>
  <si>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</si>
  <si>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</si>
  <si>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</si>
  <si>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</si>
  <si>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</si>
  <si>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</si>
  <si>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</si>
  <si>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</si>
  <si>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</si>
  <si>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</si>
  <si>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</si>
  <si>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</si>
  <si>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</si>
  <si>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</si>
  <si>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</si>
  <si>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</si>
  <si>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</si>
  <si>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</si>
  <si>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</si>
  <si>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</si>
  <si>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</si>
  <si>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</si>
  <si>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</si>
  <si>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</si>
  <si>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</si>
  <si>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</si>
  <si>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</si>
  <si>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</si>
  <si>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</si>
  <si>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</si>
  <si>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</si>
  <si>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</si>
  <si>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</si>
  <si>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</si>
  <si>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</si>
  <si>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</si>
  <si>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</si>
  <si>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</si>
  <si>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</si>
  <si>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</si>
  <si>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</si>
  <si>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</si>
  <si>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</si>
  <si>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</si>
  <si>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</si>
  <si>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</si>
  <si>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</si>
  <si>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</si>
  <si>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</si>
  <si>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</si>
  <si>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</si>
  <si>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</si>
  <si>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</si>
  <si>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</si>
  <si>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</si>
  <si>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</si>
  <si>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</si>
  <si>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</si>
  <si>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</si>
  <si>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</si>
  <si>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</si>
  <si>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</si>
  <si>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</si>
  <si>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</si>
  <si>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</si>
  <si>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</si>
  <si>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</si>
  <si>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</si>
  <si>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</si>
  <si>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</si>
  <si>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</si>
  <si>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</si>
  <si>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</si>
  <si>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</si>
  <si>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</si>
  <si>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</si>
  <si>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</si>
  <si>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</si>
  <si>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</si>
  <si>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</si>
  <si>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</si>
  <si>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</si>
  <si>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</si>
  <si>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</si>
  <si>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</si>
  <si>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</si>
  <si>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</si>
  <si>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</si>
  <si>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</si>
  <si>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</si>
  <si>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</si>
  <si>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</si>
  <si>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</si>
  <si>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</si>
  <si>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</si>
  <si>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</si>
  <si>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</si>
  <si>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</si>
  <si>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</si>
  <si>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</si>
  <si>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</si>
  <si>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</si>
  <si>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</si>
  <si>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</si>
  <si>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</si>
  <si>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</si>
  <si>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</si>
  <si>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</si>
  <si>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</si>
  <si>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</si>
  <si>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</si>
  <si>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</si>
  <si>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</si>
  <si>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</si>
  <si>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</si>
  <si>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</si>
  <si>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</si>
  <si>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</si>
  <si>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</si>
  <si>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</si>
  <si>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</si>
  <si>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</si>
  <si>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</si>
  <si>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</si>
  <si>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</si>
  <si>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</si>
  <si>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</si>
  <si>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</si>
  <si>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</si>
  <si>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</si>
  <si>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</si>
  <si>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</si>
  <si>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</si>
  <si>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</si>
  <si>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</si>
  <si>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</si>
  <si>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</si>
  <si>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</si>
  <si>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</si>
  <si>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</si>
  <si>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</si>
  <si>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</si>
  <si>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</si>
  <si>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</si>
  <si>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</si>
  <si>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</si>
  <si>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</si>
  <si>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</si>
  <si>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</si>
  <si>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</si>
  <si>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</si>
  <si>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</si>
  <si>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</si>
  <si>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</si>
  <si>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</si>
  <si>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</si>
  <si>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</si>
  <si>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</si>
  <si>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</si>
  <si>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</si>
  <si>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</si>
  <si>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</si>
  <si>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</si>
  <si>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</si>
  <si>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</si>
  <si>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</si>
  <si>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</si>
  <si>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</si>
  <si>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</si>
  <si>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</si>
  <si>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</si>
  <si>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</si>
  <si>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</si>
  <si>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</si>
  <si>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</si>
  <si>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</si>
  <si>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</si>
  <si>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</si>
  <si>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</si>
  <si>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</si>
  <si>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</si>
  <si>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</si>
  <si>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</si>
  <si>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</si>
  <si>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</si>
  <si>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</si>
  <si>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</si>
  <si>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</si>
  <si>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</si>
  <si>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</si>
  <si>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</si>
  <si>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</si>
  <si>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</si>
  <si>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</si>
  <si>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</si>
  <si>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</si>
  <si>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</si>
  <si>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</si>
  <si>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</si>
  <si>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</si>
  <si>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</si>
  <si>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</si>
  <si>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</si>
  <si>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</si>
  <si>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</si>
  <si>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</si>
  <si>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</si>
  <si>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</si>
  <si>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</si>
  <si>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</si>
  <si>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</si>
  <si>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</si>
  <si>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</si>
  <si>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</si>
  <si>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</si>
  <si>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</si>
  <si>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</si>
  <si>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</si>
  <si>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</si>
  <si>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</si>
  <si>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</si>
  <si>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</si>
  <si>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</si>
  <si>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</si>
  <si>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</si>
  <si>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</si>
  <si>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</si>
  <si>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</si>
  <si>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</si>
  <si>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</si>
  <si>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</si>
  <si>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</si>
  <si>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</si>
  <si>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</si>
  <si>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</si>
  <si>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</si>
  <si>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</si>
  <si>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</si>
  <si>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</si>
  <si>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</si>
  <si>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</si>
  <si>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</si>
  <si>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</si>
  <si>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</si>
  <si>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</si>
  <si>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</si>
  <si>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</si>
  <si>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</si>
  <si>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</si>
  <si>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</si>
  <si>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</si>
  <si>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</si>
  <si>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</si>
  <si>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</si>
  <si>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</si>
  <si>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</si>
  <si>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</si>
  <si>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</si>
  <si>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</si>
  <si>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</si>
  <si>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</si>
  <si>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</si>
  <si>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</si>
  <si>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</si>
  <si>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</si>
  <si>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</si>
  <si>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</si>
  <si>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</si>
  <si>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</si>
  <si>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</si>
  <si>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</si>
  <si>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</si>
  <si>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</si>
  <si>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</si>
  <si>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</si>
  <si>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</si>
  <si>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</si>
  <si>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</si>
  <si>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</si>
  <si>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</si>
  <si>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</si>
  <si>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</si>
  <si>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</si>
  <si>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</si>
  <si>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</si>
  <si>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</si>
  <si>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</si>
  <si>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</si>
  <si>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</si>
  <si>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</si>
  <si>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</si>
  <si>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</si>
  <si>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</si>
  <si>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</si>
  <si>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</si>
  <si>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</si>
  <si>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</si>
  <si>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</si>
  <si>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</si>
  <si>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</si>
  <si>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</si>
  <si>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</si>
  <si>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</si>
  <si>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</si>
  <si>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</si>
  <si>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</si>
  <si>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</si>
  <si>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</si>
  <si>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</si>
  <si>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</si>
  <si>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</si>
  <si>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</si>
  <si>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</si>
  <si>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</si>
  <si>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</si>
  <si>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</si>
  <si>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</si>
  <si>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</si>
  <si>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</si>
  <si>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</si>
  <si>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</si>
  <si>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</si>
  <si>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</si>
  <si>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</si>
  <si>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</si>
  <si>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</si>
  <si>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</si>
  <si>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</si>
  <si>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</si>
  <si>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</si>
  <si>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</si>
  <si>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</si>
  <si>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</si>
  <si>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</si>
  <si>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</si>
  <si>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</si>
  <si>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</si>
  <si>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</si>
  <si>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</si>
  <si>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</si>
  <si>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</si>
  <si>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</si>
  <si>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</si>
  <si>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</si>
  <si>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</si>
  <si>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</si>
  <si>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</si>
  <si>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</si>
  <si>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</si>
  <si>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</si>
  <si>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</si>
  <si>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</si>
  <si>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</si>
  <si>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</si>
  <si>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</si>
  <si>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</si>
  <si>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</si>
  <si>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</si>
  <si>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</si>
  <si>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</si>
  <si>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</si>
  <si>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</si>
  <si>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</si>
  <si>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</si>
  <si>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</si>
  <si>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</si>
  <si>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</si>
  <si>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</si>
  <si>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</si>
  <si>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</si>
  <si>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</si>
  <si>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</si>
  <si>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</si>
  <si>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</si>
  <si>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</si>
  <si>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</si>
  <si>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</si>
  <si>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</si>
  <si>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</si>
  <si>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</si>
  <si>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</si>
  <si>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</si>
  <si>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</si>
  <si>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</si>
  <si>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</si>
  <si>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</si>
  <si>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</si>
  <si>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</si>
  <si>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</si>
  <si>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</si>
  <si>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</si>
  <si>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</si>
  <si>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</si>
  <si>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</si>
  <si>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</si>
  <si>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</si>
  <si>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</si>
  <si>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</si>
  <si>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</si>
  <si>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</si>
  <si>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</si>
  <si>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</si>
  <si>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</si>
  <si>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</si>
  <si>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</si>
  <si>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</si>
  <si>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</si>
  <si>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</si>
  <si>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</si>
  <si>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</si>
  <si>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</si>
  <si>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</si>
  <si>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</si>
  <si>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</si>
  <si>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</si>
  <si>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</si>
  <si>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</si>
  <si>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</si>
  <si>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</si>
  <si>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</si>
  <si>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</si>
  <si>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</si>
  <si>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</si>
  <si>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</si>
  <si>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</si>
  <si>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</si>
  <si>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</si>
  <si>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</si>
  <si>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</si>
  <si>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</si>
  <si>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</si>
  <si>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</si>
  <si>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</si>
  <si>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</si>
  <si>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</si>
  <si>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</si>
  <si>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</si>
  <si>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</si>
  <si>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</si>
  <si>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</si>
  <si>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</si>
  <si>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</si>
  <si>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</si>
  <si>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</si>
  <si>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</si>
  <si>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</si>
  <si>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</si>
  <si>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</si>
  <si>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</si>
  <si>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</si>
  <si>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</si>
  <si>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</si>
  <si>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</si>
  <si>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</si>
  <si>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</si>
  <si>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</si>
  <si>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</si>
  <si>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</si>
  <si>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</si>
  <si>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</si>
  <si>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</si>
  <si>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</si>
  <si>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</si>
  <si>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</si>
  <si>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</si>
  <si>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</si>
  <si>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</si>
  <si>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</si>
  <si>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</si>
  <si>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</si>
  <si>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</si>
  <si>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</si>
  <si>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</si>
  <si>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</si>
  <si>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</si>
  <si>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</si>
  <si>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</si>
  <si>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</si>
  <si>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</si>
  <si>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</si>
  <si>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</si>
  <si>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</si>
  <si>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</si>
  <si>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</si>
  <si>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</si>
  <si>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</si>
  <si>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</si>
  <si>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</si>
  <si>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</si>
  <si>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</si>
  <si>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</si>
  <si>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</si>
  <si>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</si>
  <si>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</si>
  <si>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</si>
  <si>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</si>
  <si>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</si>
  <si>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</si>
  <si>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</si>
  <si>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</si>
  <si>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</si>
  <si>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</si>
  <si>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</si>
  <si>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</si>
  <si>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</si>
  <si>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</si>
  <si>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</si>
  <si>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</si>
  <si>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</si>
  <si>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</si>
  <si>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</si>
  <si>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</si>
  <si>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</si>
  <si>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</si>
  <si>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</si>
  <si>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</si>
  <si>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</si>
  <si>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</si>
  <si>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</si>
  <si>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</si>
  <si>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</si>
  <si>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</si>
  <si>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</si>
  <si>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</si>
  <si>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</si>
  <si>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</si>
  <si>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</si>
  <si>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</si>
  <si>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</si>
  <si>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</si>
  <si>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</si>
  <si>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</si>
  <si>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</si>
  <si>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</si>
  <si>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</si>
  <si>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</si>
  <si>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</si>
  <si>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</si>
  <si>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</si>
  <si>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</si>
  <si>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</si>
  <si>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</si>
  <si>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</si>
  <si>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</si>
  <si>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</si>
  <si>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</si>
  <si>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</si>
  <si>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</si>
  <si>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</si>
  <si>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</si>
  <si>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</si>
  <si>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</si>
  <si>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</si>
  <si>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</si>
  <si>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</si>
  <si>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</si>
  <si>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</si>
  <si>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</si>
  <si>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</si>
  <si>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</si>
  <si>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</si>
  <si>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</si>
  <si>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</si>
  <si>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</si>
  <si>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</si>
  <si>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</si>
  <si>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</si>
  <si>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</si>
  <si>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</si>
  <si>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</si>
  <si>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</si>
  <si>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</si>
  <si>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</si>
  <si>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</si>
  <si>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</si>
  <si>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</si>
  <si>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</si>
  <si>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</si>
  <si>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</si>
  <si>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</si>
  <si>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</si>
  <si>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</si>
  <si>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</si>
  <si>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</si>
  <si>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</si>
  <si>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</si>
  <si>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</si>
  <si>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</si>
  <si>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</si>
  <si>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</si>
  <si>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</si>
  <si>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</si>
  <si>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</si>
  <si>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</si>
  <si>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</si>
  <si>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</si>
  <si>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</si>
  <si>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</si>
  <si>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</si>
  <si>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</si>
  <si>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</si>
  <si>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</si>
  <si>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</si>
  <si>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</si>
  <si>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</si>
  <si>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</si>
  <si>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</si>
  <si>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</si>
  <si>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</si>
  <si>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</si>
  <si>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</si>
  <si>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</si>
  <si>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</si>
  <si>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</si>
  <si>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</si>
  <si>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</si>
  <si>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</si>
  <si>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</si>
  <si>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</si>
  <si>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</si>
  <si>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</si>
  <si>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</si>
  <si>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</si>
  <si>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</si>
  <si>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</si>
  <si>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</si>
  <si>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</si>
  <si>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</si>
  <si>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</si>
  <si>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</si>
  <si>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</si>
  <si>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</si>
  <si>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</si>
  <si>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</si>
  <si>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</si>
  <si>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</si>
  <si>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</si>
  <si>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</si>
  <si>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</si>
  <si>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</si>
  <si>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</si>
  <si>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</si>
  <si>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</si>
  <si>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</si>
  <si>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</si>
  <si>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</si>
  <si>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</si>
  <si>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</si>
  <si>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</si>
  <si>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</si>
  <si>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</si>
  <si>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</si>
  <si>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</si>
  <si>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</si>
  <si>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</si>
  <si>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</si>
  <si>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</si>
  <si>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</si>
  <si>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</si>
  <si>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</si>
  <si>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</si>
  <si>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</si>
  <si>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</si>
  <si>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</si>
  <si>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</si>
  <si>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</si>
  <si>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</si>
  <si>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</si>
  <si>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</si>
  <si>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</si>
  <si>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</si>
  <si>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</si>
  <si>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</si>
  <si>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</si>
  <si>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</si>
  <si>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</si>
  <si>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</si>
  <si>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</si>
  <si>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</si>
  <si>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</si>
  <si>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</si>
  <si>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</si>
  <si>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</si>
  <si>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</si>
  <si>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</si>
  <si>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</si>
  <si>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</si>
  <si>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</si>
  <si>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</si>
  <si>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</si>
  <si>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</si>
  <si>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</si>
  <si>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</si>
  <si>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</si>
  <si>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</si>
  <si>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</si>
  <si>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</si>
  <si>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</si>
  <si>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</si>
  <si>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</si>
  <si>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</si>
  <si>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</si>
  <si>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</si>
  <si>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</si>
  <si>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</si>
  <si>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</si>
  <si>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</si>
  <si>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</si>
  <si>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</si>
  <si>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</si>
  <si>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</si>
  <si>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</si>
  <si>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</si>
  <si>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</si>
  <si>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</si>
  <si>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</si>
  <si>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</si>
  <si>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</si>
  <si>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</si>
  <si>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</si>
  <si>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</si>
  <si>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</si>
  <si>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</si>
  <si>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</si>
  <si>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</si>
  <si>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</si>
  <si>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</si>
  <si>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</si>
  <si>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</si>
  <si>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</si>
  <si>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</si>
  <si>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</si>
  <si>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</si>
  <si>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</si>
  <si>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</si>
  <si>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</si>
  <si>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</si>
  <si>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</si>
  <si>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</si>
  <si>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</si>
  <si>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</si>
  <si>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</si>
  <si>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</si>
  <si>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</si>
  <si>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</si>
  <si>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</si>
  <si>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</si>
  <si>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</si>
  <si>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</si>
  <si>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</si>
  <si>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</si>
  <si>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</si>
  <si>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</si>
  <si>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</si>
  <si>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</si>
  <si>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</si>
  <si>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</si>
  <si>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</si>
  <si>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</si>
  <si>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</si>
  <si>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</si>
  <si>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</si>
  <si>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</si>
  <si>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</si>
  <si>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</si>
  <si>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</si>
  <si>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</si>
  <si>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</si>
  <si>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</si>
  <si>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</si>
  <si>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</si>
  <si>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</si>
  <si>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</si>
  <si>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</si>
  <si>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</si>
  <si>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</si>
  <si>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</si>
  <si>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</si>
  <si>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</si>
  <si>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</si>
  <si>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</si>
  <si>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</si>
  <si>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</si>
  <si>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</si>
  <si>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</si>
  <si>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</si>
  <si>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</si>
  <si>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</si>
  <si>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</si>
  <si>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</si>
  <si>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</si>
  <si>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</si>
  <si>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</si>
  <si>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</si>
  <si>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</si>
  <si>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</si>
  <si>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</si>
  <si>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</si>
  <si>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</si>
  <si>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</si>
  <si>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</si>
  <si>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</si>
  <si>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</si>
  <si>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</si>
  <si>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</si>
  <si>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</si>
  <si>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</si>
  <si>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</si>
  <si>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</si>
  <si>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</si>
  <si>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</si>
  <si>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</si>
  <si>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</si>
  <si>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</si>
  <si>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</si>
  <si>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</si>
  <si>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</si>
  <si>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</si>
  <si>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</si>
  <si>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</si>
  <si>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</si>
  <si>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</si>
  <si>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</si>
  <si>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</si>
  <si>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</si>
  <si>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</si>
  <si>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</si>
  <si>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</si>
  <si>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</si>
  <si>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</si>
  <si>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</si>
  <si>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</si>
  <si>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</si>
  <si>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</si>
  <si>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</si>
  <si>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</si>
  <si>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</si>
  <si>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</si>
  <si>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</si>
  <si>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</si>
  <si>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</si>
  <si>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</si>
  <si>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</si>
  <si>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</si>
  <si>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</si>
  <si>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</si>
  <si>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</si>
  <si>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</si>
  <si>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</si>
  <si>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</si>
  <si>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</si>
  <si>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</si>
  <si>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</si>
  <si>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</si>
  <si>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</si>
  <si>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</si>
  <si>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</si>
  <si>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</si>
  <si>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</si>
  <si>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</si>
  <si>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</si>
  <si>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</si>
  <si>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</si>
  <si>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</si>
  <si>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</si>
  <si>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</si>
  <si>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</si>
  <si>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</si>
  <si>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</si>
  <si>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</si>
  <si>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</si>
  <si>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</si>
  <si>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</si>
  <si>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</si>
  <si>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</si>
  <si>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</si>
  <si>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</si>
  <si>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</si>
  <si>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</si>
  <si>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</si>
  <si>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</si>
  <si>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</si>
  <si>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</si>
  <si>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</si>
  <si>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</si>
  <si>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</si>
  <si>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</si>
  <si>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</si>
  <si>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</si>
  <si>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</si>
  <si>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</si>
  <si>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</si>
  <si>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</si>
  <si>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</si>
  <si>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</si>
  <si>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</si>
  <si>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</si>
  <si>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</si>
  <si>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</si>
  <si>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</si>
  <si>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</si>
  <si>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</si>
  <si>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</si>
  <si>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</si>
  <si>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</si>
  <si>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</si>
  <si>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</si>
  <si>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</si>
  <si>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</si>
  <si>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</si>
  <si>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</si>
  <si>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</si>
  <si>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</si>
  <si>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</si>
  <si>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</si>
  <si>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</si>
  <si>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</si>
  <si>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</si>
  <si>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</si>
  <si>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</si>
  <si>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</si>
  <si>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</si>
  <si>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</si>
  <si>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</si>
  <si>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</si>
  <si>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</si>
  <si>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</si>
  <si>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</si>
  <si>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</si>
  <si>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</si>
  <si>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</si>
  <si>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</si>
  <si>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</si>
  <si>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</si>
  <si>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</si>
  <si>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</si>
  <si>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</si>
  <si>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</si>
  <si>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</si>
  <si>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</si>
  <si>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</si>
  <si>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</si>
  <si>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</si>
  <si>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</si>
  <si>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</si>
  <si>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</si>
  <si>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</si>
  <si>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</si>
  <si>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</si>
  <si>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</si>
  <si>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</si>
  <si>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</si>
  <si>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</si>
  <si>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</si>
  <si>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</si>
  <si>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</si>
  <si>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</si>
  <si>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</si>
  <si>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</si>
  <si>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</si>
  <si>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</si>
  <si>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</si>
  <si>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</si>
  <si>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</si>
  <si>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</si>
  <si>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</si>
  <si>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</si>
  <si>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</si>
  <si>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</si>
  <si>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</si>
  <si>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</si>
  <si>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</si>
  <si>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</si>
  <si>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</si>
  <si>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</si>
  <si>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</si>
  <si>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</si>
  <si>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</si>
  <si>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</si>
  <si>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</si>
  <si>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</si>
  <si>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</si>
  <si>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</si>
  <si>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</si>
  <si>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</si>
  <si>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</si>
  <si>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</si>
  <si>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</si>
  <si>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</si>
  <si>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</si>
  <si>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</si>
  <si>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</si>
  <si>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</si>
  <si>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</si>
  <si>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</si>
  <si>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</si>
  <si>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</si>
  <si>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</si>
  <si>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</si>
  <si>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</si>
  <si>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</si>
  <si>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</si>
  <si>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</si>
  <si>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</si>
  <si>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</si>
  <si>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</si>
  <si>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</si>
  <si>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</si>
  <si>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</si>
  <si>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</si>
  <si>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</si>
  <si>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</si>
  <si>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</si>
  <si>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</si>
  <si>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</si>
  <si>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</si>
  <si>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</si>
  <si>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</si>
  <si>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</si>
  <si>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</si>
  <si>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</si>
  <si>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</si>
  <si>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</si>
  <si>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</si>
  <si>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</si>
  <si>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</si>
  <si>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</si>
  <si>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</si>
  <si>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</si>
  <si>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</si>
  <si>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</si>
  <si>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</si>
  <si>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</si>
  <si>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</si>
  <si>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</si>
  <si>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</si>
  <si>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</si>
  <si>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</si>
  <si>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</si>
  <si>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</si>
  <si>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</si>
  <si>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</si>
  <si>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</si>
  <si>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</si>
  <si>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</si>
  <si>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</si>
  <si>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</si>
  <si>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</si>
  <si>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</si>
  <si>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</si>
  <si>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</si>
  <si>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</si>
  <si>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</si>
  <si>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</si>
  <si>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</si>
  <si>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</si>
  <si>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</si>
  <si>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</si>
  <si>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</si>
  <si>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</si>
  <si>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</si>
  <si>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</si>
  <si>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</si>
  <si>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</si>
  <si>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</si>
  <si>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</si>
  <si>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</si>
  <si>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</si>
  <si>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</si>
  <si>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</si>
  <si>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</si>
  <si>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</si>
  <si>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</si>
  <si>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</si>
  <si>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</si>
  <si>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</si>
  <si>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</si>
  <si>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</si>
  <si>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</si>
  <si>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</si>
  <si>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</si>
  <si>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</si>
  <si>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</si>
  <si>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</si>
  <si>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</si>
  <si>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</si>
  <si>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</si>
  <si>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</si>
  <si>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</si>
  <si>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</si>
  <si>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</si>
  <si>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</si>
  <si>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</si>
  <si>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</si>
  <si>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</si>
  <si>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</si>
  <si>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</si>
  <si>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</si>
  <si>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</si>
  <si>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</si>
  <si>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</si>
  <si>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</si>
  <si>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</si>
  <si>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</si>
  <si>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</si>
  <si>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</si>
  <si>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</si>
  <si>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</si>
  <si>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</si>
  <si>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</si>
  <si>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</si>
  <si>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</si>
  <si>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</si>
  <si>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</si>
  <si>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</si>
  <si>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</si>
  <si>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</si>
  <si>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</si>
  <si>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</si>
  <si>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</si>
  <si>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</si>
  <si>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</si>
  <si>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</si>
  <si>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</si>
  <si>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</si>
  <si>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</si>
  <si>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</si>
  <si>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</si>
  <si>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</si>
  <si>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</si>
  <si>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</si>
  <si>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</si>
  <si>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</si>
  <si>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</si>
  <si>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</si>
  <si>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</si>
  <si>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</si>
  <si>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</si>
  <si>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</si>
  <si>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</si>
  <si>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</si>
  <si>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</si>
  <si>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</si>
  <si>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</si>
  <si>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</si>
  <si>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</si>
  <si>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</si>
  <si>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</si>
  <si>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</si>
  <si>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</si>
  <si>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</si>
  <si>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</si>
  <si>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</si>
  <si>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</si>
  <si>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</si>
  <si>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</si>
  <si>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</si>
  <si>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</si>
  <si>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</si>
  <si>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</si>
  <si>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</si>
  <si>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</si>
  <si>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</si>
  <si>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</si>
  <si>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</si>
  <si>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</si>
  <si>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</si>
  <si>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</si>
  <si>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</si>
  <si>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</si>
  <si>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</si>
  <si>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</si>
  <si>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</si>
  <si>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</si>
  <si>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</si>
  <si>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</si>
  <si>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</si>
  <si>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</si>
  <si>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</si>
  <si>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</si>
  <si>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</si>
  <si>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</si>
  <si>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</si>
  <si>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</si>
  <si>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</si>
  <si>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</si>
  <si>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</si>
  <si>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</si>
  <si>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</si>
  <si>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</si>
  <si>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</si>
  <si>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</si>
  <si>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</si>
  <si>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</si>
  <si>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</si>
  <si>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</si>
  <si>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</si>
  <si>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</si>
  <si>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</si>
  <si>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</si>
  <si>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</si>
  <si>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</si>
  <si>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</si>
  <si>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</si>
  <si>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</si>
  <si>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</si>
  <si>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</si>
  <si>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</si>
  <si>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</si>
  <si>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</si>
  <si>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</si>
  <si>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</si>
  <si>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</si>
  <si>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</si>
  <si>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</si>
  <si>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</si>
  <si>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</si>
  <si>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</si>
  <si>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</si>
  <si>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</si>
  <si>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</si>
  <si>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</si>
  <si>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</si>
  <si>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</si>
  <si>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</si>
  <si>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</si>
  <si>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</si>
  <si>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</si>
  <si>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</si>
  <si>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</si>
  <si>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</si>
  <si>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</si>
  <si>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</si>
  <si>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</si>
  <si>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</si>
  <si>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</si>
  <si>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</si>
  <si>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</si>
  <si>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</si>
  <si>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</si>
  <si>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</si>
  <si>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</si>
  <si>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</si>
  <si>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</si>
  <si>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</si>
  <si>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</si>
  <si>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</si>
  <si>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</si>
  <si>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</si>
  <si>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</si>
  <si>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</si>
  <si>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</si>
  <si>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</si>
  <si>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</si>
  <si>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</si>
  <si>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</si>
  <si>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</si>
  <si>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</si>
  <si>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</si>
  <si>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</si>
  <si>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</si>
  <si>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</si>
  <si>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</si>
  <si>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</si>
  <si>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</si>
  <si>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</si>
  <si>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</si>
  <si>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</si>
  <si>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</si>
  <si>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</si>
  <si>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</si>
  <si>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</si>
  <si>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</si>
  <si>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</si>
  <si>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</si>
  <si>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</si>
  <si>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</si>
  <si>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</si>
  <si>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</si>
  <si>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</si>
  <si>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</si>
  <si>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</si>
  <si>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</si>
  <si>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</si>
  <si>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</si>
  <si>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</si>
  <si>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</si>
  <si>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</si>
  <si>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</si>
  <si>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</si>
  <si>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</si>
  <si>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</si>
  <si>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</si>
  <si>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</si>
  <si>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</si>
  <si>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</si>
  <si>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</si>
  <si>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</si>
  <si>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</si>
  <si>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</si>
  <si>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</si>
  <si>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</si>
  <si>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</si>
  <si>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</si>
  <si>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</si>
  <si>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</si>
  <si>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</si>
  <si>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</si>
  <si>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</si>
  <si>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</si>
  <si>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</si>
  <si>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</si>
  <si>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</si>
  <si>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</si>
  <si>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</si>
  <si>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</si>
  <si>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</si>
  <si>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</si>
  <si>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</si>
  <si>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</si>
  <si>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</si>
  <si>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</si>
  <si>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</si>
  <si>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</si>
  <si>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</si>
  <si>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</si>
  <si>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</si>
  <si>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</si>
  <si>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</si>
  <si>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</si>
  <si>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</si>
  <si>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</si>
  <si>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</si>
  <si>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</si>
  <si>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</si>
  <si>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</si>
  <si>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</si>
  <si>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</si>
  <si>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</si>
  <si>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</si>
  <si>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</si>
  <si>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</si>
  <si>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</si>
  <si>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</si>
  <si>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</si>
  <si>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</si>
  <si>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</si>
  <si>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</si>
  <si>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</si>
  <si>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</si>
  <si>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</si>
  <si>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</si>
  <si>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</si>
  <si>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</si>
  <si>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</si>
  <si>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</si>
  <si>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</si>
  <si>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</si>
  <si>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</si>
  <si>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</si>
  <si>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</si>
  <si>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</si>
  <si>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</si>
  <si>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</si>
  <si>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</si>
  <si>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</si>
  <si>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</si>
  <si>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</si>
  <si>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</si>
  <si>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</si>
  <si>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</si>
  <si>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</si>
  <si>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</si>
  <si>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</si>
  <si>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</si>
  <si>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</si>
  <si>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</si>
  <si>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</si>
  <si>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</si>
  <si>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</si>
  <si>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</si>
  <si>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</si>
  <si>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</si>
  <si>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</si>
  <si>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</si>
  <si>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</si>
  <si>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</si>
  <si>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</si>
  <si>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</si>
  <si>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</si>
  <si>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</si>
  <si>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</si>
  <si>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</si>
  <si>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</si>
  <si>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</si>
  <si>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</si>
  <si>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</si>
  <si>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</si>
  <si>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</si>
  <si>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</si>
  <si>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</si>
  <si>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</si>
  <si>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</si>
  <si>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</si>
  <si>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</si>
  <si>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</si>
  <si>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</si>
  <si>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</si>
  <si>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</si>
  <si>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</si>
  <si>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</si>
  <si>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</si>
  <si>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</si>
  <si>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</si>
  <si>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</si>
  <si>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</si>
  <si>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</si>
  <si>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</si>
  <si>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</si>
  <si>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</si>
  <si>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</si>
  <si>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</si>
  <si>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</si>
  <si>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</si>
  <si>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</si>
  <si>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</si>
  <si>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</si>
  <si>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</si>
  <si>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</si>
  <si>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</si>
  <si>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</si>
  <si>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</si>
  <si>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</si>
  <si>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</si>
  <si>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</si>
  <si>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</si>
  <si>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</si>
  <si>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</si>
  <si>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</si>
  <si>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</si>
  <si>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</si>
  <si>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</si>
  <si>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</si>
  <si>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</si>
  <si>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</si>
  <si>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</si>
  <si>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</si>
  <si>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</si>
  <si>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</si>
  <si>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</si>
  <si>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</si>
  <si>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</si>
  <si>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</si>
  <si>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</si>
  <si>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</si>
  <si>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</si>
  <si>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</si>
  <si>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</si>
  <si>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</si>
  <si>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</si>
  <si>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</si>
  <si>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</si>
  <si>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</si>
  <si>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</si>
  <si>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</si>
  <si>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</si>
  <si>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</si>
  <si>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</si>
  <si>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</si>
  <si>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</si>
  <si>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</si>
  <si>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</si>
  <si>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</si>
  <si>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</si>
  <si>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</si>
  <si>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</si>
  <si>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</si>
  <si>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</si>
  <si>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</si>
  <si>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</si>
  <si>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</si>
  <si>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</si>
  <si>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</si>
  <si>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</si>
  <si>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</si>
  <si>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</si>
  <si>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</si>
  <si>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</si>
  <si>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</si>
  <si>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</si>
  <si>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</si>
  <si>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</si>
  <si>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</si>
  <si>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</si>
  <si>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</si>
  <si>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</si>
  <si>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</si>
  <si>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</si>
  <si>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</si>
  <si>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</si>
  <si>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</si>
  <si>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</si>
  <si>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</si>
  <si>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</si>
  <si>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</si>
  <si>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</si>
  <si>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</si>
  <si>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</si>
  <si>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</si>
  <si>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</si>
  <si>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</si>
  <si>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</si>
  <si>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</si>
  <si>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</si>
  <si>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</si>
  <si>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</si>
  <si>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</si>
  <si>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</si>
  <si>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</si>
  <si>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</si>
  <si>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</si>
  <si>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</si>
  <si>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</si>
  <si>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</si>
  <si>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</si>
  <si>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</si>
  <si>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</si>
  <si>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</si>
  <si>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</si>
  <si>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</si>
  <si>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</si>
  <si>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</si>
  <si>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</si>
  <si>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</si>
  <si>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</si>
  <si>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</si>
  <si>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</si>
  <si>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</si>
  <si>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</si>
  <si>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</si>
  <si>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</si>
  <si>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</si>
  <si>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</si>
  <si>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</si>
  <si>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</si>
  <si>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</si>
  <si>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</si>
  <si>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</si>
  <si>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</si>
  <si>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</si>
  <si>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</si>
  <si>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</si>
  <si>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</si>
  <si>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</si>
  <si>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</si>
  <si>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</si>
  <si>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</si>
  <si>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</si>
  <si>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</si>
  <si>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</si>
  <si>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</si>
  <si>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</si>
  <si>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</si>
  <si>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</si>
  <si>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</si>
  <si>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</si>
  <si>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</si>
  <si>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</si>
  <si>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</si>
  <si>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</si>
  <si>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</si>
  <si>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</si>
  <si>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</si>
  <si>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</si>
  <si>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</si>
  <si>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</si>
  <si>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</si>
  <si>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</si>
  <si>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</si>
  <si>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</si>
  <si>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</si>
  <si>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</si>
  <si>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</si>
  <si>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</si>
  <si>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</si>
  <si>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</si>
  <si>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</si>
  <si>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</si>
  <si>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</si>
  <si>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</si>
  <si>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</si>
  <si>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</si>
  <si>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</si>
  <si>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</si>
  <si>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</si>
  <si>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</si>
  <si>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</si>
  <si>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</si>
  <si>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</si>
  <si>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</si>
  <si>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</si>
  <si>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</si>
  <si>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</si>
  <si>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</si>
  <si>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</si>
  <si>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</si>
  <si>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</si>
  <si>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</si>
  <si>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</si>
  <si>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</si>
  <si>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</si>
  <si>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</si>
  <si>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</si>
  <si>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</si>
  <si>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</si>
  <si>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</si>
  <si>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</si>
  <si>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</si>
  <si>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</si>
  <si>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</si>
  <si>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</si>
  <si>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</si>
  <si>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</si>
  <si>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</si>
  <si>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</si>
  <si>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</si>
  <si>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</si>
  <si>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</si>
  <si>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</si>
  <si>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</si>
  <si>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</si>
  <si>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</si>
  <si>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</si>
  <si>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</si>
  <si>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</si>
  <si>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</si>
  <si>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</si>
  <si>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</si>
  <si>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</si>
  <si>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</si>
  <si>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</si>
  <si>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</si>
  <si>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</si>
  <si>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</si>
  <si>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</si>
  <si>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</si>
  <si>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</si>
  <si>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</si>
  <si>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</si>
  <si>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</si>
  <si>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</si>
  <si>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</si>
  <si>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</si>
  <si>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</si>
  <si>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</si>
  <si>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</si>
  <si>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</si>
  <si>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</si>
  <si>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</si>
  <si>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</si>
  <si>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</si>
  <si>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</si>
  <si>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</si>
  <si>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</si>
  <si>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</si>
  <si>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</si>
  <si>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</si>
  <si>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</si>
  <si>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</si>
  <si>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</si>
  <si>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</si>
  <si>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</si>
  <si>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</si>
  <si>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</si>
  <si>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</si>
  <si>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</si>
  <si>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</si>
  <si>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</si>
  <si>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</si>
  <si>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</si>
  <si>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</si>
  <si>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</si>
  <si>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</si>
  <si>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</si>
  <si>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</si>
  <si>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</si>
  <si>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</si>
  <si>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</si>
  <si>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</si>
  <si>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</si>
  <si>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</si>
  <si>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</si>
  <si>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</si>
  <si>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</si>
  <si>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</si>
  <si>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</si>
  <si>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</si>
  <si>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</si>
  <si>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</si>
  <si>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</si>
  <si>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</si>
  <si>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</si>
  <si>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</si>
  <si>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</si>
  <si>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</si>
  <si>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</si>
  <si>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</si>
  <si>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</si>
  <si>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</si>
  <si>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</si>
  <si>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</si>
  <si>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</si>
  <si>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</si>
  <si>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</si>
  <si>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</si>
  <si>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</si>
  <si>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</si>
  <si>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</si>
  <si>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</si>
  <si>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</si>
  <si>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</si>
  <si>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</si>
  <si>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</si>
  <si>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</si>
  <si>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</si>
  <si>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</si>
  <si>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</si>
  <si>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</si>
  <si>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</si>
  <si>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</si>
  <si>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</si>
  <si>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</si>
  <si>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</si>
  <si>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</si>
  <si>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</si>
  <si>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</si>
  <si>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</si>
  <si>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</si>
  <si>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</si>
  <si>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</si>
  <si>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</si>
  <si>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</si>
  <si>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</si>
  <si>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</si>
  <si>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</si>
  <si>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</si>
  <si>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</si>
  <si>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</si>
  <si>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</si>
  <si>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</si>
  <si>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</si>
  <si>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</si>
  <si>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</si>
  <si>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</si>
  <si>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</si>
  <si>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</si>
  <si>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</si>
  <si>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</si>
  <si>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</si>
  <si>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</si>
  <si>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</si>
  <si>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</si>
  <si>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</si>
  <si>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</si>
  <si>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</si>
  <si>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</si>
  <si>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</si>
  <si>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</si>
  <si>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</si>
  <si>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</si>
  <si>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</si>
  <si>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</si>
  <si>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</si>
  <si>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</si>
  <si>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</si>
  <si>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</si>
  <si>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</si>
  <si>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</si>
  <si>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</si>
  <si>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</si>
  <si>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</si>
  <si>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</si>
  <si>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</si>
  <si>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</si>
  <si>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</si>
  <si>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</si>
  <si>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</si>
  <si>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</si>
  <si>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</si>
  <si>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</si>
  <si>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</si>
  <si>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</si>
  <si>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</si>
  <si>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</si>
  <si>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</si>
  <si>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</si>
  <si>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</si>
  <si>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</si>
  <si>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</si>
  <si>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</si>
  <si>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</si>
  <si>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</si>
  <si>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</si>
  <si>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</si>
  <si>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</si>
  <si>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</si>
  <si>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</si>
  <si>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</si>
  <si>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</si>
  <si>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</si>
  <si>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</si>
  <si>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</si>
  <si>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</si>
  <si>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</si>
  <si>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</si>
  <si>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</si>
  <si>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</si>
  <si>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</si>
  <si>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</si>
  <si>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</si>
  <si>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</si>
  <si>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</si>
  <si>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</si>
  <si>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</si>
  <si>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</si>
  <si>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</si>
  <si>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</si>
  <si>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</si>
  <si>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</si>
  <si>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</si>
  <si>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</si>
  <si>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</si>
  <si>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</si>
  <si>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</si>
  <si>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</si>
  <si>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</si>
  <si>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</si>
  <si>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</si>
  <si>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</si>
  <si>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</si>
  <si>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</si>
  <si>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</si>
  <si>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</si>
  <si>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</si>
  <si>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</si>
  <si>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</si>
  <si>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</si>
  <si>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</si>
  <si>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</si>
  <si>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</si>
  <si>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</si>
  <si>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</si>
  <si>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</si>
  <si>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</si>
  <si>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</si>
  <si>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</si>
  <si>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</si>
  <si>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</si>
  <si>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</si>
  <si>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</si>
  <si>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</si>
  <si>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</si>
  <si>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</si>
  <si>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</si>
  <si>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</si>
  <si>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</si>
  <si>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</si>
  <si>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</si>
  <si>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</si>
  <si>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</si>
  <si>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</si>
  <si>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</si>
  <si>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</si>
  <si>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</si>
  <si>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</si>
  <si>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</si>
  <si>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</si>
  <si>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</si>
  <si>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</si>
  <si>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</si>
  <si>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</si>
  <si>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</si>
  <si>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</si>
  <si>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</si>
  <si>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</si>
  <si>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</si>
  <si>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</si>
  <si>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</si>
  <si>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</si>
  <si>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</si>
  <si>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</si>
  <si>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</si>
  <si>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</si>
  <si>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</si>
  <si>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</si>
  <si>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</si>
  <si>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</si>
  <si>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</si>
  <si>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</si>
  <si>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</si>
  <si>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</si>
  <si>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</si>
  <si>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</si>
  <si>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</si>
  <si>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</si>
  <si>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</si>
  <si>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</si>
  <si>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</si>
  <si>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</si>
  <si>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</si>
  <si>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</si>
  <si>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</si>
  <si>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</si>
  <si>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</si>
  <si>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</si>
  <si>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</si>
  <si>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</si>
  <si>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</si>
  <si>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</si>
  <si>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</si>
  <si>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</si>
  <si>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</si>
  <si>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</si>
  <si>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</si>
  <si>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</si>
  <si>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</si>
  <si>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</si>
  <si>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</si>
  <si>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</si>
  <si>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</si>
  <si>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</si>
  <si>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</si>
  <si>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</si>
  <si>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</si>
  <si>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</si>
  <si>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</si>
  <si>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</si>
  <si>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</si>
  <si>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</si>
  <si>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</si>
  <si>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</si>
  <si>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</si>
  <si>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</si>
  <si>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</si>
  <si>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</si>
  <si>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</si>
  <si>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</si>
  <si>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</si>
  <si>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</si>
  <si>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</si>
  <si>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</si>
  <si>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</si>
  <si>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</si>
  <si>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</si>
  <si>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</si>
  <si>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</si>
  <si>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</si>
  <si>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</si>
  <si>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</si>
  <si>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</si>
  <si>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</si>
  <si>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</si>
  <si>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</si>
  <si>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</si>
  <si>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</si>
  <si>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</si>
  <si>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</si>
  <si>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</si>
  <si>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</si>
  <si>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</si>
  <si>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</si>
  <si>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</si>
  <si>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</si>
  <si>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</si>
  <si>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</si>
  <si>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</si>
  <si>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</si>
  <si>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</si>
  <si>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</si>
  <si>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</si>
  <si>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</si>
  <si>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</si>
  <si>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</si>
  <si>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</si>
  <si>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</si>
  <si>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</si>
  <si>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</si>
  <si>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</si>
  <si>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</si>
  <si>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</si>
  <si>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</si>
  <si>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</si>
  <si>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</si>
  <si>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</si>
  <si>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</si>
  <si>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</si>
  <si>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</si>
  <si>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</si>
  <si>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</si>
  <si>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</si>
  <si>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</si>
  <si>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</si>
  <si>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</si>
  <si>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</si>
  <si>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</si>
  <si>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</si>
  <si>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</si>
  <si>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</si>
  <si>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</si>
  <si>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</si>
  <si>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</si>
  <si>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</si>
  <si>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</si>
  <si>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</si>
  <si>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</si>
  <si>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</si>
  <si>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</si>
  <si>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</si>
  <si>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</si>
  <si>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</si>
  <si>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</si>
  <si>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</si>
  <si>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</si>
  <si>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</si>
  <si>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</si>
  <si>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</si>
  <si>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</si>
  <si>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</si>
  <si>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</si>
  <si>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</si>
  <si>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</si>
  <si>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</si>
  <si>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</si>
  <si>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</si>
  <si>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</si>
  <si>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</si>
  <si>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</si>
  <si>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</si>
  <si>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</si>
  <si>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</si>
  <si>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</si>
  <si>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</si>
  <si>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</si>
  <si>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</si>
  <si>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</si>
  <si>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</si>
  <si>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</si>
  <si>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</si>
  <si>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</si>
  <si>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</si>
  <si>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</si>
  <si>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</si>
  <si>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</si>
  <si>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</si>
  <si>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</si>
  <si>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</si>
  <si>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</si>
  <si>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</si>
  <si>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</si>
  <si>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</si>
  <si>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</si>
  <si>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</si>
  <si>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</si>
  <si>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</si>
  <si>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</si>
  <si>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</si>
  <si>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</si>
  <si>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</si>
  <si>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</si>
  <si>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</si>
  <si>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</si>
  <si>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</si>
  <si>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</si>
  <si>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</si>
  <si>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</si>
  <si>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</si>
  <si>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</si>
  <si>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</si>
  <si>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</si>
  <si>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</si>
  <si>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</si>
  <si>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</si>
  <si>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</si>
  <si>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</si>
  <si>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</si>
  <si>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</si>
  <si>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</si>
  <si>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</si>
  <si>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</si>
  <si>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</si>
  <si>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</si>
  <si>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</si>
  <si>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</si>
  <si>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</si>
  <si>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</si>
  <si>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</si>
  <si>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</si>
  <si>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</si>
  <si>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</si>
  <si>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</si>
  <si>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</si>
  <si>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</si>
  <si>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</si>
  <si>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</si>
  <si>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</si>
  <si>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</si>
  <si>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</si>
  <si>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</si>
  <si>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</si>
  <si>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</si>
  <si>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</si>
  <si>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</si>
  <si>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</si>
  <si>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</si>
  <si>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</si>
  <si>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</si>
  <si>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</si>
  <si>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</si>
  <si>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</si>
  <si>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</si>
  <si>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</si>
  <si>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</si>
  <si>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</si>
  <si>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</si>
  <si>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</si>
  <si>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</si>
  <si>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</si>
  <si>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</si>
  <si>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</si>
  <si>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</si>
  <si>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</si>
  <si>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</si>
  <si>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</si>
  <si>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</si>
  <si>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</si>
  <si>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</si>
  <si>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</si>
  <si>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</si>
  <si>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</si>
  <si>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</si>
  <si>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</si>
  <si>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</si>
  <si>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</si>
  <si>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</si>
  <si>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</si>
  <si>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</si>
  <si>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</si>
  <si>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</si>
  <si>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</si>
  <si>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</si>
  <si>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</si>
  <si>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</si>
  <si>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</si>
  <si>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</si>
  <si>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</si>
  <si>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</si>
  <si>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</si>
  <si>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</si>
  <si>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</si>
  <si>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</si>
  <si>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</si>
  <si>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</si>
  <si>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</si>
  <si>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</si>
  <si>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</si>
  <si>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</si>
  <si>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</si>
  <si>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</si>
  <si>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</si>
  <si>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</si>
  <si>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</si>
  <si>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</si>
  <si>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</si>
  <si>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</si>
  <si>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</si>
  <si>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</si>
  <si>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</si>
  <si>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</si>
  <si>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</si>
  <si>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</si>
  <si>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</si>
  <si>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</si>
  <si>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</si>
  <si>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</si>
  <si>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</si>
  <si>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</si>
  <si>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</si>
  <si>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</si>
  <si>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</si>
  <si>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</si>
  <si>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</si>
  <si>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</si>
  <si>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</si>
  <si>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</si>
  <si>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</si>
  <si>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</si>
  <si>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</si>
  <si>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</si>
  <si>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</si>
  <si>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</si>
  <si>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</si>
  <si>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</si>
  <si>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</si>
  <si>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</si>
  <si>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</si>
  <si>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</si>
  <si>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</si>
  <si>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</si>
  <si>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</si>
  <si>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</si>
  <si>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</si>
  <si>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</si>
  <si>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</si>
  <si>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</si>
  <si>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</si>
  <si>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</si>
  <si>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</si>
  <si>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</si>
  <si>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</si>
  <si>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</si>
  <si>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</si>
  <si>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</si>
  <si>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</si>
  <si>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</si>
  <si>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</si>
  <si>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</si>
  <si>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</si>
  <si>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</si>
  <si>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</si>
  <si>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</si>
  <si>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</si>
  <si>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</si>
  <si>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</si>
  <si>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</si>
  <si>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</si>
  <si>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</si>
  <si>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</si>
  <si>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</si>
  <si>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</si>
  <si>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</si>
  <si>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</si>
  <si>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</si>
  <si>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</si>
  <si>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</si>
  <si>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</si>
  <si>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</si>
  <si>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</si>
  <si>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</si>
  <si>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</si>
  <si>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</si>
  <si>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</si>
  <si>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</si>
  <si>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</si>
  <si>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</si>
  <si>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</si>
  <si>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</si>
  <si>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</si>
  <si>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</si>
  <si>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</si>
  <si>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</si>
  <si>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</si>
  <si>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</si>
  <si>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</si>
  <si>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</si>
  <si>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</si>
  <si>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</si>
  <si>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</si>
  <si>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</si>
  <si>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</si>
  <si>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</si>
  <si>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</si>
  <si>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</si>
  <si>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</si>
  <si>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</si>
  <si>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</si>
  <si>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</si>
  <si>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</si>
  <si>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</si>
  <si>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</si>
  <si>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</si>
  <si>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</si>
  <si>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</si>
  <si>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</si>
  <si>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</si>
  <si>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</si>
  <si>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</si>
  <si>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</si>
  <si>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</si>
  <si>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</si>
  <si>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</si>
  <si>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</si>
  <si>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</si>
  <si>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</si>
  <si>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</si>
  <si>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</si>
  <si>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</si>
  <si>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</si>
  <si>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</si>
  <si>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</si>
  <si>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</si>
  <si>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</si>
  <si>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</si>
  <si>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</si>
  <si>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</si>
  <si>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</si>
  <si>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</si>
  <si>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</si>
  <si>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</si>
  <si>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</si>
  <si>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</si>
  <si>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</si>
  <si>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</si>
  <si>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</si>
  <si>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</si>
  <si>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</si>
  <si>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</si>
  <si>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</si>
  <si>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</si>
  <si>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</si>
  <si>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</si>
  <si>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</si>
  <si>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</si>
  <si>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</si>
  <si>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</si>
  <si>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</si>
  <si>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</si>
  <si>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</si>
  <si>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</si>
  <si>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</si>
  <si>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</si>
  <si>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</si>
  <si>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</si>
  <si>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</si>
  <si>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</si>
  <si>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</si>
  <si>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</si>
  <si>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</si>
  <si>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</si>
  <si>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</si>
  <si>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</si>
  <si>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</si>
  <si>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</si>
  <si>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</si>
  <si>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</si>
  <si>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</si>
  <si>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</si>
  <si>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</si>
  <si>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</si>
  <si>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</si>
  <si>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</si>
  <si>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</si>
  <si>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</si>
  <si>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</si>
  <si>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</si>
  <si>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</si>
  <si>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</si>
  <si>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</si>
  <si>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</si>
  <si>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</si>
  <si>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</si>
  <si>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</si>
  <si>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</si>
  <si>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</si>
  <si>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</si>
  <si>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</si>
  <si>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</si>
  <si>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</si>
  <si>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</si>
  <si>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</si>
  <si>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</si>
  <si>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</si>
  <si>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</si>
  <si>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</si>
  <si>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</si>
  <si>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</si>
  <si>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</si>
  <si>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</si>
  <si>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</si>
  <si>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</si>
  <si>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</si>
  <si>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</si>
  <si>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</si>
  <si>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</si>
  <si>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</si>
  <si>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</si>
  <si>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</si>
  <si>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</si>
  <si>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</si>
  <si>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</si>
  <si>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</si>
  <si>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</si>
  <si>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</si>
  <si>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</si>
  <si>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</si>
  <si>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</si>
  <si>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</si>
  <si>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</si>
  <si>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</si>
  <si>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</si>
  <si>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</si>
  <si>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</si>
  <si>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</si>
  <si>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</si>
  <si>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</si>
  <si>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</si>
  <si>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</si>
  <si>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</si>
  <si>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</si>
  <si>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</si>
  <si>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</si>
  <si>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</si>
  <si>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</si>
  <si>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</si>
  <si>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</si>
  <si>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</si>
  <si>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</si>
  <si>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</si>
  <si>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</si>
  <si>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</si>
  <si>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</si>
  <si>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</si>
  <si>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</si>
  <si>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</si>
  <si>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</si>
  <si>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</si>
  <si>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</si>
  <si>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</si>
  <si>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</si>
  <si>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</si>
  <si>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</si>
  <si>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</si>
  <si>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</si>
  <si>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</si>
  <si>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</si>
  <si>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</si>
  <si>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</si>
  <si>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</si>
  <si>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</si>
  <si>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</si>
  <si>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</si>
  <si>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</si>
  <si>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</si>
  <si>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</si>
  <si>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</si>
  <si>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</si>
  <si>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</si>
  <si>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</si>
  <si>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</si>
  <si>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</si>
  <si>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</si>
  <si>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</si>
  <si>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</si>
  <si>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</si>
  <si>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</si>
  <si>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</si>
  <si>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</si>
  <si>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</si>
  <si>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</si>
  <si>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</si>
  <si>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</si>
  <si>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</si>
  <si>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</si>
  <si>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</si>
  <si>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</si>
  <si>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</si>
  <si>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</si>
  <si>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</si>
  <si>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</si>
  <si>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</si>
  <si>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</si>
  <si>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</si>
  <si>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</si>
  <si>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</si>
  <si>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</si>
  <si>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</si>
  <si>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</si>
  <si>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</si>
  <si>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</si>
  <si>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</si>
  <si>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</si>
  <si>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</si>
  <si>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</si>
  <si>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</si>
  <si>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</si>
  <si>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</si>
  <si>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</si>
  <si>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</si>
  <si>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</si>
  <si>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</si>
  <si>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</si>
  <si>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</si>
  <si>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</si>
  <si>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</si>
  <si>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</si>
  <si>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</si>
  <si>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</si>
  <si>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</si>
  <si>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</si>
  <si>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</si>
  <si>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</si>
  <si>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</si>
  <si>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</si>
  <si>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</si>
  <si>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</si>
  <si>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</si>
  <si>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</si>
  <si>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</si>
  <si>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</si>
  <si>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</si>
  <si>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</si>
  <si>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</si>
  <si>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</si>
  <si>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</si>
  <si>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</si>
  <si>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</si>
  <si>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</si>
  <si>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</si>
  <si>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</si>
  <si>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</si>
  <si>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</si>
  <si>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</si>
  <si>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</si>
  <si>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</si>
  <si>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</si>
  <si>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</si>
  <si>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</si>
  <si>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</si>
  <si>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</si>
  <si>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</si>
  <si>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</si>
  <si>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</si>
  <si>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</si>
  <si>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</si>
  <si>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</si>
  <si>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</si>
  <si>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</si>
  <si>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</si>
  <si>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</si>
  <si>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</si>
  <si>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</si>
  <si>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</si>
  <si>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</si>
  <si>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</si>
  <si>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</si>
  <si>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</si>
  <si>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</si>
  <si>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</si>
  <si>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</si>
  <si>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</si>
  <si>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</si>
  <si>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</si>
  <si>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</si>
  <si>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</si>
  <si>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</si>
  <si>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</si>
  <si>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</si>
  <si>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</si>
  <si>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</si>
  <si>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</si>
  <si>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</si>
  <si>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</si>
  <si>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</si>
  <si>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</si>
  <si>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</si>
  <si>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</si>
  <si>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</si>
  <si>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</si>
  <si>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</si>
  <si>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</si>
  <si>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</si>
  <si>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</si>
  <si>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</si>
  <si>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</si>
  <si>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</si>
  <si>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</si>
  <si>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</si>
  <si>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</si>
  <si>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</si>
  <si>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</si>
  <si>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</si>
  <si>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</si>
  <si>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</si>
  <si>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</si>
  <si>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</si>
  <si>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</si>
  <si>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</si>
  <si>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</si>
  <si>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</si>
  <si>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</si>
  <si>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</si>
  <si>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</si>
  <si>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</si>
  <si>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</si>
  <si>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</si>
  <si>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</si>
  <si>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</si>
  <si>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</si>
  <si>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</si>
  <si>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</si>
  <si>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</si>
  <si>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</si>
  <si>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</si>
  <si>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</si>
  <si>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</si>
  <si>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</si>
  <si>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</si>
  <si>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</si>
  <si>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</si>
  <si>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</si>
  <si>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</si>
  <si>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</si>
  <si>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</si>
  <si>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</si>
  <si>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</si>
  <si>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</si>
  <si>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</si>
  <si>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</si>
  <si>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</si>
  <si>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</si>
  <si>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</si>
  <si>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</si>
  <si>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</si>
  <si>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</si>
  <si>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</si>
  <si>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</si>
  <si>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</si>
  <si>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</si>
  <si>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</si>
  <si>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</si>
  <si>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</si>
  <si>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</si>
  <si>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</si>
  <si>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</si>
  <si>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</si>
  <si>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</si>
  <si>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</si>
  <si>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</si>
  <si>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</si>
  <si>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</si>
  <si>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</si>
  <si>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</si>
  <si>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</si>
  <si>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</si>
  <si>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</si>
  <si>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</si>
  <si>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</si>
  <si>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</si>
  <si>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</si>
  <si>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</si>
  <si>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</si>
  <si>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</si>
  <si>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</si>
  <si>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</si>
  <si>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</si>
  <si>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</si>
  <si>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</si>
  <si>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</si>
  <si>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</si>
  <si>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</si>
  <si>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</si>
  <si>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</si>
  <si>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</si>
  <si>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</si>
  <si>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</si>
  <si>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</si>
  <si>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</si>
  <si>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</si>
  <si>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</si>
  <si>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</si>
  <si>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</si>
  <si>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</si>
  <si>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</si>
  <si>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</si>
  <si>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</si>
  <si>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</si>
  <si>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</si>
  <si>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</si>
  <si>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</si>
  <si>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</si>
  <si>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</si>
  <si>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</si>
  <si>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</si>
  <si>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</si>
  <si>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</si>
  <si>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</si>
  <si>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</si>
  <si>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</si>
  <si>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</si>
  <si>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</si>
  <si>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</si>
  <si>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</si>
  <si>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</si>
  <si>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</si>
  <si>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</si>
  <si>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</si>
  <si>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</si>
  <si>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</si>
  <si>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</si>
  <si>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</si>
  <si>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</si>
  <si>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</si>
  <si>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</si>
  <si>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</si>
  <si>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</si>
  <si>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</si>
  <si>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</si>
  <si>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</si>
  <si>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</si>
  <si>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</si>
  <si>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</si>
  <si>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</si>
  <si>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</si>
  <si>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</si>
  <si>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</si>
  <si>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</si>
  <si>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</si>
  <si>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</si>
  <si>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</si>
  <si>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</si>
  <si>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</si>
  <si>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</si>
  <si>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</si>
  <si>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</si>
  <si>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</si>
  <si>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</si>
  <si>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</si>
  <si>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</si>
  <si>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</si>
  <si>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</si>
  <si>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</si>
  <si>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</si>
  <si>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</si>
  <si>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抵押</t>
  </si>
  <si>
    <t>房地产抵押价值</t>
  </si>
  <si>
    <t>北京市</t>
  </si>
  <si>
    <t>企业</t>
  </si>
  <si>
    <t>与房产证证载一致</t>
  </si>
  <si>
    <t>不动产权证书</t>
  </si>
  <si>
    <t>是</t>
  </si>
  <si>
    <t>否</t>
  </si>
  <si>
    <t>《不动产权证书》</t>
  </si>
  <si>
    <t>复印件</t>
  </si>
  <si>
    <t>元</t>
  </si>
  <si>
    <t>楼面单价</t>
  </si>
  <si>
    <t>办公</t>
  </si>
  <si>
    <t>无租约</t>
  </si>
  <si>
    <t>利息：取LPR加浮动点数</t>
  </si>
  <si>
    <t>高区</t>
    <phoneticPr fontId="26" type="noConversion"/>
  </si>
  <si>
    <t>中区</t>
  </si>
  <si>
    <t>中区</t>
    <phoneticPr fontId="26" type="noConversion"/>
  </si>
  <si>
    <t>低区</t>
    <phoneticPr fontId="26" type="noConversion"/>
  </si>
  <si>
    <t>钢混</t>
  </si>
  <si>
    <t>钢混</t>
    <phoneticPr fontId="26" type="noConversion"/>
  </si>
  <si>
    <t>精装修</t>
  </si>
  <si>
    <t>精装修</t>
    <phoneticPr fontId="26" type="noConversion"/>
  </si>
  <si>
    <t>简装</t>
    <phoneticPr fontId="26" type="noConversion"/>
  </si>
  <si>
    <t>毛坯</t>
    <phoneticPr fontId="26" type="noConversion"/>
  </si>
  <si>
    <t>甲</t>
  </si>
  <si>
    <t>甲</t>
    <phoneticPr fontId="26" type="noConversion"/>
  </si>
  <si>
    <t>乙</t>
    <phoneticPr fontId="26" type="noConversion"/>
  </si>
  <si>
    <t>丙</t>
    <phoneticPr fontId="26" type="noConversion"/>
  </si>
  <si>
    <t>专业</t>
  </si>
  <si>
    <t>专业</t>
    <phoneticPr fontId="26" type="noConversion"/>
  </si>
  <si>
    <t>社区</t>
    <phoneticPr fontId="26" type="noConversion"/>
  </si>
  <si>
    <t>七通</t>
  </si>
  <si>
    <t>六通</t>
  </si>
  <si>
    <t>五通</t>
  </si>
  <si>
    <t>四通</t>
  </si>
  <si>
    <t>三通</t>
  </si>
  <si>
    <t>办公</t>
    <phoneticPr fontId="26" type="noConversion"/>
  </si>
  <si>
    <t>40-50（含）</t>
  </si>
  <si>
    <t>高速路</t>
    <phoneticPr fontId="26" type="noConversion"/>
  </si>
  <si>
    <t>快速路</t>
    <phoneticPr fontId="26" type="noConversion"/>
  </si>
  <si>
    <t>主干道</t>
    <phoneticPr fontId="26" type="noConversion"/>
  </si>
  <si>
    <t>次干道</t>
    <phoneticPr fontId="26" type="noConversion"/>
  </si>
  <si>
    <t>支路</t>
    <phoneticPr fontId="26" type="noConversion"/>
  </si>
  <si>
    <t>比较法-办公</t>
  </si>
  <si>
    <t>收益法</t>
  </si>
  <si>
    <t>非生产用房</t>
  </si>
  <si>
    <t>收益还原</t>
  </si>
  <si>
    <t>远洋新天地</t>
    <phoneticPr fontId="4" type="noConversion"/>
  </si>
  <si>
    <t>远洋新天地</t>
    <phoneticPr fontId="4" type="noConversion"/>
  </si>
  <si>
    <t>远洋新天地</t>
    <phoneticPr fontId="26" type="noConversion"/>
  </si>
  <si>
    <t>主干道</t>
  </si>
  <si>
    <t>复式</t>
  </si>
  <si>
    <t>复式</t>
    <phoneticPr fontId="26" type="noConversion"/>
  </si>
  <si>
    <t>平层</t>
    <phoneticPr fontId="26" type="noConversion"/>
  </si>
  <si>
    <t>华润悦景湾</t>
    <phoneticPr fontId="4" type="noConversion"/>
  </si>
  <si>
    <t>简装</t>
  </si>
  <si>
    <t>电话询价</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</si>
</sst>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40">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0" fontId="135"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99" fillId="6" borderId="6" xfId="0" applyFont="1" applyFill="1" applyBorder="1" applyAlignment="1" applyProtection="1">
      <alignment horizontal="left" vertical="center"/>
      <protection locked="0"/>
    </xf>
    <xf numFmtId="181" fontId="99" fillId="6" borderId="6" xfId="0" applyNumberFormat="1" applyFont="1" applyFill="1" applyBorder="1" applyAlignment="1" applyProtection="1">
      <alignment horizontal="left" vertical="center"/>
      <protection locked="0"/>
    </xf>
    <xf numFmtId="10" fontId="99" fillId="2" borderId="58" xfId="0" applyNumberFormat="1" applyFont="1" applyFill="1" applyBorder="1" applyAlignment="1" applyProtection="1">
      <alignment horizontal="left" vertical="center"/>
      <protection locked="0"/>
    </xf>
    <xf numFmtId="9" fontId="92" fillId="0" borderId="0" xfId="0" applyNumberFormat="1" applyFont="1" applyFill="1" applyAlignment="1" applyProtection="1">
      <alignment horizontal="left" vertical="center"/>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1"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6" fillId="0" borderId="3"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left" vertical="center"/>
    </xf>
    <xf numFmtId="0" fontId="108" fillId="5" borderId="18"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35</xdr:row>
      <xdr:rowOff>178778</xdr:rowOff>
    </xdr:from>
    <xdr:to>
      <xdr:col>11</xdr:col>
      <xdr:colOff>300462</xdr:colOff>
      <xdr:row>69</xdr:row>
      <xdr:rowOff>91483</xdr:rowOff>
    </xdr:to>
    <xdr:pic>
      <xdr:nvPicPr>
        <xdr:cNvPr id="3" name="图片 2"/>
        <xdr:cNvPicPr>
          <a:picLocks noChangeAspect="1"/>
        </xdr:cNvPicPr>
      </xdr:nvPicPr>
      <xdr:blipFill>
        <a:blip xmlns:r="http://schemas.openxmlformats.org/officeDocument/2006/relationships" r:embed="rId1"/>
        <a:stretch>
          <a:fillRect/>
        </a:stretch>
      </xdr:blipFill>
      <xdr:spPr>
        <a:xfrm>
          <a:off x="0" y="6538547"/>
          <a:ext cx="7006062" cy="6090767"/>
        </a:xfrm>
        <a:prstGeom prst="rect">
          <a:avLst/>
        </a:prstGeom>
      </xdr:spPr>
    </xdr:pic>
    <xdr:clientData/>
  </xdr:twoCellAnchor>
  <xdr:twoCellAnchor editAs="oneCell">
    <xdr:from>
      <xdr:col>0</xdr:col>
      <xdr:colOff>0</xdr:colOff>
      <xdr:row>0</xdr:row>
      <xdr:rowOff>0</xdr:rowOff>
    </xdr:from>
    <xdr:to>
      <xdr:col>8</xdr:col>
      <xdr:colOff>385120</xdr:colOff>
      <xdr:row>17</xdr:row>
      <xdr:rowOff>85725</xdr:rowOff>
    </xdr:to>
    <xdr:pic>
      <xdr:nvPicPr>
        <xdr:cNvPr id="4" name="图片 3"/>
        <xdr:cNvPicPr>
          <a:picLocks noChangeAspect="1"/>
        </xdr:cNvPicPr>
      </xdr:nvPicPr>
      <xdr:blipFill>
        <a:blip xmlns:r="http://schemas.openxmlformats.org/officeDocument/2006/relationships" r:embed="rId2"/>
        <a:stretch>
          <a:fillRect/>
        </a:stretch>
      </xdr:blipFill>
      <xdr:spPr>
        <a:xfrm>
          <a:off x="0" y="0"/>
          <a:ext cx="5871520" cy="3000375"/>
        </a:xfrm>
        <a:prstGeom prst="rect">
          <a:avLst/>
        </a:prstGeom>
      </xdr:spPr>
    </xdr:pic>
    <xdr:clientData/>
  </xdr:twoCellAnchor>
  <xdr:twoCellAnchor editAs="oneCell">
    <xdr:from>
      <xdr:col>0</xdr:col>
      <xdr:colOff>0</xdr:colOff>
      <xdr:row>18</xdr:row>
      <xdr:rowOff>24912</xdr:rowOff>
    </xdr:from>
    <xdr:to>
      <xdr:col>8</xdr:col>
      <xdr:colOff>476250</xdr:colOff>
      <xdr:row>34</xdr:row>
      <xdr:rowOff>165332</xdr:rowOff>
    </xdr:to>
    <xdr:pic>
      <xdr:nvPicPr>
        <xdr:cNvPr id="6" name="图片 5"/>
        <xdr:cNvPicPr>
          <a:picLocks noChangeAspect="1"/>
        </xdr:cNvPicPr>
      </xdr:nvPicPr>
      <xdr:blipFill>
        <a:blip xmlns:r="http://schemas.openxmlformats.org/officeDocument/2006/relationships" r:embed="rId3"/>
        <a:stretch>
          <a:fillRect/>
        </a:stretch>
      </xdr:blipFill>
      <xdr:spPr>
        <a:xfrm>
          <a:off x="0" y="3295650"/>
          <a:ext cx="5353050" cy="3047744"/>
        </a:xfrm>
        <a:prstGeom prst="rect">
          <a:avLst/>
        </a:prstGeom>
      </xdr:spPr>
    </xdr:pic>
    <xdr:clientData/>
  </xdr:twoCellAnchor>
  <xdr:twoCellAnchor editAs="oneCell">
    <xdr:from>
      <xdr:col>9</xdr:col>
      <xdr:colOff>247447</xdr:colOff>
      <xdr:row>3</xdr:row>
      <xdr:rowOff>58615</xdr:rowOff>
    </xdr:from>
    <xdr:to>
      <xdr:col>16</xdr:col>
      <xdr:colOff>630748</xdr:colOff>
      <xdr:row>17</xdr:row>
      <xdr:rowOff>158451</xdr:rowOff>
    </xdr:to>
    <xdr:pic>
      <xdr:nvPicPr>
        <xdr:cNvPr id="2" name="图片 1"/>
        <xdr:cNvPicPr>
          <a:picLocks noChangeAspect="1"/>
        </xdr:cNvPicPr>
      </xdr:nvPicPr>
      <xdr:blipFill>
        <a:blip xmlns:r="http://schemas.openxmlformats.org/officeDocument/2006/relationships" r:embed="rId4"/>
        <a:stretch>
          <a:fillRect/>
        </a:stretch>
      </xdr:blipFill>
      <xdr:spPr>
        <a:xfrm>
          <a:off x="6446024" y="564173"/>
          <a:ext cx="5204416" cy="24591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5" customWidth="1"/>
    <col min="2" max="2" width="94.875" style="1131" customWidth="1"/>
    <col min="3" max="16384" width="9" style="1141"/>
  </cols>
  <sheetData>
    <row r="1" spans="1:2" s="1136" customFormat="1" ht="16.5" thickBot="1">
      <c r="A1" s="1134" t="s">
        <v>856</v>
      </c>
      <c r="B1" s="1135" t="s">
        <v>918</v>
      </c>
    </row>
    <row r="2" spans="1:2" s="1138" customFormat="1" ht="15.75" thickTop="1">
      <c r="A2" s="1137" t="s">
        <v>857</v>
      </c>
      <c r="B2" s="1123" t="str">
        <f>'预评函-封皮'!B9</f>
        <v>北京市房地产抵押价值预评估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5.75" thickBot="1">
      <c r="A5" s="1140" t="s">
        <v>860</v>
      </c>
      <c r="B5" s="1125" t="str">
        <f>'预评函-封皮'!B21</f>
        <v>康正预评字号</v>
      </c>
    </row>
    <row r="6" spans="1:2" s="1138" customFormat="1" ht="15.75" thickTop="1">
      <c r="A6" s="1139" t="s">
        <v>861</v>
      </c>
      <c r="B6" s="1123" t="str">
        <f>'预评函-1'!A4</f>
        <v>受您的委托，我公司对北京市房地产进行了预评估。</v>
      </c>
    </row>
    <row r="7" spans="1:2">
      <c r="A7" s="1139" t="s">
        <v>862</v>
      </c>
      <c r="B7" s="1126" t="str">
        <f>'预评函-1'!A6</f>
        <v>估价对象为北京市房地产，为XX所有。根据《不动产权证书》[]，估价对象建筑面积为73.74平方米。根据《不动产权证书》[]，估价对象（分摊）出让国有建设用地使用权面积为平方米。估价对象用途为。</v>
      </c>
    </row>
    <row r="8" spans="1:2">
      <c r="A8" s="1139" t="s">
        <v>863</v>
      </c>
      <c r="B8" s="112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9" t="s">
        <v>864</v>
      </c>
      <c r="B9" s="1126" t="str">
        <f>'预评函-1'!A10</f>
        <v>2022年4月24日</v>
      </c>
    </row>
    <row r="10" spans="1:2">
      <c r="A10" s="1139" t="s">
        <v>865</v>
      </c>
      <c r="B10" s="1126" t="str">
        <f>'预评函-1'!A13</f>
        <v>本次估价的“房地产价值”是指在正常市场情况下，在价值时点2022年4月24日，估价对象规划用途为，假定未设立法定优先受偿款下的房地产市场价值。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5.75" thickBot="1">
      <c r="A15" s="1140" t="s">
        <v>870</v>
      </c>
      <c r="B15" s="1127" t="str">
        <f>'预评函-1'!A18</f>
        <v>本次评估采用的主估价方法为比较法和收益法。</v>
      </c>
    </row>
    <row r="16" spans="1:2" ht="15.75"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73.739999999999995</v>
      </c>
    </row>
    <row r="19" spans="1:2">
      <c r="A19" s="1139" t="s">
        <v>874</v>
      </c>
      <c r="B19" s="1126">
        <f ca="1">'预评函-2（1）'!D7</f>
        <v>1559454</v>
      </c>
    </row>
    <row r="20" spans="1:2">
      <c r="A20" s="1139" t="s">
        <v>912</v>
      </c>
      <c r="B20" s="1126" t="str">
        <f>'预评函-2（1）'!C7</f>
        <v>总价（元）</v>
      </c>
    </row>
    <row r="21" spans="1:2">
      <c r="A21" s="1139" t="s">
        <v>875</v>
      </c>
      <c r="B21" s="1126">
        <f ca="1">'预评函-2（1）'!D9</f>
        <v>21148</v>
      </c>
    </row>
    <row r="22" spans="1:2">
      <c r="A22" s="1139" t="s">
        <v>876</v>
      </c>
      <c r="B22" s="1126" t="str">
        <f ca="1">'预评函-2（1）'!D8</f>
        <v>壹佰伍拾伍万玖仟肆佰伍拾肆元整</v>
      </c>
    </row>
    <row r="23" spans="1:2">
      <c r="A23" s="1139" t="s">
        <v>913</v>
      </c>
      <c r="B23" s="1126">
        <f>'预评函-2（1）'!D10</f>
        <v>0</v>
      </c>
    </row>
    <row r="24" spans="1:2">
      <c r="A24" s="1139" t="s">
        <v>914</v>
      </c>
      <c r="B24" s="1126" t="str">
        <f>'预评函-2（1）'!C10</f>
        <v>总额（元）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 ca="1">'预评函-2（1）'!D15</f>
        <v>1559454</v>
      </c>
    </row>
    <row r="30" spans="1:2">
      <c r="A30" s="1139" t="s">
        <v>882</v>
      </c>
      <c r="B30" s="1126" t="str">
        <f ca="1">'预评函-2（1）'!D16</f>
        <v>壹佰伍拾伍万玖仟肆佰伍拾肆元整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 ca="1">'预评函-2（1）'!D23</f>
        <v>——</v>
      </c>
    </row>
    <row r="35" spans="1:2">
      <c r="A35" s="1139" t="s">
        <v>887</v>
      </c>
      <c r="B35" s="1126" t="e">
        <f>'预评函-2（1）'!D22</f>
        <v>#VALUE!</v>
      </c>
    </row>
    <row r="36" spans="1:2">
      <c r="A36" s="1139" t="s">
        <v>888</v>
      </c>
      <c r="B36" s="1126">
        <f>'预评函-2（2）'!C4</f>
        <v>0</v>
      </c>
    </row>
    <row r="37" spans="1:2">
      <c r="A37" s="1139" t="s">
        <v>889</v>
      </c>
      <c r="B37" s="1126">
        <f ca="1">'预评函-2（2）'!D4</f>
        <v>1027714</v>
      </c>
    </row>
    <row r="38" spans="1:2">
      <c r="A38" s="1139" t="s">
        <v>890</v>
      </c>
      <c r="B38" s="1126">
        <f ca="1">'预评函-2（2）'!E4</f>
        <v>13937</v>
      </c>
    </row>
    <row r="39" spans="1:2">
      <c r="A39" s="1139" t="s">
        <v>891</v>
      </c>
      <c r="B39" s="1126" t="str">
        <f ca="1">'预评函-2（2）'!D5</f>
        <v>壹佰零贰万柒仟柒佰壹拾肆元整</v>
      </c>
    </row>
    <row r="40" spans="1:2">
      <c r="A40" s="1139" t="s">
        <v>892</v>
      </c>
      <c r="B40" s="1126">
        <f ca="1">'预评函-2（2）'!F4</f>
        <v>531739</v>
      </c>
    </row>
    <row r="41" spans="1:2">
      <c r="A41" s="1139" t="s">
        <v>893</v>
      </c>
      <c r="B41" s="1126">
        <f ca="1">'预评函-2（2）'!G4</f>
        <v>7211</v>
      </c>
    </row>
    <row r="42" spans="1:2" s="1136" customFormat="1" ht="15.75" thickBot="1">
      <c r="A42" s="1140" t="s">
        <v>894</v>
      </c>
      <c r="B42" s="1128" t="str">
        <f ca="1">'预评函-2（2）'!F5</f>
        <v>伍拾叁万壹仟柒佰叁拾玖元整</v>
      </c>
    </row>
    <row r="43" spans="1:2" ht="15.75" thickTop="1">
      <c r="A43" s="1137" t="s">
        <v>895</v>
      </c>
      <c r="B43" s="1129" t="str">
        <f>'预评函-3'!A13</f>
        <v>2.本《评估意见函》仅供金融机构进行内部审核使用，不做其他目的之用。</v>
      </c>
    </row>
    <row r="44" spans="1:2">
      <c r="A44" s="1139" t="s">
        <v>896</v>
      </c>
      <c r="B44" s="1126" t="str">
        <f>'预评函-3'!A14</f>
        <v>3.抵押双方在办理抵押登记手续时，应使用本公司出具的正式《不动产估价报告书》，特提醒报告使用者注意。</v>
      </c>
    </row>
    <row r="45" spans="1:2">
      <c r="A45" s="1139" t="s">
        <v>897</v>
      </c>
      <c r="B45" s="1126" t="str">
        <f>'预评函-3'!A15</f>
        <v>4.本次评估估价师所知悉的法定优先受偿款情况说明如下：</v>
      </c>
    </row>
    <row r="46" spans="1:2">
      <c r="A46" s="1139" t="s">
        <v>898</v>
      </c>
      <c r="B46" s="1126" t="str">
        <f>'预评函-3'!A16</f>
        <v>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本次评估不存在估价师所知悉的法定优先受偿款。</v>
      </c>
    </row>
    <row r="49" spans="1:2">
      <c r="A49" s="1139" t="s">
        <v>900</v>
      </c>
      <c r="B49" s="112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thickBot="1">
      <c r="A51" s="1140" t="s">
        <v>902</v>
      </c>
      <c r="B51" s="1133">
        <f>'预评函-3'!D29</f>
        <v>42551</v>
      </c>
    </row>
    <row r="52" spans="1:2" ht="15.75" thickTop="1">
      <c r="A52" s="1137" t="s">
        <v>903</v>
      </c>
      <c r="B52" s="1132">
        <f>'预评函-3'!A4</f>
        <v>0</v>
      </c>
    </row>
    <row r="53" spans="1:2">
      <c r="A53" s="1139" t="s">
        <v>904</v>
      </c>
      <c r="B53" s="1126">
        <f>'预评函-3'!B4</f>
        <v>0</v>
      </c>
    </row>
    <row r="54" spans="1:2">
      <c r="A54" s="1139" t="s">
        <v>905</v>
      </c>
      <c r="B54" s="1130">
        <f>'预评函-3'!A5</f>
        <v>0</v>
      </c>
    </row>
    <row r="55" spans="1:2" s="1136" customFormat="1" ht="15.75" thickBot="1">
      <c r="A55" s="1140" t="s">
        <v>906</v>
      </c>
      <c r="B55" s="1128">
        <f>'预评函-3'!B5</f>
        <v>0</v>
      </c>
    </row>
    <row r="56" spans="1:2" ht="15.75" thickTop="1">
      <c r="A56" s="1142" t="s">
        <v>915</v>
      </c>
      <c r="B56" s="1126" t="str">
        <f>'预评函-2（1）'!B15</f>
        <v>3.房地产抵押价值</v>
      </c>
    </row>
    <row r="57" spans="1:2">
      <c r="A57" s="1142" t="s">
        <v>916</v>
      </c>
      <c r="B57" s="1126" t="str">
        <f>'预评函-2（1）'!B18</f>
        <v>——</v>
      </c>
    </row>
    <row r="58" spans="1:2" s="1136" customFormat="1" ht="15.75" thickBot="1">
      <c r="A58" s="1143" t="s">
        <v>917</v>
      </c>
      <c r="B58" s="1127" t="str">
        <f>'预评函-2（1）'!B21</f>
        <v>——</v>
      </c>
    </row>
    <row r="59" spans="1:2" ht="15.75" thickTop="1">
      <c r="A59" s="1144" t="s">
        <v>919</v>
      </c>
      <c r="B59" s="1124" t="str">
        <f>'预评函-2（1）'!B45</f>
        <v>单位：元、元/平方米（单位：人民币）</v>
      </c>
    </row>
    <row r="60" spans="1:2">
      <c r="A60" s="1142" t="s">
        <v>920</v>
      </c>
      <c r="B60" s="1126" t="str">
        <f>'预评函-2（2）'!D2</f>
        <v>出让国有建设用地使用权价值</v>
      </c>
    </row>
    <row r="61" spans="1:2" s="1138" customFormat="1">
      <c r="A61" s="1142" t="s">
        <v>921</v>
      </c>
      <c r="B61" s="1126" t="str">
        <f>'预评函-2（2）'!A14</f>
        <v>单位：平方米、元、元/平方米（币种：人民币）</v>
      </c>
    </row>
    <row r="62" spans="1:2" ht="28.5">
      <c r="A62" s="1142" t="s">
        <v>1004</v>
      </c>
      <c r="B62" s="1126">
        <f ca="1">'预评函-2（1）'!D38</f>
        <v>21148</v>
      </c>
    </row>
    <row r="63" spans="1:2" s="1138" customFormat="1" ht="28.5">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5.75" thickBot="1">
      <c r="A67" s="1143" t="s">
        <v>932</v>
      </c>
      <c r="B67" s="1127" t="str">
        <f>'预评函-2（2）'!A12</f>
        <v/>
      </c>
    </row>
    <row r="68" spans="1:2" ht="15.75" thickTop="1">
      <c r="A68" s="1145" t="s">
        <v>933</v>
      </c>
      <c r="B68" s="1131" t="str">
        <f>'预评函-3'!A9</f>
        <v>XX</v>
      </c>
    </row>
    <row r="69" spans="1:2">
      <c r="A69" s="1139" t="s">
        <v>1003</v>
      </c>
    </row>
    <row r="70" spans="1:2">
      <c r="A70" s="1139"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北京市房地产抵押价值预评估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72" customWidth="1"/>
    <col min="2" max="3" width="12.5" style="1272" customWidth="1"/>
    <col min="4" max="6" width="8.125" style="1272"/>
    <col min="7" max="7" width="17.5" style="1272" customWidth="1"/>
    <col min="8" max="16384" width="8.125" style="1272"/>
  </cols>
  <sheetData>
    <row r="1" spans="1:7" ht="23.25">
      <c r="A1" s="1270" t="s">
        <v>1014</v>
      </c>
      <c r="B1" s="1271"/>
      <c r="C1" s="1271"/>
      <c r="D1" s="1271"/>
      <c r="E1" s="1271"/>
      <c r="F1" s="1271"/>
      <c r="G1" s="1271"/>
    </row>
    <row r="2" spans="1:7">
      <c r="A2" s="1273"/>
    </row>
    <row r="3" spans="1:7" s="1276" customFormat="1" ht="18">
      <c r="A3" s="1274" t="str">
        <f>IF(ISNUMBER(FIND("公司",项目基本情况!B4)),项目基本情况!B4&amp;"：",项目基本情况!B4&amp;"  先生/女士：")</f>
        <v>xx  先生/女士：</v>
      </c>
      <c r="B3" s="1275"/>
      <c r="C3" s="1275"/>
      <c r="D3" s="1275"/>
      <c r="E3" s="1275"/>
      <c r="F3" s="1275"/>
      <c r="G3" s="1275"/>
    </row>
    <row r="4" spans="1:7" ht="18">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8.75">
      <c r="A5" s="1278" t="s">
        <v>1015</v>
      </c>
    </row>
    <row r="6" spans="1:7" s="1279" customFormat="1" ht="54">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估价对象为北京市房地产，为XX所有。根据《不动产权证书》[]，估价对象建筑面积为73.74平方米。根据《不动产权证书》[]，估价对象（分摊）出让国有建设用地使用权面积为平方米。估价对象用途为。</v>
      </c>
      <c r="B6" s="1277"/>
      <c r="C6" s="1277"/>
      <c r="D6" s="1277"/>
      <c r="E6" s="1277"/>
      <c r="F6" s="1277"/>
      <c r="G6" s="1277"/>
    </row>
    <row r="7" spans="1:7" ht="18.75">
      <c r="A7" s="1278" t="s">
        <v>1016</v>
      </c>
    </row>
    <row r="8" spans="1:7" ht="54">
      <c r="A8" s="128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81"/>
      <c r="C8" s="1277"/>
      <c r="D8" s="1277"/>
      <c r="E8" s="1277"/>
      <c r="F8" s="1277"/>
      <c r="G8" s="1277"/>
    </row>
    <row r="9" spans="1:7" ht="18.75">
      <c r="A9" s="1275" t="s">
        <v>1017</v>
      </c>
      <c r="B9" s="1282"/>
    </row>
    <row r="10" spans="1:7" ht="18">
      <c r="A10" s="1283" t="str">
        <f>TEXT(项目基本情况!D2,"yyyy年m月d日;;")&amp;IF(项目基本情况!B2=项目基本情况!D2,"（评估专业人员实地查勘之日）","")</f>
        <v>2022年4月24日</v>
      </c>
      <c r="B10" s="1284"/>
      <c r="C10" s="1284"/>
      <c r="D10" s="1284"/>
      <c r="E10" s="1284"/>
      <c r="F10" s="1284"/>
      <c r="G10" s="1284"/>
    </row>
    <row r="11" spans="1:7" ht="18.75">
      <c r="A11" s="1275" t="s">
        <v>1018</v>
      </c>
    </row>
    <row r="12" spans="1:7" ht="75">
      <c r="A12" s="1277" t="s">
        <v>1019</v>
      </c>
      <c r="B12" s="1277"/>
      <c r="C12" s="1277"/>
      <c r="D12" s="1277"/>
      <c r="E12" s="1277"/>
      <c r="F12" s="1277"/>
      <c r="G12" s="1277"/>
    </row>
    <row r="13" spans="1:7" ht="36">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本次估价的“房地产价值”是指在正常市场情况下，在价值时点2022年4月24日，估价对象规划用途为，假定未设立法定优先受偿款下的房地产市场价值。</v>
      </c>
      <c r="B13" s="1277"/>
      <c r="C13" s="1277"/>
      <c r="D13" s="1277"/>
      <c r="E13" s="1277"/>
      <c r="F13" s="1277"/>
      <c r="G13" s="1277"/>
    </row>
    <row r="14" spans="1:7" ht="36">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285"/>
      <c r="C14" s="1285"/>
      <c r="D14" s="1285"/>
      <c r="E14" s="1285"/>
      <c r="F14" s="1285"/>
      <c r="G14" s="1285"/>
    </row>
    <row r="15" spans="1:7" ht="56.25">
      <c r="A15" s="1277" t="s">
        <v>1013</v>
      </c>
      <c r="B15" s="1277"/>
      <c r="C15" s="1277"/>
      <c r="D15" s="1277"/>
      <c r="E15" s="1277"/>
      <c r="F15" s="1277"/>
      <c r="G15" s="1277"/>
    </row>
    <row r="16" spans="1:7" ht="54">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8.75">
      <c r="A17" s="1275" t="s">
        <v>1012</v>
      </c>
    </row>
    <row r="18" spans="1:1" ht="18">
      <c r="A18" s="1286"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9" customWidth="1"/>
    <col min="2" max="2" width="37.875" style="1269" customWidth="1"/>
    <col min="3" max="3" width="16.125" style="1269" customWidth="1"/>
    <col min="4" max="4" width="22.25" style="1269" customWidth="1"/>
    <col min="5" max="5" width="4.125" style="1269" customWidth="1"/>
    <col min="6" max="7" width="13" style="1269" customWidth="1"/>
    <col min="8" max="16384" width="9" style="1269"/>
  </cols>
  <sheetData>
    <row r="1" spans="1:5" ht="18.75">
      <c r="A1" s="1289" t="s">
        <v>592</v>
      </c>
      <c r="B1" s="1287"/>
      <c r="C1" s="1287"/>
      <c r="D1" s="1287"/>
      <c r="E1" s="1287"/>
    </row>
    <row r="2" spans="1:5" ht="78.75" customHeight="1">
      <c r="A2" s="3334"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4"/>
      <c r="C2" s="3334"/>
      <c r="D2" s="3334"/>
      <c r="E2" s="3334"/>
    </row>
    <row r="3" spans="1:5" ht="13.5" customHeight="1">
      <c r="A3" s="1290"/>
      <c r="B3" s="1290"/>
      <c r="C3" s="1290"/>
      <c r="D3" s="1290"/>
      <c r="E3" s="1290"/>
    </row>
    <row r="4" spans="1:5" ht="19.5" thickBot="1">
      <c r="A4" s="3335" t="str">
        <f>IF(项目基本情况!D5="房地产市场价值","估价结果一览表（市场价值不需本页表格)","估价结果一览表")</f>
        <v>估价结果一览表</v>
      </c>
      <c r="B4" s="3335"/>
      <c r="C4" s="3335"/>
      <c r="D4" s="3335"/>
      <c r="E4" s="3335"/>
    </row>
    <row r="5" spans="1:5" ht="14.25" customHeight="1" thickTop="1">
      <c r="A5" s="1287"/>
      <c r="B5" s="1291" t="s">
        <v>562</v>
      </c>
      <c r="C5" s="3336" t="s">
        <v>593</v>
      </c>
      <c r="D5" s="3337"/>
      <c r="E5" s="1287"/>
    </row>
    <row r="6" spans="1:5" ht="14.25">
      <c r="A6" s="1287"/>
      <c r="B6" s="1292" t="str">
        <f>项目基本情况!I1</f>
        <v>北京市房地产</v>
      </c>
      <c r="C6" s="3338">
        <f>项目基本情况!C12</f>
        <v>73.739999999999995</v>
      </c>
      <c r="D6" s="3338"/>
      <c r="E6" s="1287"/>
    </row>
    <row r="7" spans="1:5" ht="14.25">
      <c r="A7" s="1287"/>
      <c r="B7" s="3332" t="s">
        <v>594</v>
      </c>
      <c r="C7" s="1293" t="str">
        <f>IF('数据-取费表'!B3="万元","总价（万元）","总价（元）")</f>
        <v>总价（元）</v>
      </c>
      <c r="D7" s="1294">
        <f ca="1">IF('数据-取费表'!E3="否",结果表!I102,'结果表 (1修多)'!I104)</f>
        <v>1559454</v>
      </c>
      <c r="E7" s="1287"/>
    </row>
    <row r="8" spans="1:5" ht="28.5">
      <c r="A8" s="1287"/>
      <c r="B8" s="3332"/>
      <c r="C8" s="1295" t="s">
        <v>924</v>
      </c>
      <c r="D8" s="1296" t="str">
        <f ca="1">IF('数据-取费表'!B3="万元",NUMBERSTRING(INT(D7*10000),2)&amp;"元整",NUMBERSTRING(INT(D7),2)&amp;"元整")</f>
        <v>壹佰伍拾伍万玖仟肆佰伍拾肆元整</v>
      </c>
      <c r="E8" s="1287"/>
    </row>
    <row r="9" spans="1:5" ht="14.25">
      <c r="A9" s="1287"/>
      <c r="B9" s="3332"/>
      <c r="C9" s="1297" t="s">
        <v>1020</v>
      </c>
      <c r="D9" s="1294">
        <f ca="1">IF('数据-取费表'!E3="否",结果表!I103,'结果表 (1修多)'!I105)</f>
        <v>21148</v>
      </c>
      <c r="E9" s="1287"/>
    </row>
    <row r="10" spans="1:5" ht="14.25">
      <c r="A10" s="1287"/>
      <c r="B10" s="3339" t="str">
        <f>IF('数据-取费表'!E3="否",结果表!F105,'结果表 (1修多)'!F107)</f>
        <v>2.估价师所知悉的法定优先受偿款</v>
      </c>
      <c r="C10" s="1298" t="str">
        <f>IF('数据-取费表'!B3="万元","总额（万元）","总额（元）")</f>
        <v>总额（元）</v>
      </c>
      <c r="D10" s="1294">
        <f>IF('数据-取费表'!E3="否",结果表!I105,'结果表 (1修多)'!I107)</f>
        <v>0</v>
      </c>
      <c r="E10" s="1287"/>
    </row>
    <row r="11" spans="1:5" ht="14.25">
      <c r="A11" s="1287"/>
      <c r="B11" s="3339"/>
      <c r="C11" s="1295" t="s">
        <v>924</v>
      </c>
      <c r="D11" s="1296" t="str">
        <f>IF('数据-取费表'!B3="万元",NUMBERSTRING(INT(D10*10000),2)&amp;"元整",NUMBERSTRING(INT(D10),2)&amp;"元整")</f>
        <v>零元整</v>
      </c>
      <c r="E11" s="1287"/>
    </row>
    <row r="12" spans="1:5" ht="14.25">
      <c r="A12" s="1287"/>
      <c r="B12" s="1299" t="s">
        <v>563</v>
      </c>
      <c r="C12" s="1300" t="str">
        <f>C10</f>
        <v>总额（元）</v>
      </c>
      <c r="D12" s="1301">
        <f>IF('数据-取费表'!E3="否",结果表!I106,'结果表 (1修多)'!I108)</f>
        <v>0</v>
      </c>
      <c r="E12" s="1287"/>
    </row>
    <row r="13" spans="1:5" ht="14.25">
      <c r="A13" s="1287"/>
      <c r="B13" s="1299" t="s">
        <v>564</v>
      </c>
      <c r="C13" s="1300" t="str">
        <f>C10</f>
        <v>总额（元）</v>
      </c>
      <c r="D13" s="1301">
        <f>IF('数据-取费表'!E3="否",结果表!I107,'结果表 (1修多)'!I109)</f>
        <v>0</v>
      </c>
      <c r="E13" s="1287"/>
    </row>
    <row r="14" spans="1:5" ht="14.25">
      <c r="A14" s="1287"/>
      <c r="B14" s="1299" t="s">
        <v>565</v>
      </c>
      <c r="C14" s="1300" t="str">
        <f>C10</f>
        <v>总额（元）</v>
      </c>
      <c r="D14" s="1301">
        <f>IF('数据-取费表'!E3="否",结果表!I108,'结果表 (1修多)'!I110)</f>
        <v>0</v>
      </c>
      <c r="E14" s="1287"/>
    </row>
    <row r="15" spans="1:5" ht="14.25">
      <c r="A15" s="1287"/>
      <c r="B15" s="3339" t="str">
        <f>IF('数据-取费表'!E3="否",结果表!F110,'结果表 (1修多)'!F112)</f>
        <v>3.房地产抵押价值</v>
      </c>
      <c r="C15" s="1288" t="str">
        <f>C7</f>
        <v>总价（元）</v>
      </c>
      <c r="D15" s="1294">
        <f ca="1">IF('数据-取费表'!E3="否",结果表!I110,'结果表 (1修多)'!I112)</f>
        <v>1559454</v>
      </c>
      <c r="E15" s="1287"/>
    </row>
    <row r="16" spans="1:5" ht="28.5">
      <c r="A16" s="1287"/>
      <c r="B16" s="3339"/>
      <c r="C16" s="1295" t="s">
        <v>924</v>
      </c>
      <c r="D16" s="1294" t="str">
        <f ca="1">IF('数据-取费表'!B3="万元",NUMBERSTRING(INT(D15*10000),2)&amp;"元整",NUMBERSTRING(INT(D15),2)&amp;"元整")</f>
        <v>壹佰伍拾伍万玖仟肆佰伍拾肆元整</v>
      </c>
      <c r="E16" s="1287"/>
    </row>
    <row r="17" spans="1:5" ht="14.25">
      <c r="A17" s="1287"/>
      <c r="B17" s="3339"/>
      <c r="C17" s="1297" t="s">
        <v>1020</v>
      </c>
      <c r="D17" s="1294">
        <f ca="1">IF('数据-取费表'!E3="否",结果表!I111,'结果表 (1修多)'!I113)</f>
        <v>21148</v>
      </c>
      <c r="E17" s="1287"/>
    </row>
    <row r="18" spans="1:5" ht="14.25">
      <c r="A18" s="1287"/>
      <c r="B18" s="3339" t="str">
        <f>IF('数据-取费表'!E3="否",结果表!F112,'结果表 (1修多)'!F114)</f>
        <v>——</v>
      </c>
      <c r="C18" s="1288" t="str">
        <f>C7</f>
        <v>总价（元）</v>
      </c>
      <c r="D18" s="1294" t="str">
        <f>IF('数据-取费表'!E3="否",结果表!I112,'结果表 (1修多)'!I114)</f>
        <v>——</v>
      </c>
      <c r="E18" s="1287"/>
    </row>
    <row r="19" spans="1:5" ht="14.25">
      <c r="A19" s="1287"/>
      <c r="B19" s="3339"/>
      <c r="C19" s="1295" t="s">
        <v>924</v>
      </c>
      <c r="D19" s="1294" t="e">
        <f>IF('数据-取费表'!B3="万元",NUMBERSTRING(INT(D18*10000),2)&amp;"元整",NUMBERSTRING(INT(D18),2)&amp;"元整")</f>
        <v>#VALUE!</v>
      </c>
      <c r="E19" s="1287"/>
    </row>
    <row r="20" spans="1:5" ht="14.25">
      <c r="A20" s="1287"/>
      <c r="B20" s="3339"/>
      <c r="C20" s="1297" t="s">
        <v>1020</v>
      </c>
      <c r="D20" s="1294" t="str">
        <f>IF('数据-取费表'!E3="否",结果表!I113,'结果表 (1修多)'!I115)</f>
        <v>——</v>
      </c>
      <c r="E20" s="1287"/>
    </row>
    <row r="21" spans="1:5" ht="14.25">
      <c r="A21" s="1287"/>
      <c r="B21" s="3332" t="str">
        <f>IF('数据-取费表'!E3="否",结果表!F114,'结果表 (1修多)'!F116)</f>
        <v>——</v>
      </c>
      <c r="C21" s="1293" t="str">
        <f>C7</f>
        <v>总价（元）</v>
      </c>
      <c r="D21" s="1294" t="str">
        <f>IF('数据-取费表'!E3="否",结果表!I114,'结果表 (1修多)'!I116)</f>
        <v>——</v>
      </c>
      <c r="E21" s="1287"/>
    </row>
    <row r="22" spans="1:5" ht="14.25">
      <c r="A22" s="1287"/>
      <c r="B22" s="3332"/>
      <c r="C22" s="1295" t="s">
        <v>924</v>
      </c>
      <c r="D22" s="1296" t="e">
        <f>IF('数据-取费表'!B3="万元",NUMBERSTRING(INT(D21*10000),2)&amp;"元整",NUMBERSTRING(INT(D21),2)&amp;"元整")</f>
        <v>#VALUE!</v>
      </c>
      <c r="E22" s="1287"/>
    </row>
    <row r="23" spans="1:5" ht="15" thickBot="1">
      <c r="A23" s="1287"/>
      <c r="B23" s="3333"/>
      <c r="C23" s="1302" t="s">
        <v>1020</v>
      </c>
      <c r="D23" s="1303" t="str">
        <f ca="1">IF('数据-取费表'!E3="否",结果表!I115,'结果表 (1修多)'!I117)</f>
        <v>——</v>
      </c>
      <c r="E23" s="1287"/>
    </row>
    <row r="24" spans="1:5" ht="14.25" thickTop="1">
      <c r="A24" s="1287"/>
      <c r="B24" s="1287"/>
      <c r="C24" s="1287"/>
      <c r="D24" s="1287"/>
      <c r="E24" s="1287"/>
    </row>
    <row r="25" spans="1:5" ht="18.75" customHeight="1" thickBot="1">
      <c r="A25" s="1287"/>
      <c r="B25" s="3347" t="s">
        <v>1021</v>
      </c>
      <c r="C25" s="3347"/>
      <c r="D25" s="3347"/>
      <c r="E25" s="1287"/>
    </row>
    <row r="26" spans="1:5" ht="18.75" customHeight="1" thickTop="1">
      <c r="A26" s="1287"/>
      <c r="B26" s="3350" t="s">
        <v>923</v>
      </c>
      <c r="C26" s="3351"/>
      <c r="D26" s="3348" t="s">
        <v>922</v>
      </c>
      <c r="E26" s="1287"/>
    </row>
    <row r="27" spans="1:5" ht="18.75" customHeight="1">
      <c r="A27" s="1287"/>
      <c r="B27" s="3352"/>
      <c r="C27" s="3353"/>
      <c r="D27" s="3349"/>
      <c r="E27" s="1287"/>
    </row>
    <row r="28" spans="1:5" ht="14.25">
      <c r="A28" s="1287"/>
      <c r="B28" s="3340" t="s">
        <v>594</v>
      </c>
      <c r="C28" s="1304" t="s">
        <v>925</v>
      </c>
      <c r="D28" s="1305">
        <f ca="1">IF('数据-取费表'!E3="否",结果表!I102,'结果表 (1修多)'!I104)</f>
        <v>1559454</v>
      </c>
      <c r="E28" s="1287"/>
    </row>
    <row r="29" spans="1:5" ht="28.5">
      <c r="A29" s="1287"/>
      <c r="B29" s="3341"/>
      <c r="C29" s="1306" t="s">
        <v>924</v>
      </c>
      <c r="D29" s="1307" t="str">
        <f ca="1">IF('数据-取费表'!B3="万元",NUMBERSTRING(INT(D28*10000),2)&amp;"元整",NUMBERSTRING(INT(D28),2)&amp;"元整")</f>
        <v>壹佰伍拾伍万玖仟肆佰伍拾肆元整</v>
      </c>
      <c r="E29" s="1287"/>
    </row>
    <row r="30" spans="1:5" ht="14.25">
      <c r="A30" s="1287"/>
      <c r="B30" s="3342"/>
      <c r="C30" s="1297" t="s">
        <v>927</v>
      </c>
      <c r="D30" s="1308">
        <f ca="1">IF('数据-取费表'!E3="否",结果表!I103,'结果表 (1修多)'!I105)</f>
        <v>21148</v>
      </c>
      <c r="E30" s="1287"/>
    </row>
    <row r="31" spans="1:5" ht="14.25">
      <c r="A31" s="1287"/>
      <c r="B31" s="3345" t="str">
        <f>B10</f>
        <v>2.估价师所知悉的法定优先受偿款</v>
      </c>
      <c r="C31" s="1309" t="s">
        <v>926</v>
      </c>
      <c r="D31" s="1310">
        <f>IF('数据-取费表'!E3="否",结果表!I105,'结果表 (1修多)'!I107)</f>
        <v>0</v>
      </c>
      <c r="E31" s="1287"/>
    </row>
    <row r="32" spans="1:5" ht="14.25">
      <c r="A32" s="1287"/>
      <c r="B32" s="3354"/>
      <c r="C32" s="1306" t="s">
        <v>924</v>
      </c>
      <c r="D32" s="1311" t="str">
        <f>IF('数据-取费表'!B3="万元",NUMBERSTRING(INT(D31*10000),2)&amp;"元整",NUMBERSTRING(INT(D31),2)&amp;"元整")</f>
        <v>零元整</v>
      </c>
      <c r="E32" s="1287"/>
    </row>
    <row r="33" spans="1:5" ht="14.25">
      <c r="A33" s="1287"/>
      <c r="B33" s="1295" t="s">
        <v>907</v>
      </c>
      <c r="C33" s="1295" t="str">
        <f>C31</f>
        <v>总额</v>
      </c>
      <c r="D33" s="1308">
        <f>IF('数据-取费表'!E3="否",结果表!I106,'结果表 (1修多)'!I108)</f>
        <v>0</v>
      </c>
      <c r="E33" s="1287"/>
    </row>
    <row r="34" spans="1:5" ht="14.25">
      <c r="A34" s="1287"/>
      <c r="B34" s="1295" t="s">
        <v>908</v>
      </c>
      <c r="C34" s="1295" t="str">
        <f>C31</f>
        <v>总额</v>
      </c>
      <c r="D34" s="1308">
        <f>IF('数据-取费表'!E3="否",结果表!I107,'结果表 (1修多)'!I109)</f>
        <v>0</v>
      </c>
      <c r="E34" s="1287"/>
    </row>
    <row r="35" spans="1:5" ht="14.25">
      <c r="A35" s="1287"/>
      <c r="B35" s="1295" t="s">
        <v>909</v>
      </c>
      <c r="C35" s="1295" t="str">
        <f>C31</f>
        <v>总额</v>
      </c>
      <c r="D35" s="1308">
        <f>IF('数据-取费表'!E3="否",结果表!I108,'结果表 (1修多)'!I110)</f>
        <v>0</v>
      </c>
      <c r="E35" s="1287"/>
    </row>
    <row r="36" spans="1:5" ht="14.25">
      <c r="A36" s="1287"/>
      <c r="B36" s="3343" t="str">
        <f>B15</f>
        <v>3.房地产抵押价值</v>
      </c>
      <c r="C36" s="1309" t="str">
        <f>C28</f>
        <v>总价</v>
      </c>
      <c r="D36" s="1310">
        <f ca="1">IF('数据-取费表'!E3="否",结果表!I110,'结果表 (1修多)'!I112)</f>
        <v>1559454</v>
      </c>
      <c r="E36" s="1287"/>
    </row>
    <row r="37" spans="1:5" ht="28.5">
      <c r="A37" s="1287"/>
      <c r="B37" s="3343"/>
      <c r="C37" s="1306" t="s">
        <v>924</v>
      </c>
      <c r="D37" s="1311" t="str">
        <f ca="1">IF('数据-取费表'!B3="万元",NUMBERSTRING(INT(D36*10000),2)&amp;"元整",NUMBERSTRING(INT(D36),2)&amp;"元整")</f>
        <v>壹佰伍拾伍万玖仟肆佰伍拾肆元整</v>
      </c>
      <c r="E37" s="1287"/>
    </row>
    <row r="38" spans="1:5" ht="14.25">
      <c r="A38" s="1287"/>
      <c r="B38" s="3343"/>
      <c r="C38" s="1297" t="s">
        <v>928</v>
      </c>
      <c r="D38" s="1308">
        <f ca="1">IF('数据-取费表'!E3="否",结果表!D113,'结果表 (1修多)'!D117)</f>
        <v>21148</v>
      </c>
      <c r="E38" s="1287"/>
    </row>
    <row r="39" spans="1:5" ht="14.25">
      <c r="A39" s="1287"/>
      <c r="B39" s="3344" t="str">
        <f>B18</f>
        <v>——</v>
      </c>
      <c r="C39" s="1309" t="str">
        <f>C28</f>
        <v>总价</v>
      </c>
      <c r="D39" s="1310" t="str">
        <f>IF('数据-取费表'!E3="否",结果表!I112,'结果表 (1修多)'!I114)</f>
        <v>——</v>
      </c>
      <c r="E39" s="1287"/>
    </row>
    <row r="40" spans="1:5" ht="14.25">
      <c r="A40" s="1287"/>
      <c r="B40" s="3344"/>
      <c r="C40" s="1306" t="s">
        <v>924</v>
      </c>
      <c r="D40" s="1311" t="e">
        <f>IF('数据-取费表'!B3="万元",NUMBERSTRING(INT(D39*10000),2)&amp;"元整",NUMBERSTRING(INT(D39),2)&amp;"元整")</f>
        <v>#VALUE!</v>
      </c>
      <c r="E40" s="1287"/>
    </row>
    <row r="41" spans="1:5" ht="14.25">
      <c r="A41" s="1287"/>
      <c r="B41" s="3344"/>
      <c r="C41" s="1297" t="s">
        <v>928</v>
      </c>
      <c r="D41" s="1308" t="str">
        <f>IF('数据-取费表'!E3="否",结果表!D115,'结果表 (1修多)'!D119)</f>
        <v>——</v>
      </c>
      <c r="E41" s="1287"/>
    </row>
    <row r="42" spans="1:5" ht="14.25">
      <c r="A42" s="1287"/>
      <c r="B42" s="3343" t="str">
        <f>B21</f>
        <v>——</v>
      </c>
      <c r="C42" s="1309" t="str">
        <f>C28</f>
        <v>总价</v>
      </c>
      <c r="D42" s="1310" t="str">
        <f>IF('数据-取费表'!E3="否",结果表!I114,'结果表 (1修多)'!I116)</f>
        <v>——</v>
      </c>
      <c r="E42" s="1287"/>
    </row>
    <row r="43" spans="1:5" ht="14.25">
      <c r="A43" s="1287"/>
      <c r="B43" s="3345"/>
      <c r="C43" s="1306" t="s">
        <v>924</v>
      </c>
      <c r="D43" s="1312" t="e">
        <f>IF('数据-取费表'!B3="万元",NUMBERSTRING(INT(D42*10000),2)&amp;"元整",NUMBERSTRING(INT(D42),2)&amp;"元整")</f>
        <v>#VALUE!</v>
      </c>
      <c r="E43" s="1287"/>
    </row>
    <row r="44" spans="1:5" ht="15" thickBot="1">
      <c r="A44" s="1287"/>
      <c r="B44" s="3346"/>
      <c r="C44" s="1302" t="s">
        <v>928</v>
      </c>
      <c r="D44" s="1313" t="str">
        <f ca="1">IF('数据-取费表'!E3="否",结果表!D117,'结果表 (1修多)'!D121)</f>
        <v>——</v>
      </c>
      <c r="E44" s="1287"/>
    </row>
    <row r="45" spans="1:5" ht="14.25" thickTop="1">
      <c r="A45" s="1287"/>
      <c r="B45" s="1287" t="str">
        <f>IF('数据-取费表'!B3="元","单位：元、元/平方米（单位：人民币）","单位：万元、元/平方米（单位：人民币）")</f>
        <v>单位：元、元/平方米（单位：人民币）</v>
      </c>
      <c r="C45" s="1287"/>
      <c r="D45" s="1287"/>
      <c r="E45" s="1287"/>
    </row>
    <row r="46" spans="1:5" ht="18.75">
      <c r="B46" s="1314" t="s">
        <v>911</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72" customWidth="1"/>
    <col min="2" max="9" width="12.25" style="1272" customWidth="1"/>
    <col min="10" max="16384" width="9" style="1272"/>
  </cols>
  <sheetData>
    <row r="1" spans="1:9" ht="16.5" thickBot="1">
      <c r="A1" s="3361" t="str">
        <f>IF(项目基本情况!D5="房地产市场价值","估价结果一览表","结果表-2")</f>
        <v>结果表-2</v>
      </c>
      <c r="B1" s="3361"/>
      <c r="C1" s="3361"/>
      <c r="D1" s="3361"/>
      <c r="E1" s="3361"/>
      <c r="F1" s="3361"/>
      <c r="G1" s="3361"/>
      <c r="H1" s="3361"/>
      <c r="I1" s="3361"/>
    </row>
    <row r="2" spans="1:9" ht="30" customHeight="1" thickTop="1">
      <c r="A2" s="3362" t="s">
        <v>1022</v>
      </c>
      <c r="B2" s="3362" t="s">
        <v>1023</v>
      </c>
      <c r="C2" s="3362" t="s">
        <v>1024</v>
      </c>
      <c r="D2" s="3362" t="str">
        <f>IF('数据-取费表'!E3="否",结果表!D119,'结果表 (1修多)'!D123)</f>
        <v>出让国有建设用地使用权价值</v>
      </c>
      <c r="E2" s="3362"/>
      <c r="F2" s="3362" t="s">
        <v>1025</v>
      </c>
      <c r="G2" s="3362"/>
      <c r="H2" s="3362" t="s">
        <v>1026</v>
      </c>
      <c r="I2" s="3362"/>
    </row>
    <row r="3" spans="1:9" ht="15">
      <c r="A3" s="3357"/>
      <c r="B3" s="3357"/>
      <c r="C3" s="3357"/>
      <c r="D3" s="776" t="s">
        <v>1027</v>
      </c>
      <c r="E3" s="776" t="s">
        <v>1028</v>
      </c>
      <c r="F3" s="776" t="s">
        <v>1027</v>
      </c>
      <c r="G3" s="776" t="s">
        <v>1029</v>
      </c>
      <c r="H3" s="776" t="s">
        <v>1027</v>
      </c>
      <c r="I3" s="776" t="s">
        <v>1029</v>
      </c>
    </row>
    <row r="4" spans="1:9" ht="46.5" customHeight="1">
      <c r="A4" s="776" t="str">
        <f>项目基本情况!I1</f>
        <v>北京市房地产</v>
      </c>
      <c r="B4" s="776">
        <f>结果表!B121</f>
        <v>73.739999999999995</v>
      </c>
      <c r="C4" s="776">
        <f>结果表!C121</f>
        <v>0</v>
      </c>
      <c r="D4" s="776">
        <f ca="1">IF('数据-取费表'!E3="否",结果表!D121,'结果表 (1修多)'!D125)</f>
        <v>1027714</v>
      </c>
      <c r="E4" s="776">
        <f ca="1">IF('数据-取费表'!E3="否",结果表!E121,'结果表 (1修多)'!E125)</f>
        <v>13937</v>
      </c>
      <c r="F4" s="776">
        <f ca="1">IF('数据-取费表'!E3="否",结果表!F121,'结果表 (1修多)'!F125)</f>
        <v>531739</v>
      </c>
      <c r="G4" s="776">
        <f ca="1">IF('数据-取费表'!E3="否",结果表!G121,'结果表 (1修多)'!G125)</f>
        <v>7211</v>
      </c>
      <c r="H4" s="776">
        <f ca="1">IF('数据-取费表'!E3="否",结果表!H121,'结果表 (1修多)'!H125)</f>
        <v>1559454</v>
      </c>
      <c r="I4" s="776">
        <f ca="1">IF('数据-取费表'!E3="否",结果表!I121,'结果表 (1修多)'!I125)</f>
        <v>21148</v>
      </c>
    </row>
    <row r="5" spans="1:9" ht="15">
      <c r="A5" s="3357" t="s">
        <v>1030</v>
      </c>
      <c r="B5" s="3357"/>
      <c r="C5" s="3357"/>
      <c r="D5" s="3355" t="str">
        <f ca="1">IF('数据-取费表'!E3="否",结果表!D122,'结果表 (1修多)'!D126)</f>
        <v>壹佰零贰万柒仟柒佰壹拾肆元整</v>
      </c>
      <c r="E5" s="3355"/>
      <c r="F5" s="3355" t="str">
        <f ca="1">IF('数据-取费表'!E3="否",结果表!F122,'结果表 (1修多)'!F126)</f>
        <v>伍拾叁万壹仟柒佰叁拾玖元整</v>
      </c>
      <c r="G5" s="3355"/>
      <c r="H5" s="3355" t="str">
        <f ca="1">IF('数据-取费表'!E3="否",结果表!H122,'结果表 (1修多)'!H126)</f>
        <v>壹佰伍拾伍万玖仟肆佰伍拾肆元整</v>
      </c>
      <c r="I5" s="3355"/>
    </row>
    <row r="6" spans="1:9" ht="15.75">
      <c r="A6" s="3356" t="str">
        <f>IF('数据-取费表'!E3="否",结果表!A123,'结果表 (1修多)'!A127)</f>
        <v>估价师所知悉的法定优先受偿款</v>
      </c>
      <c r="B6" s="3356"/>
      <c r="C6" s="3356"/>
      <c r="D6" s="3356">
        <f>IF('数据-取费表'!E3="否",结果表!D123,'结果表 (1修多)'!D127)</f>
        <v>0</v>
      </c>
      <c r="E6" s="3356"/>
      <c r="F6" s="3356"/>
      <c r="G6" s="3356"/>
      <c r="H6" s="3356"/>
      <c r="I6" s="3356"/>
    </row>
    <row r="7" spans="1:9" ht="15">
      <c r="A7" s="3357" t="s">
        <v>1030</v>
      </c>
      <c r="B7" s="3357"/>
      <c r="C7" s="3357"/>
      <c r="D7" s="3358">
        <f>IF('数据-取费表'!E3="否",结果表!D124,'结果表 (1修多)'!D128)</f>
        <v>0</v>
      </c>
      <c r="E7" s="3359"/>
      <c r="F7" s="3359"/>
      <c r="G7" s="3359"/>
      <c r="H7" s="3359"/>
      <c r="I7" s="3360"/>
    </row>
    <row r="8" spans="1:9" ht="15.75">
      <c r="A8" s="3356" t="str">
        <f>IF('数据-取费表'!E3="否",结果表!A125,'结果表 (1修多)'!A129)</f>
        <v>房地产抵押价值</v>
      </c>
      <c r="B8" s="3356"/>
      <c r="C8" s="3356"/>
      <c r="D8" s="3356">
        <f ca="1">IF('数据-取费表'!E3="否",结果表!D125,'结果表 (1修多)'!D129)</f>
        <v>1559454</v>
      </c>
      <c r="E8" s="3356"/>
      <c r="F8" s="3356"/>
      <c r="G8" s="3356"/>
      <c r="H8" s="3356"/>
      <c r="I8" s="3356"/>
    </row>
    <row r="9" spans="1:9" ht="15">
      <c r="A9" s="3357" t="s">
        <v>1030</v>
      </c>
      <c r="B9" s="3357"/>
      <c r="C9" s="3357"/>
      <c r="D9" s="3355">
        <f ca="1">IF('数据-取费表'!E3="否",结果表!D126,'结果表 (1修多)'!D130)</f>
        <v>21148</v>
      </c>
      <c r="E9" s="3355"/>
      <c r="F9" s="3355"/>
      <c r="G9" s="3355"/>
      <c r="H9" s="3355"/>
      <c r="I9" s="3355"/>
    </row>
    <row r="10" spans="1:9" ht="15.75">
      <c r="A10" s="3356" t="str">
        <f>IF('数据-取费表'!E3="否",结果表!A127,'结果表 (1修多)'!A131)</f>
        <v/>
      </c>
      <c r="B10" s="3356"/>
      <c r="C10" s="3356"/>
      <c r="D10" s="3356" t="str">
        <f>IF('数据-取费表'!E3="否",结果表!D127,'结果表 (1修多)'!D130)</f>
        <v>——</v>
      </c>
      <c r="E10" s="3356"/>
      <c r="F10" s="3356"/>
      <c r="G10" s="3356"/>
      <c r="H10" s="3356"/>
      <c r="I10" s="3356"/>
    </row>
    <row r="11" spans="1:9" ht="15">
      <c r="A11" s="3357" t="s">
        <v>1030</v>
      </c>
      <c r="B11" s="3357"/>
      <c r="C11" s="3357"/>
      <c r="D11" s="3355" t="str">
        <f>IF('数据-取费表'!E3="否",结果表!D128,'结果表 (1修多)'!D132)</f>
        <v>——</v>
      </c>
      <c r="E11" s="3355"/>
      <c r="F11" s="3355"/>
      <c r="G11" s="3355"/>
      <c r="H11" s="3355"/>
      <c r="I11" s="3355"/>
    </row>
    <row r="12" spans="1:9" ht="15.75">
      <c r="A12" s="3356" t="str">
        <f>IF('数据-取费表'!E3="否",结果表!A129,'结果表 (1修多)'!A133)</f>
        <v/>
      </c>
      <c r="B12" s="3356"/>
      <c r="C12" s="3356"/>
      <c r="D12" s="3356" t="str">
        <f>IF('数据-取费表'!E3="否",结果表!D129,'结果表 (1修多)'!D133)</f>
        <v>——</v>
      </c>
      <c r="E12" s="3356"/>
      <c r="F12" s="3356"/>
      <c r="G12" s="3356"/>
      <c r="H12" s="3356"/>
      <c r="I12" s="3356"/>
    </row>
    <row r="13" spans="1:9" ht="15.75" thickBot="1">
      <c r="A13" s="3363" t="s">
        <v>1030</v>
      </c>
      <c r="B13" s="3363"/>
      <c r="C13" s="3363"/>
      <c r="D13" s="3364">
        <f>IF('数据-取费表'!E3="否",结果表!D130,'结果表 (1修多)'!D134)</f>
        <v>0</v>
      </c>
      <c r="E13" s="3364"/>
      <c r="F13" s="3364"/>
      <c r="G13" s="3364"/>
      <c r="H13" s="3364"/>
      <c r="I13" s="3364"/>
    </row>
    <row r="14" spans="1:9" ht="15" thickTop="1">
      <c r="A14" s="3365" t="str">
        <f>IF('数据-取费表'!E3="否",结果表!A131,'结果表 (1修多)'!A135)</f>
        <v>单位：平方米、元、元/平方米（币种：人民币）</v>
      </c>
      <c r="B14" s="3365"/>
      <c r="C14" s="3365"/>
      <c r="D14" s="3365"/>
      <c r="E14" s="3365"/>
      <c r="F14" s="3365"/>
      <c r="G14" s="3365"/>
      <c r="H14" s="3365"/>
      <c r="I14" s="3365"/>
    </row>
    <row r="15" spans="1:9">
      <c r="A15" s="605"/>
      <c r="B15" s="605"/>
      <c r="C15" s="605"/>
      <c r="D15" s="605"/>
      <c r="E15" s="605"/>
      <c r="F15" s="605"/>
      <c r="G15" s="605"/>
      <c r="H15" s="605"/>
      <c r="I15" s="605"/>
    </row>
    <row r="16" spans="1:9" ht="18.75">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72" customWidth="1"/>
    <col min="2" max="2" width="24" style="1272" customWidth="1"/>
    <col min="3" max="3" width="23.25" style="1272" customWidth="1"/>
    <col min="4" max="4" width="21" style="1272" customWidth="1"/>
    <col min="5" max="16384" width="9" style="1272"/>
  </cols>
  <sheetData>
    <row r="1" spans="1:4" ht="18.75">
      <c r="A1" s="3370" t="s">
        <v>1043</v>
      </c>
      <c r="B1" s="3370"/>
      <c r="C1" s="3370"/>
      <c r="D1" s="3370"/>
    </row>
    <row r="2" spans="1:4" ht="18">
      <c r="A2" s="3369" t="s">
        <v>1032</v>
      </c>
      <c r="B2" s="3369"/>
      <c r="C2" s="3369"/>
      <c r="D2" s="3369"/>
    </row>
    <row r="3" spans="1:4" ht="18.75">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8">
      <c r="A7" s="3369" t="s">
        <v>1037</v>
      </c>
      <c r="B7" s="3369"/>
      <c r="C7" s="3369"/>
      <c r="D7" s="3369"/>
    </row>
    <row r="8" spans="1:4" ht="18.75">
      <c r="A8" s="1316" t="s">
        <v>1033</v>
      </c>
      <c r="B8" s="1318" t="s">
        <v>1038</v>
      </c>
      <c r="C8" s="1316" t="s">
        <v>1035</v>
      </c>
      <c r="D8" s="1316" t="s">
        <v>1036</v>
      </c>
    </row>
    <row r="9" spans="1:4" ht="56.25" customHeight="1">
      <c r="A9" s="1323" t="s">
        <v>595</v>
      </c>
      <c r="B9" s="1323" t="s">
        <v>596</v>
      </c>
      <c r="C9" s="1319"/>
      <c r="D9" s="1320" t="s">
        <v>1044</v>
      </c>
    </row>
    <row r="11" spans="1:4" ht="18.75">
      <c r="A11" s="1324" t="s">
        <v>1039</v>
      </c>
    </row>
    <row r="12" spans="1:4" ht="30" customHeight="1">
      <c r="A12" s="3366" t="s">
        <v>2496</v>
      </c>
      <c r="B12" s="3368"/>
      <c r="C12" s="3368"/>
      <c r="D12" s="3368"/>
    </row>
    <row r="13" spans="1:4" ht="15.75">
      <c r="A13" s="3366"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8"/>
      <c r="C13" s="3368"/>
      <c r="D13" s="3368"/>
    </row>
    <row r="14" spans="1:4" ht="30" customHeight="1">
      <c r="A14" s="3366"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8"/>
      <c r="C14" s="3368"/>
      <c r="D14" s="3368"/>
    </row>
    <row r="15" spans="1:4" ht="15.75" customHeight="1">
      <c r="A15" s="3366" t="str">
        <f>IF(项目基本情况!D4="抵押","4.本次评估估价师所知悉的法定优先受偿款情况说明如下：","——")</f>
        <v>4.本次评估估价师所知悉的法定优先受偿款情况说明如下：</v>
      </c>
      <c r="B15" s="3368"/>
      <c r="C15" s="3368"/>
      <c r="D15" s="3368"/>
    </row>
    <row r="16" spans="1:4" ht="75" customHeight="1">
      <c r="A16" s="3366" t="str">
        <f>IF(项目基本情况!D4="抵押",CONCATENATE(项目基本情况!J13,项目基本情况!J14,项目基本情况!J15),"——")</f>
        <v>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66"/>
      <c r="C16" s="3366"/>
      <c r="D16" s="3366"/>
    </row>
    <row r="17" spans="1:4" ht="63.75" customHeight="1">
      <c r="A17" s="3367" t="s">
        <v>1045</v>
      </c>
      <c r="B17" s="3367"/>
      <c r="C17" s="3367"/>
      <c r="D17" s="3367"/>
    </row>
    <row r="18" spans="1:4" ht="15.75" customHeight="1">
      <c r="A18" s="3366" t="str">
        <f>IF(项目基本情况!D4="抵押",结果表!L106,"——")</f>
        <v>本次评估不存在估价师所知悉的法定优先受偿款。</v>
      </c>
      <c r="B18" s="3366"/>
      <c r="C18" s="3366"/>
      <c r="D18" s="3366"/>
    </row>
    <row r="19" spans="1:4" ht="46.5" customHeight="1">
      <c r="A19" s="3366"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6"/>
      <c r="C19" s="3366"/>
      <c r="D19" s="3366"/>
    </row>
    <row r="20" spans="1:4" ht="15">
      <c r="A20" s="3367" t="s">
        <v>2497</v>
      </c>
      <c r="B20" s="3367"/>
      <c r="C20" s="3367"/>
      <c r="D20" s="3367"/>
    </row>
    <row r="21" spans="1:4">
      <c r="A21" s="1325"/>
      <c r="B21" s="938"/>
      <c r="C21" s="938"/>
      <c r="D21" s="938"/>
    </row>
    <row r="22" spans="1:4">
      <c r="A22" s="1325"/>
      <c r="B22" s="938"/>
      <c r="C22" s="938"/>
      <c r="D22" s="938"/>
    </row>
    <row r="23" spans="1:4" ht="18.75">
      <c r="A23" s="1286" t="s">
        <v>1040</v>
      </c>
    </row>
    <row r="24" spans="1:4" ht="18">
      <c r="A24" s="1286"/>
    </row>
    <row r="25" spans="1:4" ht="18.75">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34" customWidth="1"/>
    <col min="2" max="16384" width="14.5" style="605"/>
  </cols>
  <sheetData>
    <row r="1" spans="1:7" s="1315" customFormat="1" ht="18.75">
      <c r="A1" s="603" t="s">
        <v>1112</v>
      </c>
    </row>
    <row r="3" spans="1:7" ht="14.25">
      <c r="A3" s="1332" t="s">
        <v>1113</v>
      </c>
      <c r="B3" s="605" t="s">
        <v>1114</v>
      </c>
      <c r="G3" s="1333"/>
    </row>
    <row r="4" spans="1:7">
      <c r="G4" s="1333"/>
    </row>
    <row r="5" spans="1:7" ht="14.25">
      <c r="A5" s="1335" t="s">
        <v>1115</v>
      </c>
      <c r="B5" s="605" t="s">
        <v>1116</v>
      </c>
      <c r="G5" s="1333"/>
    </row>
    <row r="6" spans="1:7">
      <c r="G6" s="1333"/>
    </row>
    <row r="7" spans="1:7" ht="14.25">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25">
      <c r="A15" s="3376" t="s">
        <v>1124</v>
      </c>
      <c r="B15" s="3371" t="s">
        <v>1125</v>
      </c>
      <c r="C15" s="3372"/>
    </row>
    <row r="16" spans="1:7" ht="14.25">
      <c r="A16" s="3377"/>
      <c r="B16" s="3371" t="s">
        <v>1126</v>
      </c>
      <c r="C16" s="3372"/>
    </row>
    <row r="17" spans="1:3" ht="14.25">
      <c r="A17" s="3377"/>
      <c r="B17" s="3371" t="s">
        <v>1127</v>
      </c>
      <c r="C17" s="3372"/>
    </row>
    <row r="18" spans="1:3" ht="14.25">
      <c r="A18" s="3378"/>
      <c r="B18" s="3373" t="s">
        <v>1128</v>
      </c>
      <c r="C18" s="3372"/>
    </row>
    <row r="19" spans="1:3" ht="14.25">
      <c r="A19" s="1340" t="s">
        <v>1129</v>
      </c>
      <c r="B19" s="1341"/>
      <c r="C19" s="1342"/>
    </row>
    <row r="20" spans="1:3" ht="14.25">
      <c r="A20" s="3374" t="s">
        <v>1130</v>
      </c>
      <c r="B20" s="3373" t="s">
        <v>1131</v>
      </c>
      <c r="C20" s="3372"/>
    </row>
    <row r="21" spans="1:3" ht="14.25">
      <c r="A21" s="3374"/>
      <c r="B21" s="3373" t="s">
        <v>1132</v>
      </c>
      <c r="C21" s="3372"/>
    </row>
    <row r="22" spans="1:3" ht="14.25">
      <c r="A22" s="3374"/>
      <c r="B22" s="3373" t="s">
        <v>1133</v>
      </c>
      <c r="C22" s="3372"/>
    </row>
    <row r="23" spans="1:3" ht="14.25">
      <c r="A23" s="3374"/>
      <c r="B23" s="3375" t="s">
        <v>1134</v>
      </c>
      <c r="C23" s="1343" t="s">
        <v>1135</v>
      </c>
    </row>
    <row r="24" spans="1:3" ht="14.25">
      <c r="A24" s="3374"/>
      <c r="B24" s="3375"/>
      <c r="C24" s="1343" t="s">
        <v>1136</v>
      </c>
    </row>
    <row r="25" spans="1:3" ht="14.25">
      <c r="A25" s="3374"/>
      <c r="B25" s="3375"/>
      <c r="C25" s="1343" t="s">
        <v>1137</v>
      </c>
    </row>
    <row r="26" spans="1:3" ht="14.25">
      <c r="A26" s="3374"/>
      <c r="B26" s="3375"/>
      <c r="C26" s="1343" t="s">
        <v>1138</v>
      </c>
    </row>
    <row r="27" spans="1:3" ht="14.25">
      <c r="A27" s="3374"/>
      <c r="B27" s="3375"/>
      <c r="C27" s="1343" t="s">
        <v>1139</v>
      </c>
    </row>
    <row r="28" spans="1:3" ht="14.25">
      <c r="A28" s="3374"/>
      <c r="B28" s="3375"/>
      <c r="C28" s="1343" t="s">
        <v>1140</v>
      </c>
    </row>
    <row r="29" spans="1:3" ht="14.25">
      <c r="A29" s="3374"/>
      <c r="B29" s="3375"/>
      <c r="C29" s="1343" t="s">
        <v>1141</v>
      </c>
    </row>
    <row r="30" spans="1:3" ht="14.25">
      <c r="A30" s="3374"/>
      <c r="B30" s="3375"/>
      <c r="C30" s="1343" t="s">
        <v>1142</v>
      </c>
    </row>
    <row r="31" spans="1:3" ht="14.25">
      <c r="A31" s="3374"/>
      <c r="B31" s="3375"/>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77" customWidth="1"/>
    <col min="2" max="2" width="38.625" style="2977" customWidth="1"/>
    <col min="3" max="3" width="26" style="2977" customWidth="1"/>
    <col min="4" max="4" width="35" style="2977" hidden="1" customWidth="1"/>
    <col min="5" max="5" width="30.125" style="2977" customWidth="1"/>
    <col min="6" max="6" width="35.5" style="2977" customWidth="1"/>
    <col min="7" max="7" width="31" style="2977" customWidth="1"/>
    <col min="8" max="8" width="37.5" style="2977" hidden="1" customWidth="1"/>
    <col min="9" max="16384" width="22.625" style="2977"/>
  </cols>
  <sheetData>
    <row r="1" spans="1:8" ht="24" customHeight="1">
      <c r="A1" s="2980"/>
      <c r="B1" s="2980"/>
      <c r="C1" s="2980"/>
      <c r="D1" s="2980"/>
      <c r="E1" s="2980"/>
      <c r="F1" s="2980"/>
      <c r="G1" s="2980"/>
      <c r="H1" s="2980"/>
    </row>
    <row r="2" spans="1:8" ht="24" customHeight="1">
      <c r="A2" s="2981" t="s">
        <v>566</v>
      </c>
      <c r="B2" s="2982">
        <f ca="1">TODAY()</f>
        <v>44677</v>
      </c>
      <c r="C2" s="2983" t="s">
        <v>567</v>
      </c>
      <c r="D2" s="2983"/>
      <c r="E2" s="2983"/>
      <c r="F2" s="2980"/>
      <c r="G2" s="2980"/>
      <c r="H2" s="2980"/>
    </row>
    <row r="3" spans="1:8" ht="24" customHeight="1">
      <c r="A3" s="2984" t="s">
        <v>568</v>
      </c>
      <c r="B3" s="2985" t="s">
        <v>569</v>
      </c>
      <c r="C3" s="2985" t="s">
        <v>570</v>
      </c>
      <c r="D3" s="2986" t="s">
        <v>590</v>
      </c>
      <c r="E3" s="2998" t="s">
        <v>571</v>
      </c>
      <c r="F3" s="1230" t="s">
        <v>572</v>
      </c>
      <c r="G3" s="2985" t="s">
        <v>570</v>
      </c>
      <c r="H3" s="2986" t="s">
        <v>591</v>
      </c>
    </row>
    <row r="4" spans="1:8" ht="24" customHeight="1">
      <c r="A4" s="1230" t="s">
        <v>573</v>
      </c>
      <c r="B4" s="1230">
        <f ca="1">IF(C4&lt;B2,"已过期",1119970066)</f>
        <v>1119970066</v>
      </c>
      <c r="C4" s="2987">
        <v>44876</v>
      </c>
      <c r="D4" s="2997" t="str">
        <f ca="1">A4&amp;"（注册号："&amp;B4&amp;"）"</f>
        <v>梁津（注册号：1119970066）</v>
      </c>
      <c r="E4" s="2999" t="s">
        <v>573</v>
      </c>
      <c r="F4" s="1230">
        <f ca="1">IF(G4&lt;B2,"已过期",96010014)</f>
        <v>96010014</v>
      </c>
      <c r="G4" s="2988">
        <v>47118</v>
      </c>
      <c r="H4" s="2989" t="str">
        <f ca="1">E4&amp;"（注册号："&amp;F4&amp;"）"</f>
        <v>梁津（注册号：96010014）</v>
      </c>
    </row>
    <row r="5" spans="1:8" ht="24" customHeight="1">
      <c r="A5" s="1230" t="s">
        <v>574</v>
      </c>
      <c r="B5" s="1230">
        <f ca="1">IF(C5&lt;B2,"已过期",1119970111)</f>
        <v>1119970111</v>
      </c>
      <c r="C5" s="2987">
        <v>44876</v>
      </c>
      <c r="D5" s="2997" t="str">
        <f t="shared" ref="D5:D14" ca="1" si="0">A5&amp;"（注册号："&amp;B5&amp;"）"</f>
        <v>叶凌（注册号：1119970111）</v>
      </c>
      <c r="E5" s="2999" t="s">
        <v>574</v>
      </c>
      <c r="F5" s="1230">
        <f ca="1">IF(G5&lt;B2,"已过期",94010078)</f>
        <v>94010078</v>
      </c>
      <c r="G5" s="2988">
        <v>46387</v>
      </c>
      <c r="H5" s="2989" t="str">
        <f t="shared" ref="H5:H16" ca="1" si="1">E5&amp;"（注册号："&amp;F5&amp;"）"</f>
        <v>叶凌（注册号：94010078）</v>
      </c>
    </row>
    <row r="6" spans="1:8" ht="24" customHeight="1">
      <c r="A6" s="1230" t="s">
        <v>575</v>
      </c>
      <c r="B6" s="1230">
        <f ca="1">IF(C6&lt;B2,"已过期",1120050019)</f>
        <v>1120050019</v>
      </c>
      <c r="C6" s="2987">
        <v>45410</v>
      </c>
      <c r="D6" s="2997" t="str">
        <f t="shared" ca="1" si="0"/>
        <v>王鹏（注册号：1120050019）</v>
      </c>
      <c r="E6" s="2999" t="s">
        <v>575</v>
      </c>
      <c r="F6" s="1230">
        <f ca="1">IF(G6&lt;B2,"已过期",2002110030)</f>
        <v>2002110030</v>
      </c>
      <c r="G6" s="2988">
        <v>46387</v>
      </c>
      <c r="H6" s="2989" t="str">
        <f t="shared" ca="1" si="1"/>
        <v>王鹏（注册号：2002110030）</v>
      </c>
    </row>
    <row r="7" spans="1:8" ht="24" customHeight="1">
      <c r="A7" s="1230" t="s">
        <v>576</v>
      </c>
      <c r="B7" s="1230">
        <f ca="1">IF(C7&lt;B2,"已过期",1120000080)</f>
        <v>1120000080</v>
      </c>
      <c r="C7" s="2987">
        <v>44876</v>
      </c>
      <c r="D7" s="2997" t="str">
        <f t="shared" ca="1" si="0"/>
        <v>欧红伟（注册号：1120000080）</v>
      </c>
      <c r="E7" s="2999" t="s">
        <v>576</v>
      </c>
      <c r="F7" s="1230">
        <f ca="1">IF(G7&lt;B2,"已过期",2000110082)</f>
        <v>2000110082</v>
      </c>
      <c r="G7" s="2988">
        <v>46387</v>
      </c>
      <c r="H7" s="2989" t="str">
        <f t="shared" ca="1" si="1"/>
        <v>欧红伟（注册号：2000110082）</v>
      </c>
    </row>
    <row r="8" spans="1:8" ht="24" customHeight="1">
      <c r="A8" s="1230" t="s">
        <v>577</v>
      </c>
      <c r="B8" s="1230">
        <f ca="1">IF(C8&lt;B2,"已过期",1419970001)</f>
        <v>1419970001</v>
      </c>
      <c r="C8" s="2987">
        <v>44899</v>
      </c>
      <c r="D8" s="2997" t="str">
        <f t="shared" ca="1" si="0"/>
        <v>吴薇（注册号：1419970001）</v>
      </c>
      <c r="E8" s="2999" t="s">
        <v>577</v>
      </c>
      <c r="F8" s="1230">
        <f ca="1">IF(G8&lt;B2,"已过期",2002110125)</f>
        <v>2002110125</v>
      </c>
      <c r="G8" s="2988">
        <v>47118</v>
      </c>
      <c r="H8" s="2989" t="str">
        <f t="shared" ca="1" si="1"/>
        <v>吴薇（注册号：2002110125）</v>
      </c>
    </row>
    <row r="9" spans="1:8" ht="24" customHeight="1">
      <c r="A9" s="1230" t="s">
        <v>578</v>
      </c>
      <c r="B9" s="1230">
        <f ca="1">IF(C9&lt;B2,"已过期",1120060040)</f>
        <v>1120060040</v>
      </c>
      <c r="C9" s="2990">
        <v>45592</v>
      </c>
      <c r="D9" s="2997" t="str">
        <f t="shared" ca="1" si="0"/>
        <v>陈颖（注册号：1120060040）</v>
      </c>
      <c r="E9" s="2999" t="s">
        <v>578</v>
      </c>
      <c r="F9" s="1230">
        <f ca="1">IF(G9&lt;B2,"已过期",2004110096)</f>
        <v>2004110096</v>
      </c>
      <c r="G9" s="2988">
        <v>47118</v>
      </c>
      <c r="H9" s="2989" t="str">
        <f t="shared" ca="1" si="1"/>
        <v>陈颖（注册号：2004110096）</v>
      </c>
    </row>
    <row r="10" spans="1:8" ht="24" customHeight="1">
      <c r="A10" s="1230" t="s">
        <v>579</v>
      </c>
      <c r="B10" s="1230" t="str">
        <f ca="1">IF(C10&lt;B2,"已过期",1120100036)</f>
        <v>已过期</v>
      </c>
      <c r="C10" s="2990">
        <v>44675</v>
      </c>
      <c r="D10" s="2997" t="str">
        <f t="shared" ca="1" si="0"/>
        <v>崔锴（注册号：已过期）</v>
      </c>
      <c r="E10" s="2999" t="s">
        <v>579</v>
      </c>
      <c r="F10" s="1230">
        <f ca="1">IF(G10&lt;B2,"已过期",2010110070)</f>
        <v>2010110070</v>
      </c>
      <c r="G10" s="2988">
        <v>47907</v>
      </c>
      <c r="H10" s="2989" t="str">
        <f t="shared" ca="1" si="1"/>
        <v>崔锴（注册号：2010110070）</v>
      </c>
    </row>
    <row r="11" spans="1:8" ht="24" customHeight="1">
      <c r="A11" s="1230" t="s">
        <v>580</v>
      </c>
      <c r="B11" s="1230">
        <f ca="1">IF(C11&lt;B2,"已过期",1120070131)</f>
        <v>1120070131</v>
      </c>
      <c r="C11" s="2987">
        <v>44849</v>
      </c>
      <c r="D11" s="2997" t="str">
        <f t="shared" ca="1" si="0"/>
        <v>郑燚（注册号：1120070131）</v>
      </c>
      <c r="E11" s="2999" t="s">
        <v>580</v>
      </c>
      <c r="F11" s="1230">
        <f ca="1">IF(G11&lt;B2,"已过期",2014110011)</f>
        <v>2014110011</v>
      </c>
      <c r="G11" s="2988">
        <v>49302</v>
      </c>
      <c r="H11" s="2989" t="str">
        <f t="shared" ca="1" si="1"/>
        <v>郑燚（注册号：2014110011）</v>
      </c>
    </row>
    <row r="12" spans="1:8" ht="24" customHeight="1">
      <c r="A12" s="1230" t="s">
        <v>2473</v>
      </c>
      <c r="B12" s="1230">
        <f ca="1">IF(C12&lt;B2,"已过期",1120040230)</f>
        <v>1120040230</v>
      </c>
      <c r="C12" s="2990">
        <v>44864</v>
      </c>
      <c r="D12" s="2997" t="str">
        <f t="shared" ca="1" si="0"/>
        <v>苏海（注册号：1120040230）</v>
      </c>
      <c r="E12" s="2999" t="s">
        <v>2473</v>
      </c>
      <c r="F12" s="1230">
        <f ca="1">IF(G12&lt;B2,"已过期",98030020)</f>
        <v>98030020</v>
      </c>
      <c r="G12" s="2988">
        <v>47118</v>
      </c>
      <c r="H12" s="2989" t="str">
        <f t="shared" ca="1" si="1"/>
        <v>苏海（注册号：98030020）</v>
      </c>
    </row>
    <row r="13" spans="1:8" ht="24" customHeight="1">
      <c r="A13" s="1230" t="s">
        <v>581</v>
      </c>
      <c r="B13" s="1230" t="str">
        <f ca="1">IF(C13&lt;B2,"已过期",1120020033)</f>
        <v>已过期</v>
      </c>
      <c r="C13" s="2987">
        <v>44339</v>
      </c>
      <c r="D13" s="2997" t="str">
        <f t="shared" ca="1" si="0"/>
        <v>刘敬东（注册号：已过期）</v>
      </c>
      <c r="E13" s="2999" t="s">
        <v>581</v>
      </c>
      <c r="F13" s="1230">
        <f ca="1">IF(G13&lt;B2,"已过期",2000110137)</f>
        <v>2000110137</v>
      </c>
      <c r="G13" s="2988">
        <v>46387</v>
      </c>
      <c r="H13" s="2989" t="str">
        <f t="shared" ca="1" si="1"/>
        <v>刘敬东（注册号：2000110137）</v>
      </c>
    </row>
    <row r="14" spans="1:8" ht="24" customHeight="1">
      <c r="A14" s="1230" t="s">
        <v>2489</v>
      </c>
      <c r="B14" s="1230">
        <f ca="1">IF(C14&lt;B2,"已过期",1119980106)</f>
        <v>1119980106</v>
      </c>
      <c r="C14" s="2990">
        <v>44969</v>
      </c>
      <c r="D14" s="2997" t="str">
        <f t="shared" ca="1" si="0"/>
        <v>刘俊财（注册号：1119980106）</v>
      </c>
      <c r="E14" s="2999" t="s">
        <v>2589</v>
      </c>
      <c r="F14" s="1230">
        <f ca="1">IF(G14&lt;B2,"已过期",96010063)</f>
        <v>96010063</v>
      </c>
      <c r="G14" s="2988">
        <v>47483</v>
      </c>
      <c r="H14" s="2989" t="str">
        <f t="shared" ca="1" si="1"/>
        <v>刘俊财（注册号：96010063）</v>
      </c>
    </row>
    <row r="15" spans="1:8" ht="24" customHeight="1">
      <c r="A15" s="1230" t="s">
        <v>2801</v>
      </c>
      <c r="B15" s="1230">
        <v>1120210056</v>
      </c>
      <c r="C15" s="2990">
        <v>45410</v>
      </c>
      <c r="D15" s="2997" t="str">
        <f t="shared" ref="D15" si="2">A15&amp;"（注册号："&amp;B15&amp;"）"</f>
        <v>宁小鳗（注册号：1120210056）</v>
      </c>
      <c r="E15" s="2999" t="s">
        <v>2592</v>
      </c>
      <c r="F15" s="1230">
        <f ca="1">IF(G15&lt;B2,"已过期",2011110090)</f>
        <v>2011110090</v>
      </c>
      <c r="G15" s="2988">
        <v>48302</v>
      </c>
      <c r="H15" s="2989" t="str">
        <f t="shared" ref="H15" ca="1" si="3">E15&amp;"（注册号："&amp;F15&amp;"）"</f>
        <v>赵雯（注册号：2011110090）</v>
      </c>
    </row>
    <row r="16" spans="1:8" s="2978" customFormat="1" ht="24" customHeight="1">
      <c r="A16" s="1230"/>
      <c r="B16" s="1230"/>
      <c r="C16" s="1230"/>
      <c r="D16" s="2997" t="str">
        <f>A16&amp;"（注册号："&amp;B16&amp;"）"</f>
        <v>（注册号：）</v>
      </c>
      <c r="E16" s="2999"/>
      <c r="F16" s="1230"/>
      <c r="G16" s="1230"/>
      <c r="H16" s="2991" t="str">
        <f t="shared" si="1"/>
        <v>（注册号：）</v>
      </c>
    </row>
    <row r="17" spans="1:8" ht="24" customHeight="1">
      <c r="A17" s="3379" t="s">
        <v>582</v>
      </c>
      <c r="B17" s="3379"/>
      <c r="C17" s="3379"/>
      <c r="D17" s="3379"/>
      <c r="E17" s="3379"/>
      <c r="F17" s="3379"/>
      <c r="G17" s="3379"/>
      <c r="H17" s="3379"/>
    </row>
    <row r="18" spans="1:8" ht="24" customHeight="1">
      <c r="A18" s="3380" t="s">
        <v>583</v>
      </c>
      <c r="B18" s="3380"/>
      <c r="C18" s="3380"/>
      <c r="D18" s="2986"/>
      <c r="E18" s="3381" t="s">
        <v>584</v>
      </c>
      <c r="F18" s="3380"/>
      <c r="G18" s="3380"/>
    </row>
    <row r="19" spans="1:8" s="2976" customFormat="1" ht="24" customHeight="1">
      <c r="A19" s="2992" t="s">
        <v>585</v>
      </c>
      <c r="B19" s="2985" t="s">
        <v>586</v>
      </c>
      <c r="C19" s="2985" t="s">
        <v>587</v>
      </c>
      <c r="D19" s="2986"/>
      <c r="E19" s="2999" t="s">
        <v>585</v>
      </c>
      <c r="F19" s="2985" t="s">
        <v>586</v>
      </c>
      <c r="G19" s="2985" t="s">
        <v>587</v>
      </c>
    </row>
    <row r="20" spans="1:8" s="2976" customFormat="1" ht="24" customHeight="1">
      <c r="A20" s="2993" t="s">
        <v>2590</v>
      </c>
      <c r="B20" s="2993" t="s">
        <v>2591</v>
      </c>
      <c r="C20" s="2988">
        <v>44820</v>
      </c>
      <c r="D20" s="3000"/>
      <c r="E20" s="3002" t="s">
        <v>588</v>
      </c>
      <c r="F20" s="2995" t="s">
        <v>2802</v>
      </c>
      <c r="G20" s="2996">
        <v>44926</v>
      </c>
    </row>
    <row r="21" spans="1:8" s="2976" customFormat="1" ht="24" customHeight="1">
      <c r="A21" s="2993"/>
      <c r="B21" s="2993"/>
      <c r="C21" s="2994"/>
      <c r="D21" s="3001"/>
      <c r="E21" s="3002"/>
      <c r="F21" s="2995"/>
      <c r="G21" s="2996"/>
    </row>
    <row r="22" spans="1:8" ht="24" customHeight="1">
      <c r="C22" s="2979"/>
      <c r="D22" s="2979"/>
      <c r="E22" s="3003"/>
      <c r="F22" s="3004"/>
      <c r="G22" s="3005"/>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c r="A7" s="1348" t="s">
        <v>1224</v>
      </c>
      <c r="B7" s="1350" t="s">
        <v>1225</v>
      </c>
      <c r="C7" s="1349" t="s">
        <v>1226</v>
      </c>
      <c r="F7" s="7" t="s">
        <v>1227</v>
      </c>
      <c r="H7" s="7" t="s">
        <v>1228</v>
      </c>
      <c r="I7" s="7" t="s">
        <v>1229</v>
      </c>
      <c r="X7" s="1351"/>
    </row>
    <row r="8" spans="1:25">
      <c r="A8" s="1348" t="s">
        <v>1230</v>
      </c>
      <c r="B8" s="1350" t="s">
        <v>1231</v>
      </c>
      <c r="C8" s="1349" t="s">
        <v>1232</v>
      </c>
      <c r="F8" s="7" t="s">
        <v>1233</v>
      </c>
      <c r="H8" s="7" t="s">
        <v>1234</v>
      </c>
      <c r="I8" s="7" t="s">
        <v>1235</v>
      </c>
      <c r="X8" s="1351"/>
    </row>
    <row r="9" spans="1:25">
      <c r="A9" s="1348" t="s">
        <v>1236</v>
      </c>
      <c r="B9" s="1348" t="s">
        <v>1237</v>
      </c>
      <c r="C9" s="1349" t="s">
        <v>1238</v>
      </c>
      <c r="F9" s="7" t="s">
        <v>1239</v>
      </c>
      <c r="H9" s="7" t="s">
        <v>1240</v>
      </c>
    </row>
    <row r="10" spans="1:25">
      <c r="A10" s="1348" t="s">
        <v>1241</v>
      </c>
      <c r="B10" s="1348" t="s">
        <v>1242</v>
      </c>
      <c r="C10" s="1349" t="s">
        <v>1243</v>
      </c>
      <c r="F10" s="7" t="s">
        <v>13</v>
      </c>
    </row>
    <row r="11" spans="1:25">
      <c r="A11" s="1348" t="s">
        <v>1244</v>
      </c>
      <c r="B11" s="1348" t="s">
        <v>1245</v>
      </c>
      <c r="C11" s="1349" t="s">
        <v>1246</v>
      </c>
    </row>
    <row r="12" spans="1:25">
      <c r="A12" s="1348" t="s">
        <v>1247</v>
      </c>
      <c r="B12" s="1348" t="s">
        <v>1248</v>
      </c>
      <c r="C12" s="1349" t="s">
        <v>1249</v>
      </c>
    </row>
    <row r="13" spans="1:25">
      <c r="A13" s="1348" t="s">
        <v>1250</v>
      </c>
      <c r="B13" s="1348" t="s">
        <v>1251</v>
      </c>
      <c r="C13" s="1349" t="s">
        <v>1252</v>
      </c>
    </row>
    <row r="14" spans="1:25">
      <c r="A14" s="1348" t="s">
        <v>1253</v>
      </c>
      <c r="B14" s="1348" t="s">
        <v>1254</v>
      </c>
      <c r="C14" s="1349"/>
    </row>
    <row r="15" spans="1:25">
      <c r="A15" s="1348" t="s">
        <v>1255</v>
      </c>
      <c r="B15" s="1348" t="s">
        <v>1256</v>
      </c>
      <c r="C15" s="1349"/>
    </row>
    <row r="16" spans="1:25">
      <c r="A16" s="1348" t="s">
        <v>1257</v>
      </c>
      <c r="B16" s="1348" t="s">
        <v>1258</v>
      </c>
      <c r="C16" s="1349"/>
    </row>
    <row r="17" spans="1:3">
      <c r="A17" s="1348" t="s">
        <v>1259</v>
      </c>
      <c r="B17" s="1348" t="s">
        <v>1260</v>
      </c>
      <c r="C17" s="1349"/>
    </row>
    <row r="18" spans="1:3">
      <c r="A18" s="1348" t="s">
        <v>1261</v>
      </c>
      <c r="B18" s="1348" t="s">
        <v>1262</v>
      </c>
      <c r="C18" s="1349"/>
    </row>
    <row r="19" spans="1:3">
      <c r="A19" s="1348" t="s">
        <v>1263</v>
      </c>
      <c r="B19" s="1348" t="s">
        <v>1264</v>
      </c>
      <c r="C19" s="1349"/>
    </row>
    <row r="20" spans="1:3">
      <c r="A20" s="1348" t="s">
        <v>1265</v>
      </c>
      <c r="B20" s="1348" t="s">
        <v>2790</v>
      </c>
      <c r="C20" s="1349"/>
    </row>
    <row r="21" spans="1:3">
      <c r="A21" s="1348" t="s">
        <v>1266</v>
      </c>
      <c r="B21" s="1348" t="s">
        <v>560</v>
      </c>
      <c r="C21" s="1349"/>
    </row>
    <row r="22" spans="1:3">
      <c r="A22" s="1348" t="s">
        <v>1267</v>
      </c>
      <c r="B22" s="1348" t="s">
        <v>560</v>
      </c>
      <c r="C22" s="1349"/>
    </row>
    <row r="23" spans="1:3">
      <c r="A23" s="1348" t="s">
        <v>1268</v>
      </c>
      <c r="B23" s="1348" t="s">
        <v>560</v>
      </c>
      <c r="C23" s="1349"/>
    </row>
    <row r="24" spans="1:3">
      <c r="A24" s="1348" t="s">
        <v>1269</v>
      </c>
      <c r="B24" s="1348" t="s">
        <v>560</v>
      </c>
      <c r="C24" s="1349"/>
    </row>
    <row r="25" spans="1:3">
      <c r="A25" s="1348" t="s">
        <v>1270</v>
      </c>
      <c r="B25" s="1348" t="s">
        <v>560</v>
      </c>
      <c r="C25" s="1349"/>
    </row>
    <row r="26" spans="1:3">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c r="A52" s="1352" t="s">
        <v>1274</v>
      </c>
      <c r="B52" s="1352" t="s">
        <v>1275</v>
      </c>
      <c r="C52" s="9" t="s">
        <v>1276</v>
      </c>
      <c r="D52" s="9" t="s">
        <v>1277</v>
      </c>
    </row>
    <row r="53" spans="1:4" ht="14.25" customHeight="1">
      <c r="A53" s="3382"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本次估价的“房地产价值”是指在正常市场情况下，在价值时点2022年4月24日，估价对象规划用途为，假定未设立法定优先受偿款下的房地产市场价值。</v>
      </c>
    </row>
    <row r="54" spans="1:4">
      <c r="A54" s="3382"/>
      <c r="B54" s="9" t="s">
        <v>1280</v>
      </c>
      <c r="C54" s="9" t="s">
        <v>1281</v>
      </c>
    </row>
    <row r="55" spans="1:4">
      <c r="A55" s="3382"/>
      <c r="B55" s="9" t="s">
        <v>1282</v>
      </c>
      <c r="C55" s="9" t="s">
        <v>1283</v>
      </c>
    </row>
    <row r="56" spans="1:4">
      <c r="A56" s="3382"/>
      <c r="B56" s="9" t="s">
        <v>1284</v>
      </c>
      <c r="C56" s="9" t="s">
        <v>1285</v>
      </c>
    </row>
    <row r="57" spans="1:4">
      <c r="A57" s="3382"/>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15" zoomScaleNormal="100" zoomScaleSheetLayoutView="115" workbookViewId="0">
      <selection activeCell="F9" sqref="F9"/>
    </sheetView>
  </sheetViews>
  <sheetFormatPr defaultColWidth="10" defaultRowHeight="12.75"/>
  <cols>
    <col min="1" max="1" width="18.625" style="785" customWidth="1"/>
    <col min="2" max="2" width="15" style="785" customWidth="1"/>
    <col min="3" max="3" width="14.125" style="785" customWidth="1"/>
    <col min="4" max="4" width="12.5" style="785" customWidth="1"/>
    <col min="5" max="5" width="13.875" style="785" customWidth="1"/>
    <col min="6" max="6" width="15" style="785" customWidth="1"/>
    <col min="7" max="7" width="14.875" style="785" customWidth="1"/>
    <col min="8" max="8" width="4.25" style="2821" customWidth="1"/>
    <col min="9" max="10" width="10" style="2821" customWidth="1"/>
    <col min="11" max="13" width="10" style="2822" customWidth="1"/>
    <col min="14" max="15" width="10" style="2821" customWidth="1"/>
    <col min="16" max="17" width="10" style="2821"/>
    <col min="18" max="18" width="10" style="2821" customWidth="1"/>
    <col min="19" max="66" width="10" style="2821"/>
    <col min="67" max="16384" width="10" style="785"/>
  </cols>
  <sheetData>
    <row r="1" spans="1:17" ht="13.5" thickBot="1">
      <c r="A1" s="2508" t="s">
        <v>1288</v>
      </c>
      <c r="B1" s="2509" t="str">
        <f>IF(B6="北京市","北京市",C6)&amp;IF(E12="房屋所有权证",B29,E29)&amp;D5&amp;"预评估"</f>
        <v>北京市房地产抵押价值预评估</v>
      </c>
      <c r="C1" s="781"/>
      <c r="D1" s="781"/>
      <c r="E1" s="781"/>
      <c r="F1" s="1354" t="s">
        <v>1289</v>
      </c>
      <c r="G1" s="1120"/>
      <c r="I1" s="2836" t="str">
        <f>IF(B6="北京市","北京市",C6)&amp;IF(E12="房屋所有权证",B29,E29)&amp;"房地产"</f>
        <v>北京市房地产</v>
      </c>
      <c r="J1" s="758"/>
      <c r="K1" s="2838"/>
      <c r="L1" s="2838"/>
      <c r="M1" s="2838"/>
      <c r="N1" s="758"/>
      <c r="O1" s="758"/>
      <c r="P1" s="758"/>
      <c r="Q1" s="758"/>
    </row>
    <row r="2" spans="1:17" ht="13.5" thickTop="1">
      <c r="A2" s="1355" t="s">
        <v>1290</v>
      </c>
      <c r="B2" s="2510"/>
      <c r="C2" s="2808" t="s">
        <v>1291</v>
      </c>
      <c r="D2" s="2510">
        <v>44675</v>
      </c>
      <c r="E2" s="782"/>
      <c r="F2" s="782"/>
      <c r="G2" s="1121"/>
      <c r="H2" s="2820"/>
    </row>
    <row r="3" spans="1:17" ht="13.5" thickBot="1">
      <c r="A3" s="2511" t="s">
        <v>1292</v>
      </c>
      <c r="B3" s="2512"/>
      <c r="C3" s="2513">
        <f>SUMIF(注册房地产估价师,B3,估价师及机构信息!B3:B16)</f>
        <v>0</v>
      </c>
      <c r="D3" s="2512"/>
      <c r="E3" s="2514">
        <f>SUMIF(注册房地产估价师,D3,估价师及机构信息!B3:B16)</f>
        <v>0</v>
      </c>
      <c r="F3" s="783"/>
      <c r="G3" s="1122"/>
      <c r="H3" s="2820"/>
    </row>
    <row r="4" spans="1:17" ht="13.5" customHeight="1" thickTop="1">
      <c r="A4" s="1355" t="s">
        <v>1293</v>
      </c>
      <c r="B4" s="1356" t="s">
        <v>2479</v>
      </c>
      <c r="C4" s="2809" t="s">
        <v>1294</v>
      </c>
      <c r="D4" s="1357" t="s">
        <v>3031</v>
      </c>
      <c r="E4" s="782"/>
      <c r="F4" s="782"/>
      <c r="G4" s="1121"/>
    </row>
    <row r="5" spans="1:17">
      <c r="A5" s="1358" t="s">
        <v>1295</v>
      </c>
      <c r="B5" s="1359" t="s">
        <v>2480</v>
      </c>
      <c r="C5" s="2810" t="s">
        <v>1296</v>
      </c>
      <c r="D5" s="1361" t="s">
        <v>3032</v>
      </c>
      <c r="E5" s="2811" t="s">
        <v>1297</v>
      </c>
      <c r="F5" s="1361" t="s">
        <v>3032</v>
      </c>
      <c r="G5" s="1362"/>
      <c r="I5" s="2836" t="str">
        <f>IF(C16="否","截至估价时点，估价对象抵押权未见登记。","截至价值时点，估价对象已设定抵押。")</f>
        <v>截至价值时点，估价对象已设定抵押。</v>
      </c>
      <c r="J5" s="758"/>
      <c r="K5" s="2838"/>
      <c r="L5" s="2838"/>
      <c r="M5" s="2838"/>
      <c r="N5" s="758"/>
      <c r="O5" s="758"/>
      <c r="P5" s="758"/>
      <c r="Q5" s="758"/>
    </row>
    <row r="6" spans="1:17">
      <c r="A6" s="2812" t="s">
        <v>1298</v>
      </c>
      <c r="B6" s="2515" t="s">
        <v>3033</v>
      </c>
      <c r="C6" s="2516" t="s">
        <v>2481</v>
      </c>
      <c r="D6" s="2517" t="s">
        <v>1299</v>
      </c>
      <c r="E6" s="769"/>
      <c r="F6" s="769"/>
      <c r="G6" s="788"/>
      <c r="I6" s="758" t="str">
        <f>IF(COUNTIF(B5,"*上海银行*"),"上海银行","")</f>
        <v/>
      </c>
      <c r="J6" s="758"/>
      <c r="K6" s="2838"/>
      <c r="L6" s="2838"/>
      <c r="M6" s="2838"/>
      <c r="N6" s="758"/>
      <c r="O6" s="758"/>
      <c r="P6" s="758"/>
      <c r="Q6" s="758"/>
    </row>
    <row r="7" spans="1:17" ht="13.5" thickBot="1">
      <c r="A7" s="2813" t="s">
        <v>1300</v>
      </c>
      <c r="B7" s="2518" t="s">
        <v>3034</v>
      </c>
      <c r="C7" s="1453" t="str">
        <f>IF(B7="自然人","姓名","名称")</f>
        <v>名称</v>
      </c>
      <c r="D7" s="1366" t="s">
        <v>2480</v>
      </c>
      <c r="E7" s="783"/>
      <c r="F7" s="783"/>
      <c r="G7" s="1122"/>
    </row>
    <row r="8" spans="1:17" ht="13.5" thickTop="1">
      <c r="A8" s="3383" t="s">
        <v>1301</v>
      </c>
      <c r="B8" s="1367" t="s">
        <v>1302</v>
      </c>
      <c r="C8" s="3396"/>
      <c r="D8" s="3397"/>
      <c r="E8" s="2519" t="s">
        <v>1303</v>
      </c>
      <c r="F8" s="2520" t="s">
        <v>1304</v>
      </c>
      <c r="G8" s="2521" t="str">
        <f>C6</f>
        <v>XX</v>
      </c>
    </row>
    <row r="9" spans="1:17" ht="25.5">
      <c r="A9" s="3383"/>
      <c r="B9" s="259" t="s">
        <v>1305</v>
      </c>
      <c r="C9" s="1359"/>
      <c r="D9" s="1368" t="s">
        <v>3035</v>
      </c>
      <c r="E9" s="2814" t="s">
        <v>1306</v>
      </c>
      <c r="F9" s="2522"/>
      <c r="G9" s="2523"/>
    </row>
    <row r="10" spans="1:17" ht="13.5" thickBot="1">
      <c r="A10" s="3383"/>
      <c r="B10" s="259" t="s">
        <v>1307</v>
      </c>
      <c r="C10" s="3398"/>
      <c r="D10" s="3399"/>
      <c r="E10" s="2815" t="s">
        <v>1308</v>
      </c>
      <c r="F10" s="2524"/>
      <c r="G10" s="2525"/>
    </row>
    <row r="11" spans="1:17" ht="13.5" thickBot="1">
      <c r="A11" s="3383"/>
      <c r="B11" s="1370" t="s">
        <v>1309</v>
      </c>
      <c r="C11" s="3400"/>
      <c r="D11" s="3401"/>
      <c r="E11" s="769"/>
      <c r="F11" s="769"/>
      <c r="G11" s="788"/>
    </row>
    <row r="12" spans="1:17" ht="13.5" thickBot="1">
      <c r="A12" s="3387" t="s">
        <v>2587</v>
      </c>
      <c r="B12" s="2816" t="s">
        <v>1310</v>
      </c>
      <c r="C12" s="766">
        <v>73.739999999999995</v>
      </c>
      <c r="D12" s="1371" t="s">
        <v>1311</v>
      </c>
      <c r="E12" s="1372" t="s">
        <v>3036</v>
      </c>
      <c r="F12" s="1373"/>
      <c r="G12" s="788"/>
    </row>
    <row r="13" spans="1:17" ht="21" customHeight="1" thickBot="1">
      <c r="A13" s="3388"/>
      <c r="B13" s="2817" t="s">
        <v>1312</v>
      </c>
      <c r="C13" s="767"/>
      <c r="D13" s="1374" t="s">
        <v>1313</v>
      </c>
      <c r="E13" s="1375" t="s">
        <v>3036</v>
      </c>
      <c r="F13" s="769"/>
      <c r="G13" s="788"/>
      <c r="I13" s="3406" t="s">
        <v>1314</v>
      </c>
      <c r="J13" s="2837" t="str">
        <f>"根据估价对象"&amp;IF(B19="——",B18&amp;C18,B18&amp;C18&amp;"、"&amp;B19&amp;C19)&amp;"，"&amp;IF(C16="是","截至价值时点，估价对象已设定抵押。","截至价值时点，估价对象抵押权未见登记。")</f>
        <v>根据估价对象《不动产权证书》复印件、，截至价值时点，估价对象已设定抵押。</v>
      </c>
      <c r="K13" s="2838"/>
      <c r="L13" s="2838"/>
      <c r="M13" s="2838"/>
      <c r="N13" s="758"/>
      <c r="O13" s="758"/>
      <c r="P13" s="758"/>
      <c r="Q13" s="758"/>
    </row>
    <row r="14" spans="1:17" ht="13.5" thickBot="1">
      <c r="A14" s="2526"/>
      <c r="B14" s="2831" t="s">
        <v>2588</v>
      </c>
      <c r="C14" s="2527"/>
      <c r="D14" s="769"/>
      <c r="E14" s="769"/>
      <c r="F14" s="769"/>
      <c r="G14" s="788"/>
      <c r="I14" s="3406"/>
      <c r="J14" s="283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8"/>
      <c r="L14" s="2838"/>
      <c r="M14" s="2838"/>
      <c r="N14" s="758"/>
      <c r="O14" s="758"/>
      <c r="P14" s="758"/>
      <c r="Q14" s="758"/>
    </row>
    <row r="15" spans="1:17" ht="13.5" thickBot="1">
      <c r="A15" s="2528"/>
      <c r="B15" s="2818" t="s">
        <v>1315</v>
      </c>
      <c r="C15" s="784"/>
      <c r="D15" s="783"/>
      <c r="E15" s="783"/>
      <c r="F15" s="783"/>
      <c r="G15" s="1122"/>
      <c r="I15" s="3406"/>
      <c r="J15" s="283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8"/>
      <c r="L15" s="2838"/>
      <c r="M15" s="2838"/>
      <c r="N15" s="758"/>
      <c r="O15" s="758"/>
      <c r="P15" s="758"/>
      <c r="Q15" s="758"/>
    </row>
    <row r="16" spans="1:17" ht="27" thickTop="1" thickBot="1">
      <c r="A16" s="2526" t="s">
        <v>1316</v>
      </c>
      <c r="B16" s="1376" t="s">
        <v>1317</v>
      </c>
      <c r="C16" s="2529" t="s">
        <v>3037</v>
      </c>
      <c r="D16" s="1369" t="s">
        <v>1318</v>
      </c>
      <c r="E16" s="2530" t="s">
        <v>3038</v>
      </c>
      <c r="F16" s="1377" t="str">
        <f>IF(AND(C16="是",E16="否"),"是否提供他项权证或相关说明","")</f>
        <v>是否提供他项权证或相关说明</v>
      </c>
      <c r="G16" s="2530"/>
      <c r="J16" s="2820"/>
    </row>
    <row r="17" spans="1:66" ht="13.5" customHeight="1">
      <c r="A17" s="1383" t="s">
        <v>1319</v>
      </c>
      <c r="B17" s="3402" t="s">
        <v>1320</v>
      </c>
      <c r="C17" s="3403"/>
      <c r="D17" s="3404" t="s">
        <v>1321</v>
      </c>
      <c r="E17" s="3405"/>
      <c r="F17" s="1378" t="s">
        <v>1322</v>
      </c>
      <c r="G17" s="1379"/>
      <c r="J17" s="2820"/>
    </row>
    <row r="18" spans="1:66" ht="24">
      <c r="A18" s="1383"/>
      <c r="B18" s="2531" t="s">
        <v>3039</v>
      </c>
      <c r="C18" s="1362" t="s">
        <v>3040</v>
      </c>
      <c r="D18" s="1380" t="s">
        <v>1323</v>
      </c>
      <c r="E18" s="1381"/>
      <c r="F18" s="1382"/>
      <c r="G18" s="1245"/>
      <c r="H18" s="2820"/>
      <c r="J18" s="2820"/>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3"/>
      <c r="D21" s="1383" t="s">
        <v>1326</v>
      </c>
      <c r="E21" s="2537"/>
      <c r="F21" s="769"/>
      <c r="G21" s="1245"/>
    </row>
    <row r="22" spans="1:66">
      <c r="A22" s="1245"/>
      <c r="B22" s="769" t="s">
        <v>1327</v>
      </c>
      <c r="C22" s="2538"/>
      <c r="D22" s="769" t="s">
        <v>1327</v>
      </c>
      <c r="E22" s="2537"/>
      <c r="F22" s="769"/>
      <c r="G22" s="1245"/>
    </row>
    <row r="23" spans="1:66" s="2802" customFormat="1" ht="16.5" thickBot="1">
      <c r="A23" s="1246"/>
      <c r="B23" s="787" t="s">
        <v>1328</v>
      </c>
      <c r="C23" s="767"/>
      <c r="D23" s="787" t="s">
        <v>1329</v>
      </c>
      <c r="E23" s="2539"/>
      <c r="F23" s="787"/>
      <c r="G23" s="1246"/>
      <c r="H23" s="2823"/>
      <c r="I23" s="2823"/>
      <c r="J23" s="2823"/>
      <c r="K23" s="2824"/>
      <c r="L23" s="2824"/>
      <c r="M23" s="2824"/>
      <c r="N23" s="2824"/>
      <c r="O23" s="2824"/>
      <c r="P23" s="2824"/>
      <c r="Q23" s="2823"/>
      <c r="R23" s="2823"/>
      <c r="S23" s="2823"/>
      <c r="T23" s="2823"/>
      <c r="U23" s="2823"/>
      <c r="V23" s="2823"/>
      <c r="W23" s="2823"/>
      <c r="X23" s="2823"/>
      <c r="Y23" s="2823"/>
      <c r="Z23" s="2823"/>
      <c r="AA23" s="2823"/>
      <c r="AB23" s="2823"/>
      <c r="AC23" s="2823"/>
      <c r="AD23" s="2823"/>
      <c r="AE23" s="2823"/>
      <c r="AF23" s="2823"/>
      <c r="AG23" s="2823"/>
      <c r="AH23" s="2823"/>
      <c r="AI23" s="2823"/>
      <c r="AJ23" s="2823"/>
      <c r="AK23" s="2823"/>
      <c r="AL23" s="2823"/>
      <c r="AM23" s="2823"/>
      <c r="AN23" s="2823"/>
      <c r="AO23" s="2823"/>
      <c r="AP23" s="2823"/>
      <c r="AQ23" s="2823"/>
      <c r="AR23" s="2823"/>
      <c r="AS23" s="2823"/>
      <c r="AT23" s="2823"/>
      <c r="AU23" s="2823"/>
      <c r="AV23" s="2823"/>
      <c r="AW23" s="2823"/>
      <c r="AX23" s="2823"/>
      <c r="AY23" s="2823"/>
      <c r="AZ23" s="2823"/>
      <c r="BA23" s="2823"/>
      <c r="BB23" s="2823"/>
      <c r="BC23" s="2823"/>
      <c r="BD23" s="2823"/>
      <c r="BE23" s="2823"/>
      <c r="BF23" s="2823"/>
      <c r="BG23" s="2823"/>
      <c r="BH23" s="2823"/>
      <c r="BI23" s="2823"/>
      <c r="BJ23" s="2823"/>
      <c r="BK23" s="2823"/>
      <c r="BL23" s="2823"/>
      <c r="BM23" s="2823"/>
      <c r="BN23" s="2823"/>
    </row>
    <row r="24" spans="1:66" s="2819" customFormat="1" ht="18" customHeight="1" thickBot="1">
      <c r="A24" s="3415" t="s">
        <v>2586</v>
      </c>
      <c r="B24" s="3415"/>
      <c r="C24" s="3415"/>
      <c r="D24" s="3415"/>
      <c r="E24" s="3415"/>
      <c r="F24" s="3415"/>
      <c r="G24" s="3415"/>
      <c r="H24" s="2825"/>
      <c r="I24" s="2825"/>
      <c r="J24" s="2825"/>
      <c r="K24" s="2826"/>
      <c r="L24" s="2826"/>
      <c r="M24" s="2826"/>
      <c r="N24" s="2826"/>
      <c r="O24" s="2826"/>
      <c r="P24" s="2826"/>
      <c r="Q24" s="2827"/>
      <c r="R24" s="2827"/>
      <c r="S24" s="2827"/>
      <c r="T24" s="2827"/>
      <c r="U24" s="2827"/>
      <c r="V24" s="2827"/>
      <c r="W24" s="2827"/>
      <c r="X24" s="2827"/>
      <c r="Y24" s="2827"/>
      <c r="Z24" s="2827"/>
      <c r="AA24" s="2827"/>
      <c r="AB24" s="2827"/>
      <c r="AC24" s="2827"/>
      <c r="AD24" s="2827"/>
      <c r="AE24" s="2827"/>
      <c r="AF24" s="2827"/>
      <c r="AG24" s="2827"/>
      <c r="AH24" s="2827"/>
      <c r="AI24" s="2827"/>
      <c r="AJ24" s="2827"/>
      <c r="AK24" s="2827"/>
      <c r="AL24" s="2827"/>
      <c r="AM24" s="2827"/>
      <c r="AN24" s="2827"/>
      <c r="AO24" s="2827"/>
      <c r="AP24" s="2827"/>
      <c r="AQ24" s="2827"/>
      <c r="AR24" s="2827"/>
      <c r="AS24" s="2827"/>
      <c r="AT24" s="2827"/>
      <c r="AU24" s="2827"/>
      <c r="AV24" s="2827"/>
      <c r="AW24" s="2827"/>
      <c r="AX24" s="2827"/>
      <c r="AY24" s="2827"/>
      <c r="AZ24" s="2827"/>
      <c r="BA24" s="2827"/>
      <c r="BB24" s="2827"/>
      <c r="BC24" s="2827"/>
      <c r="BD24" s="2827"/>
      <c r="BE24" s="2827"/>
      <c r="BF24" s="2827"/>
      <c r="BG24" s="2827"/>
      <c r="BH24" s="2827"/>
      <c r="BI24" s="2827"/>
      <c r="BJ24" s="2827"/>
      <c r="BK24" s="2827"/>
      <c r="BL24" s="2827"/>
      <c r="BM24" s="2827"/>
      <c r="BN24" s="2827"/>
    </row>
    <row r="25" spans="1:66" ht="14.25" thickTop="1" thickBot="1">
      <c r="A25" s="786" t="s">
        <v>1330</v>
      </c>
      <c r="B25" s="769"/>
      <c r="C25" s="769"/>
      <c r="D25" s="769"/>
      <c r="E25" s="769"/>
      <c r="F25" s="769"/>
      <c r="G25" s="1246"/>
      <c r="K25" s="2821"/>
    </row>
    <row r="26" spans="1:66" s="794" customFormat="1" ht="13.5" thickBot="1">
      <c r="A26" s="2540"/>
      <c r="B26" s="765" t="s">
        <v>1331</v>
      </c>
      <c r="C26" s="2540"/>
      <c r="D26" s="765"/>
      <c r="E26" s="2541" t="s">
        <v>1332</v>
      </c>
      <c r="F26" s="2540"/>
      <c r="G26" s="2542" t="s">
        <v>1333</v>
      </c>
      <c r="H26" s="2828"/>
      <c r="I26" s="2828"/>
      <c r="J26" s="2828"/>
      <c r="K26" s="2828"/>
      <c r="L26" s="2829"/>
      <c r="M26" s="2829"/>
      <c r="N26" s="2828"/>
      <c r="O26" s="2828"/>
      <c r="P26" s="2828"/>
      <c r="Q26" s="2828"/>
      <c r="R26" s="2828"/>
      <c r="S26" s="2828"/>
      <c r="T26" s="2828"/>
      <c r="U26" s="2828"/>
      <c r="V26" s="2828"/>
      <c r="W26" s="2828"/>
      <c r="X26" s="2828"/>
      <c r="Y26" s="2828"/>
      <c r="Z26" s="2828"/>
      <c r="AA26" s="2828"/>
      <c r="AB26" s="2828"/>
      <c r="AC26" s="2828"/>
      <c r="AD26" s="2828"/>
      <c r="AE26" s="2828"/>
      <c r="AF26" s="2828"/>
      <c r="AG26" s="2828"/>
      <c r="AH26" s="2828"/>
      <c r="AI26" s="2828"/>
      <c r="AJ26" s="2828"/>
      <c r="AK26" s="2828"/>
      <c r="AL26" s="2828"/>
      <c r="AM26" s="2828"/>
      <c r="AN26" s="2828"/>
      <c r="AO26" s="2828"/>
      <c r="AP26" s="2828"/>
      <c r="AQ26" s="2828"/>
      <c r="AR26" s="2828"/>
      <c r="AS26" s="2828"/>
      <c r="AT26" s="2828"/>
      <c r="AU26" s="2828"/>
      <c r="AV26" s="2828"/>
      <c r="AW26" s="2828"/>
      <c r="AX26" s="2828"/>
      <c r="AY26" s="2828"/>
      <c r="AZ26" s="2828"/>
      <c r="BA26" s="2828"/>
      <c r="BB26" s="2828"/>
      <c r="BC26" s="2828"/>
      <c r="BD26" s="2828"/>
      <c r="BE26" s="2828"/>
      <c r="BF26" s="2828"/>
      <c r="BG26" s="2828"/>
      <c r="BH26" s="2828"/>
      <c r="BI26" s="2828"/>
      <c r="BJ26" s="2828"/>
      <c r="BK26" s="2828"/>
      <c r="BL26" s="2828"/>
      <c r="BM26" s="2828"/>
      <c r="BN26" s="2828"/>
    </row>
    <row r="27" spans="1:66" s="794" customFormat="1" ht="13.5" thickBot="1">
      <c r="A27" s="2540"/>
      <c r="B27" s="2543"/>
      <c r="C27" s="2540"/>
      <c r="D27" s="765"/>
      <c r="E27" s="2543"/>
      <c r="F27" s="2540"/>
      <c r="G27" s="2544"/>
      <c r="H27" s="2828"/>
      <c r="I27" s="2828"/>
      <c r="J27" s="2828"/>
      <c r="K27" s="2828"/>
      <c r="L27" s="2829"/>
      <c r="M27" s="2829"/>
      <c r="N27" s="2828"/>
      <c r="O27" s="2828"/>
      <c r="P27" s="2828"/>
      <c r="Q27" s="2828"/>
      <c r="R27" s="2828"/>
      <c r="S27" s="2828"/>
      <c r="T27" s="2828"/>
      <c r="U27" s="2828"/>
      <c r="V27" s="2828"/>
      <c r="W27" s="2828"/>
      <c r="X27" s="2828"/>
      <c r="Y27" s="2828"/>
      <c r="Z27" s="2828"/>
      <c r="AA27" s="2828"/>
      <c r="AB27" s="2828"/>
      <c r="AC27" s="2828"/>
      <c r="AD27" s="2828"/>
      <c r="AE27" s="2828"/>
      <c r="AF27" s="2828"/>
      <c r="AG27" s="2828"/>
      <c r="AH27" s="2828"/>
      <c r="AI27" s="2828"/>
      <c r="AJ27" s="2828"/>
      <c r="AK27" s="2828"/>
      <c r="AL27" s="2828"/>
      <c r="AM27" s="2828"/>
      <c r="AN27" s="2828"/>
      <c r="AO27" s="2828"/>
      <c r="AP27" s="2828"/>
      <c r="AQ27" s="2828"/>
      <c r="AR27" s="2828"/>
      <c r="AS27" s="2828"/>
      <c r="AT27" s="2828"/>
      <c r="AU27" s="2828"/>
      <c r="AV27" s="2828"/>
      <c r="AW27" s="2828"/>
      <c r="AX27" s="2828"/>
      <c r="AY27" s="2828"/>
      <c r="AZ27" s="2828"/>
      <c r="BA27" s="2828"/>
      <c r="BB27" s="2828"/>
      <c r="BC27" s="2828"/>
      <c r="BD27" s="2828"/>
      <c r="BE27" s="2828"/>
      <c r="BF27" s="2828"/>
      <c r="BG27" s="2828"/>
      <c r="BH27" s="2828"/>
      <c r="BI27" s="2828"/>
      <c r="BJ27" s="2828"/>
      <c r="BK27" s="2828"/>
      <c r="BL27" s="2828"/>
      <c r="BM27" s="2828"/>
      <c r="BN27" s="2828"/>
    </row>
    <row r="28" spans="1:66">
      <c r="A28" s="761" t="s">
        <v>1334</v>
      </c>
      <c r="B28" s="759"/>
      <c r="C28" s="3390" t="s">
        <v>1334</v>
      </c>
      <c r="D28" s="3391"/>
      <c r="E28" s="759"/>
      <c r="F28" s="761" t="s">
        <v>1334</v>
      </c>
      <c r="G28" s="759"/>
      <c r="K28" s="2821"/>
    </row>
    <row r="29" spans="1:66">
      <c r="A29" s="762" t="s">
        <v>1335</v>
      </c>
      <c r="B29" s="756"/>
      <c r="C29" s="3392" t="s">
        <v>1336</v>
      </c>
      <c r="D29" s="3393"/>
      <c r="E29" s="756"/>
      <c r="F29" s="762" t="s">
        <v>1336</v>
      </c>
      <c r="G29" s="756"/>
      <c r="K29" s="2821"/>
    </row>
    <row r="30" spans="1:66">
      <c r="A30" s="762" t="s">
        <v>1337</v>
      </c>
      <c r="B30" s="756"/>
      <c r="C30" s="3392" t="s">
        <v>1337</v>
      </c>
      <c r="D30" s="3393"/>
      <c r="E30" s="756"/>
      <c r="F30" s="762" t="s">
        <v>1338</v>
      </c>
      <c r="G30" s="756"/>
      <c r="K30" s="2821"/>
    </row>
    <row r="31" spans="1:66">
      <c r="A31" s="762" t="s">
        <v>1339</v>
      </c>
      <c r="B31" s="756"/>
      <c r="C31" s="3412" t="s">
        <v>1340</v>
      </c>
      <c r="D31" s="769"/>
      <c r="E31" s="2545" t="str">
        <f>E32&amp;" "&amp;E33&amp;" "&amp;E34&amp;" "&amp;E35</f>
        <v xml:space="preserve">   </v>
      </c>
      <c r="F31" s="762" t="s">
        <v>1341</v>
      </c>
      <c r="G31" s="756"/>
    </row>
    <row r="32" spans="1:66">
      <c r="A32" s="762" t="s">
        <v>1342</v>
      </c>
      <c r="B32" s="756"/>
      <c r="C32" s="3413"/>
      <c r="D32" s="259" t="s">
        <v>1343</v>
      </c>
      <c r="E32" s="756"/>
      <c r="F32" s="762" t="s">
        <v>1344</v>
      </c>
      <c r="G32" s="756"/>
    </row>
    <row r="33" spans="1:7" ht="24.75" thickBot="1">
      <c r="A33" s="763" t="s">
        <v>1345</v>
      </c>
      <c r="B33" s="760"/>
      <c r="C33" s="3413"/>
      <c r="D33" s="259" t="s">
        <v>1346</v>
      </c>
      <c r="E33" s="756"/>
      <c r="F33" s="762" t="s">
        <v>1347</v>
      </c>
      <c r="G33" s="756"/>
    </row>
    <row r="34" spans="1:7">
      <c r="A34" s="761" t="s">
        <v>1348</v>
      </c>
      <c r="B34" s="759"/>
      <c r="C34" s="3413"/>
      <c r="D34" s="259" t="s">
        <v>1349</v>
      </c>
      <c r="E34" s="756"/>
      <c r="F34" s="762" t="s">
        <v>1350</v>
      </c>
      <c r="G34" s="756"/>
    </row>
    <row r="35" spans="1:7" ht="13.5" thickBot="1">
      <c r="A35" s="762" t="s">
        <v>1351</v>
      </c>
      <c r="B35" s="756"/>
      <c r="C35" s="3414"/>
      <c r="D35" s="259" t="s">
        <v>1352</v>
      </c>
      <c r="E35" s="756"/>
      <c r="F35" s="763" t="s">
        <v>1353</v>
      </c>
      <c r="G35" s="2546"/>
    </row>
    <row r="36" spans="1:7">
      <c r="A36" s="762" t="s">
        <v>1310</v>
      </c>
      <c r="B36" s="756"/>
      <c r="C36" s="3392" t="s">
        <v>1354</v>
      </c>
      <c r="D36" s="3393"/>
      <c r="E36" s="756"/>
      <c r="F36" s="2547" t="s">
        <v>1355</v>
      </c>
      <c r="G36" s="759"/>
    </row>
    <row r="37" spans="1:7" ht="13.5" thickBot="1">
      <c r="A37" s="762" t="s">
        <v>1356</v>
      </c>
      <c r="B37" s="756"/>
      <c r="C37" s="3394" t="s">
        <v>1357</v>
      </c>
      <c r="D37" s="3395"/>
      <c r="E37" s="760"/>
      <c r="F37" s="1391" t="s">
        <v>1358</v>
      </c>
      <c r="G37" s="756"/>
    </row>
    <row r="38" spans="1:7" ht="13.5" thickBot="1">
      <c r="A38" s="762" t="s">
        <v>1359</v>
      </c>
      <c r="B38" s="756"/>
      <c r="C38" s="3384" t="s">
        <v>1360</v>
      </c>
      <c r="D38" s="1371" t="s">
        <v>1344</v>
      </c>
      <c r="E38" s="759"/>
      <c r="F38" s="763" t="s">
        <v>1361</v>
      </c>
      <c r="G38" s="760"/>
    </row>
    <row r="39" spans="1:7">
      <c r="A39" s="762" t="s">
        <v>1362</v>
      </c>
      <c r="B39" s="756"/>
      <c r="C39" s="3385"/>
      <c r="D39" s="259" t="s">
        <v>1351</v>
      </c>
      <c r="E39" s="756"/>
      <c r="F39" s="761" t="s">
        <v>1363</v>
      </c>
      <c r="G39" s="759"/>
    </row>
    <row r="40" spans="1:7">
      <c r="A40" s="762" t="s">
        <v>1364</v>
      </c>
      <c r="B40" s="756"/>
      <c r="C40" s="3385" t="s">
        <v>1365</v>
      </c>
      <c r="D40" s="259" t="s">
        <v>1310</v>
      </c>
      <c r="E40" s="756"/>
      <c r="F40" s="762" t="s">
        <v>1366</v>
      </c>
      <c r="G40" s="756"/>
    </row>
    <row r="41" spans="1:7" ht="24.75" customHeight="1" thickBot="1">
      <c r="A41" s="763" t="s">
        <v>1367</v>
      </c>
      <c r="B41" s="760"/>
      <c r="C41" s="3386"/>
      <c r="D41" s="1374" t="s">
        <v>1312</v>
      </c>
      <c r="E41" s="760"/>
      <c r="F41" s="763" t="s">
        <v>1368</v>
      </c>
      <c r="G41" s="760"/>
    </row>
    <row r="42" spans="1:7">
      <c r="A42" s="764" t="s">
        <v>1369</v>
      </c>
      <c r="B42" s="2548"/>
      <c r="C42" s="3407" t="s">
        <v>1369</v>
      </c>
      <c r="D42" s="3408"/>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5" thickBot="1">
      <c r="A49" s="763" t="s">
        <v>1372</v>
      </c>
      <c r="B49" s="760"/>
      <c r="C49" s="3409" t="s">
        <v>1372</v>
      </c>
      <c r="D49" s="3410"/>
      <c r="E49" s="778"/>
      <c r="F49" s="763" t="s">
        <v>1373</v>
      </c>
      <c r="G49" s="760"/>
    </row>
    <row r="50" spans="1:66">
      <c r="A50" s="762" t="s">
        <v>1374</v>
      </c>
      <c r="B50" s="777"/>
      <c r="C50" s="3384" t="s">
        <v>1375</v>
      </c>
      <c r="D50" s="3411"/>
      <c r="E50" s="2550"/>
      <c r="F50" s="795"/>
      <c r="G50" s="796"/>
    </row>
    <row r="51" spans="1:66" ht="13.5" thickBot="1">
      <c r="A51" s="762" t="s">
        <v>1376</v>
      </c>
      <c r="B51" s="777"/>
      <c r="C51" s="3386" t="s">
        <v>1377</v>
      </c>
      <c r="D51" s="3389"/>
      <c r="E51" s="760"/>
      <c r="F51" s="769"/>
      <c r="G51" s="788"/>
    </row>
    <row r="52" spans="1:66">
      <c r="A52" s="762" t="s">
        <v>1355</v>
      </c>
      <c r="B52" s="756"/>
      <c r="C52" s="769"/>
      <c r="D52" s="769"/>
      <c r="E52" s="769"/>
      <c r="F52" s="769"/>
      <c r="G52" s="788"/>
    </row>
    <row r="53" spans="1:66" ht="24.75" thickBot="1">
      <c r="A53" s="763" t="s">
        <v>1378</v>
      </c>
      <c r="B53" s="2546"/>
      <c r="C53" s="787"/>
      <c r="D53" s="787"/>
      <c r="E53" s="787"/>
      <c r="F53" s="787"/>
      <c r="G53" s="789"/>
    </row>
    <row r="57" spans="1:66" s="768" customFormat="1">
      <c r="H57" s="2820"/>
      <c r="I57" s="2820"/>
      <c r="J57" s="2820"/>
      <c r="K57" s="2830"/>
      <c r="L57" s="2830"/>
      <c r="M57" s="2830"/>
      <c r="N57" s="2820"/>
      <c r="O57" s="2820"/>
      <c r="P57" s="2820"/>
      <c r="Q57" s="2820"/>
      <c r="R57" s="2820"/>
      <c r="S57" s="2820"/>
      <c r="T57" s="2820"/>
      <c r="U57" s="2820"/>
      <c r="V57" s="2820"/>
      <c r="W57" s="2820"/>
      <c r="X57" s="2820"/>
      <c r="Y57" s="2820"/>
      <c r="Z57" s="2820"/>
      <c r="AA57" s="2820"/>
      <c r="AB57" s="2820"/>
      <c r="AC57" s="2820"/>
      <c r="AD57" s="2820"/>
      <c r="AE57" s="2820"/>
      <c r="AF57" s="2820"/>
      <c r="AG57" s="2820"/>
      <c r="AH57" s="2820"/>
      <c r="AI57" s="2820"/>
      <c r="AJ57" s="2820"/>
      <c r="AK57" s="2820"/>
      <c r="AL57" s="2820"/>
      <c r="AM57" s="2820"/>
      <c r="AN57" s="2820"/>
      <c r="AO57" s="2820"/>
      <c r="AP57" s="2820"/>
      <c r="AQ57" s="2820"/>
      <c r="AR57" s="2820"/>
      <c r="AS57" s="2820"/>
      <c r="AT57" s="2820"/>
      <c r="AU57" s="2820"/>
      <c r="AV57" s="2820"/>
      <c r="AW57" s="2820"/>
      <c r="AX57" s="2820"/>
      <c r="AY57" s="2820"/>
      <c r="AZ57" s="2820"/>
      <c r="BA57" s="2820"/>
      <c r="BB57" s="2820"/>
      <c r="BC57" s="2820"/>
      <c r="BD57" s="2820"/>
      <c r="BE57" s="2820"/>
      <c r="BF57" s="2820"/>
      <c r="BG57" s="2820"/>
      <c r="BH57" s="2820"/>
      <c r="BI57" s="2820"/>
      <c r="BJ57" s="2820"/>
      <c r="BK57" s="2820"/>
      <c r="BL57" s="2820"/>
      <c r="BM57" s="2820"/>
      <c r="BN57" s="2820"/>
    </row>
    <row r="58" spans="1:66" s="768" customFormat="1">
      <c r="H58" s="2820"/>
      <c r="I58" s="2820"/>
      <c r="J58" s="2820"/>
      <c r="K58" s="2830"/>
      <c r="L58" s="2830"/>
      <c r="M58" s="2830"/>
      <c r="N58" s="2820"/>
      <c r="O58" s="2820"/>
      <c r="P58" s="2820"/>
      <c r="Q58" s="2820"/>
      <c r="R58" s="2820"/>
      <c r="S58" s="2820"/>
      <c r="T58" s="2820"/>
      <c r="U58" s="2820"/>
      <c r="V58" s="2820"/>
      <c r="W58" s="2820"/>
      <c r="X58" s="2820"/>
      <c r="Y58" s="2820"/>
      <c r="Z58" s="2820"/>
      <c r="AA58" s="2820"/>
      <c r="AB58" s="2820"/>
      <c r="AC58" s="2820"/>
      <c r="AD58" s="2820"/>
      <c r="AE58" s="2820"/>
      <c r="AF58" s="2820"/>
      <c r="AG58" s="2820"/>
      <c r="AH58" s="2820"/>
      <c r="AI58" s="2820"/>
      <c r="AJ58" s="2820"/>
      <c r="AK58" s="2820"/>
      <c r="AL58" s="2820"/>
      <c r="AM58" s="2820"/>
      <c r="AN58" s="2820"/>
      <c r="AO58" s="2820"/>
      <c r="AP58" s="2820"/>
      <c r="AQ58" s="2820"/>
      <c r="AR58" s="2820"/>
      <c r="AS58" s="2820"/>
      <c r="AT58" s="2820"/>
      <c r="AU58" s="2820"/>
      <c r="AV58" s="2820"/>
      <c r="AW58" s="2820"/>
      <c r="AX58" s="2820"/>
      <c r="AY58" s="2820"/>
      <c r="AZ58" s="2820"/>
      <c r="BA58" s="2820"/>
      <c r="BB58" s="2820"/>
      <c r="BC58" s="2820"/>
      <c r="BD58" s="2820"/>
      <c r="BE58" s="2820"/>
      <c r="BF58" s="2820"/>
      <c r="BG58" s="2820"/>
      <c r="BH58" s="2820"/>
      <c r="BI58" s="2820"/>
      <c r="BJ58" s="2820"/>
      <c r="BK58" s="2820"/>
      <c r="BL58" s="2820"/>
      <c r="BM58" s="2820"/>
      <c r="BN58" s="2820"/>
    </row>
    <row r="59" spans="1:66" s="768" customFormat="1">
      <c r="H59" s="2820"/>
      <c r="I59" s="2820"/>
      <c r="J59" s="2820"/>
      <c r="K59" s="2830"/>
      <c r="L59" s="2830"/>
      <c r="M59" s="2830"/>
      <c r="N59" s="2820"/>
      <c r="O59" s="2820"/>
      <c r="P59" s="2820"/>
      <c r="Q59" s="2820"/>
      <c r="R59" s="2820"/>
      <c r="S59" s="2820"/>
      <c r="T59" s="2820"/>
      <c r="U59" s="2820"/>
      <c r="V59" s="2820"/>
      <c r="W59" s="2820"/>
      <c r="X59" s="2820"/>
      <c r="Y59" s="2820"/>
      <c r="Z59" s="2820"/>
      <c r="AA59" s="2820"/>
      <c r="AB59" s="2820"/>
      <c r="AC59" s="2820"/>
      <c r="AD59" s="2820"/>
      <c r="AE59" s="2820"/>
      <c r="AF59" s="2820"/>
      <c r="AG59" s="2820"/>
      <c r="AH59" s="2820"/>
      <c r="AI59" s="2820"/>
      <c r="AJ59" s="2820"/>
      <c r="AK59" s="2820"/>
      <c r="AL59" s="2820"/>
      <c r="AM59" s="2820"/>
      <c r="AN59" s="2820"/>
      <c r="AO59" s="2820"/>
      <c r="AP59" s="2820"/>
      <c r="AQ59" s="2820"/>
      <c r="AR59" s="2820"/>
      <c r="AS59" s="2820"/>
      <c r="AT59" s="2820"/>
      <c r="AU59" s="2820"/>
      <c r="AV59" s="2820"/>
      <c r="AW59" s="2820"/>
      <c r="AX59" s="2820"/>
      <c r="AY59" s="2820"/>
      <c r="AZ59" s="2820"/>
      <c r="BA59" s="2820"/>
      <c r="BB59" s="2820"/>
      <c r="BC59" s="2820"/>
      <c r="BD59" s="2820"/>
      <c r="BE59" s="2820"/>
      <c r="BF59" s="2820"/>
      <c r="BG59" s="2820"/>
      <c r="BH59" s="2820"/>
      <c r="BI59" s="2820"/>
      <c r="BJ59" s="2820"/>
      <c r="BK59" s="2820"/>
      <c r="BL59" s="2820"/>
      <c r="BM59" s="2820"/>
      <c r="BN59" s="2820"/>
    </row>
    <row r="60" spans="1:66" s="768" customFormat="1">
      <c r="H60" s="2820"/>
      <c r="I60" s="2820"/>
      <c r="J60" s="2820"/>
      <c r="K60" s="2830"/>
      <c r="L60" s="2830"/>
      <c r="M60" s="2830"/>
      <c r="N60" s="2820"/>
      <c r="O60" s="2820"/>
      <c r="P60" s="2820"/>
      <c r="Q60" s="2820"/>
      <c r="R60" s="2820"/>
      <c r="S60" s="2820"/>
      <c r="T60" s="2820"/>
      <c r="U60" s="2820"/>
      <c r="V60" s="2820"/>
      <c r="W60" s="2820"/>
      <c r="X60" s="2820"/>
      <c r="Y60" s="2820"/>
      <c r="Z60" s="2820"/>
      <c r="AA60" s="2820"/>
      <c r="AB60" s="2820"/>
      <c r="AC60" s="2820"/>
      <c r="AD60" s="2820"/>
      <c r="AE60" s="2820"/>
      <c r="AF60" s="2820"/>
      <c r="AG60" s="2820"/>
      <c r="AH60" s="2820"/>
      <c r="AI60" s="2820"/>
      <c r="AJ60" s="2820"/>
      <c r="AK60" s="2820"/>
      <c r="AL60" s="2820"/>
      <c r="AM60" s="2820"/>
      <c r="AN60" s="2820"/>
      <c r="AO60" s="2820"/>
      <c r="AP60" s="2820"/>
      <c r="AQ60" s="2820"/>
      <c r="AR60" s="2820"/>
      <c r="AS60" s="2820"/>
      <c r="AT60" s="2820"/>
      <c r="AU60" s="2820"/>
      <c r="AV60" s="2820"/>
      <c r="AW60" s="2820"/>
      <c r="AX60" s="2820"/>
      <c r="AY60" s="2820"/>
      <c r="AZ60" s="2820"/>
      <c r="BA60" s="2820"/>
      <c r="BB60" s="2820"/>
      <c r="BC60" s="2820"/>
      <c r="BD60" s="2820"/>
      <c r="BE60" s="2820"/>
      <c r="BF60" s="2820"/>
      <c r="BG60" s="2820"/>
      <c r="BH60" s="2820"/>
      <c r="BI60" s="2820"/>
      <c r="BJ60" s="2820"/>
      <c r="BK60" s="2820"/>
      <c r="BL60" s="2820"/>
      <c r="BM60" s="2820"/>
      <c r="BN60" s="2820"/>
    </row>
    <row r="61" spans="1:66" s="768" customFormat="1">
      <c r="H61" s="2820"/>
      <c r="I61" s="2820"/>
      <c r="J61" s="2820"/>
      <c r="K61" s="2830"/>
      <c r="L61" s="2830"/>
      <c r="M61" s="2830"/>
      <c r="N61" s="2820"/>
      <c r="O61" s="2820"/>
      <c r="P61" s="2820"/>
      <c r="Q61" s="2820"/>
      <c r="R61" s="2820"/>
      <c r="S61" s="2820"/>
      <c r="T61" s="2820"/>
      <c r="U61" s="2820"/>
      <c r="V61" s="2820"/>
      <c r="W61" s="2820"/>
      <c r="X61" s="2820"/>
      <c r="Y61" s="2820"/>
      <c r="Z61" s="2820"/>
      <c r="AA61" s="2820"/>
      <c r="AB61" s="2820"/>
      <c r="AC61" s="2820"/>
      <c r="AD61" s="2820"/>
      <c r="AE61" s="2820"/>
      <c r="AF61" s="2820"/>
      <c r="AG61" s="2820"/>
      <c r="AH61" s="2820"/>
      <c r="AI61" s="2820"/>
      <c r="AJ61" s="2820"/>
      <c r="AK61" s="2820"/>
      <c r="AL61" s="2820"/>
      <c r="AM61" s="2820"/>
      <c r="AN61" s="2820"/>
      <c r="AO61" s="2820"/>
      <c r="AP61" s="2820"/>
      <c r="AQ61" s="2820"/>
      <c r="AR61" s="2820"/>
      <c r="AS61" s="2820"/>
      <c r="AT61" s="2820"/>
      <c r="AU61" s="2820"/>
      <c r="AV61" s="2820"/>
      <c r="AW61" s="2820"/>
      <c r="AX61" s="2820"/>
      <c r="AY61" s="2820"/>
      <c r="AZ61" s="2820"/>
      <c r="BA61" s="2820"/>
      <c r="BB61" s="2820"/>
      <c r="BC61" s="2820"/>
      <c r="BD61" s="2820"/>
      <c r="BE61" s="2820"/>
      <c r="BF61" s="2820"/>
      <c r="BG61" s="2820"/>
      <c r="BH61" s="2820"/>
      <c r="BI61" s="2820"/>
      <c r="BJ61" s="2820"/>
      <c r="BK61" s="2820"/>
      <c r="BL61" s="2820"/>
      <c r="BM61" s="2820"/>
      <c r="BN61" s="2820"/>
    </row>
    <row r="62" spans="1:66" s="768" customFormat="1">
      <c r="H62" s="2820"/>
      <c r="I62" s="2820"/>
      <c r="J62" s="2820"/>
      <c r="K62" s="2830"/>
      <c r="L62" s="2830"/>
      <c r="M62" s="2830"/>
      <c r="N62" s="2820"/>
      <c r="O62" s="2820"/>
      <c r="P62" s="2820"/>
      <c r="Q62" s="2820"/>
      <c r="R62" s="2820"/>
      <c r="S62" s="2820"/>
      <c r="T62" s="2820"/>
      <c r="U62" s="2820"/>
      <c r="V62" s="2820"/>
      <c r="W62" s="2820"/>
      <c r="X62" s="2820"/>
      <c r="Y62" s="2820"/>
      <c r="Z62" s="2820"/>
      <c r="AA62" s="2820"/>
      <c r="AB62" s="2820"/>
      <c r="AC62" s="2820"/>
      <c r="AD62" s="2820"/>
      <c r="AE62" s="2820"/>
      <c r="AF62" s="2820"/>
      <c r="AG62" s="2820"/>
      <c r="AH62" s="2820"/>
      <c r="AI62" s="2820"/>
      <c r="AJ62" s="2820"/>
      <c r="AK62" s="2820"/>
      <c r="AL62" s="2820"/>
      <c r="AM62" s="2820"/>
      <c r="AN62" s="2820"/>
      <c r="AO62" s="2820"/>
      <c r="AP62" s="2820"/>
      <c r="AQ62" s="2820"/>
      <c r="AR62" s="2820"/>
      <c r="AS62" s="2820"/>
      <c r="AT62" s="2820"/>
      <c r="AU62" s="2820"/>
      <c r="AV62" s="2820"/>
      <c r="AW62" s="2820"/>
      <c r="AX62" s="2820"/>
      <c r="AY62" s="2820"/>
      <c r="AZ62" s="2820"/>
      <c r="BA62" s="2820"/>
      <c r="BB62" s="2820"/>
      <c r="BC62" s="2820"/>
      <c r="BD62" s="2820"/>
      <c r="BE62" s="2820"/>
      <c r="BF62" s="2820"/>
      <c r="BG62" s="2820"/>
      <c r="BH62" s="2820"/>
      <c r="BI62" s="2820"/>
      <c r="BJ62" s="2820"/>
      <c r="BK62" s="2820"/>
      <c r="BL62" s="2820"/>
      <c r="BM62" s="2820"/>
      <c r="BN62" s="2820"/>
    </row>
    <row r="63" spans="1:66" s="768" customFormat="1">
      <c r="H63" s="2820"/>
      <c r="I63" s="2820"/>
      <c r="J63" s="2820"/>
      <c r="K63" s="2830"/>
      <c r="L63" s="2830"/>
      <c r="M63" s="2830"/>
      <c r="N63" s="2820"/>
      <c r="O63" s="2820"/>
      <c r="P63" s="2820"/>
      <c r="Q63" s="2820"/>
      <c r="R63" s="2820"/>
      <c r="S63" s="2820"/>
      <c r="T63" s="2820"/>
      <c r="U63" s="2820"/>
      <c r="V63" s="2820"/>
      <c r="W63" s="2820"/>
      <c r="X63" s="2820"/>
      <c r="Y63" s="2820"/>
      <c r="Z63" s="2820"/>
      <c r="AA63" s="2820"/>
      <c r="AB63" s="2820"/>
      <c r="AC63" s="2820"/>
      <c r="AD63" s="2820"/>
      <c r="AE63" s="2820"/>
      <c r="AF63" s="2820"/>
      <c r="AG63" s="2820"/>
      <c r="AH63" s="2820"/>
      <c r="AI63" s="2820"/>
      <c r="AJ63" s="2820"/>
      <c r="AK63" s="2820"/>
      <c r="AL63" s="2820"/>
      <c r="AM63" s="2820"/>
      <c r="AN63" s="2820"/>
      <c r="AO63" s="2820"/>
      <c r="AP63" s="2820"/>
      <c r="AQ63" s="2820"/>
      <c r="AR63" s="2820"/>
      <c r="AS63" s="2820"/>
      <c r="AT63" s="2820"/>
      <c r="AU63" s="2820"/>
      <c r="AV63" s="2820"/>
      <c r="AW63" s="2820"/>
      <c r="AX63" s="2820"/>
      <c r="AY63" s="2820"/>
      <c r="AZ63" s="2820"/>
      <c r="BA63" s="2820"/>
      <c r="BB63" s="2820"/>
      <c r="BC63" s="2820"/>
      <c r="BD63" s="2820"/>
      <c r="BE63" s="2820"/>
      <c r="BF63" s="2820"/>
      <c r="BG63" s="2820"/>
      <c r="BH63" s="2820"/>
      <c r="BI63" s="2820"/>
      <c r="BJ63" s="2820"/>
      <c r="BK63" s="2820"/>
      <c r="BL63" s="2820"/>
      <c r="BM63" s="2820"/>
      <c r="BN63" s="2820"/>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6" t="s">
        <v>0</v>
      </c>
      <c r="B1" s="3416" t="s">
        <v>2</v>
      </c>
      <c r="C1" s="3416" t="s">
        <v>3</v>
      </c>
      <c r="D1" s="3417" t="s">
        <v>67</v>
      </c>
      <c r="E1" s="3417" t="s">
        <v>68</v>
      </c>
      <c r="F1" s="3417"/>
      <c r="G1" s="3417"/>
      <c r="H1" s="3417"/>
      <c r="I1" s="3417"/>
      <c r="J1" s="3417"/>
      <c r="K1" s="3417"/>
      <c r="L1" s="3417"/>
      <c r="M1" s="3417"/>
    </row>
    <row r="2" spans="1:13" ht="27" customHeight="1">
      <c r="A2" s="3416"/>
      <c r="B2" s="3416"/>
      <c r="C2" s="3416"/>
      <c r="D2" s="3417"/>
      <c r="E2" s="3417" t="s">
        <v>51</v>
      </c>
      <c r="F2" s="3417" t="s">
        <v>52</v>
      </c>
      <c r="G2" s="3417"/>
      <c r="H2" s="3417"/>
      <c r="I2" s="3417"/>
      <c r="J2" s="3417" t="s">
        <v>53</v>
      </c>
      <c r="K2" s="3417"/>
      <c r="L2" s="3417"/>
      <c r="M2" s="3417"/>
    </row>
    <row r="3" spans="1:13" ht="28.5">
      <c r="A3" s="3416"/>
      <c r="B3" s="3416"/>
      <c r="C3" s="3416"/>
      <c r="D3" s="3417"/>
      <c r="E3" s="3417"/>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7" t="s">
        <v>69</v>
      </c>
      <c r="B9" s="3417"/>
      <c r="C9" s="3417"/>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C33" sqref="C33"/>
    </sheetView>
  </sheetViews>
  <sheetFormatPr defaultColWidth="13.75" defaultRowHeight="12.75"/>
  <cols>
    <col min="1" max="1" width="20.875" style="2606" customWidth="1"/>
    <col min="2" max="2" width="16.75" style="2552" customWidth="1"/>
    <col min="3" max="3" width="18.25" style="2592" customWidth="1"/>
    <col min="4" max="4" width="34.125" style="2607" customWidth="1"/>
    <col min="5" max="5" width="17.625" style="2607" customWidth="1"/>
    <col min="6" max="6" width="15.5" style="2551" customWidth="1"/>
    <col min="7" max="8" width="9.125" style="2885" customWidth="1"/>
    <col min="9" max="9" width="15" style="2592" bestFit="1" customWidth="1"/>
    <col min="10" max="14" width="8.875" style="2592" customWidth="1"/>
    <col min="15" max="16" width="12.375" style="2592" customWidth="1"/>
    <col min="17" max="17" width="8.625" style="2592" customWidth="1"/>
    <col min="18" max="18" width="12.5" style="2592" customWidth="1"/>
    <col min="19" max="19" width="8.5" style="2592" customWidth="1"/>
    <col min="20" max="21" width="10.875" style="2592" customWidth="1"/>
    <col min="22" max="23" width="12.5" style="2592" customWidth="1"/>
    <col min="24" max="24" width="12.125" style="2592" customWidth="1"/>
    <col min="25" max="25" width="7.5" style="2592" customWidth="1"/>
    <col min="26" max="26" width="6.375" style="2592" customWidth="1"/>
    <col min="27" max="32" width="6.75" style="2592" customWidth="1"/>
    <col min="33" max="33" width="6.5" style="2592" customWidth="1"/>
    <col min="34" max="36" width="7.25" style="2592" customWidth="1"/>
    <col min="37" max="41" width="8" style="2592" customWidth="1"/>
    <col min="42" max="16384" width="13.75" style="2552"/>
  </cols>
  <sheetData>
    <row r="1" spans="1:41" ht="19.5" thickBot="1">
      <c r="A1" s="2839" t="s">
        <v>1379</v>
      </c>
      <c r="B1" s="905"/>
      <c r="D1" s="2551"/>
      <c r="E1" s="2551"/>
    </row>
    <row r="2" spans="1:41" s="2555" customFormat="1" ht="15.75" thickBot="1">
      <c r="A2" s="2840" t="s">
        <v>1380</v>
      </c>
      <c r="B2" s="2841">
        <f>项目基本情况!D2</f>
        <v>44675</v>
      </c>
      <c r="C2" s="1613"/>
      <c r="D2" s="3418" t="s">
        <v>1381</v>
      </c>
      <c r="E2" s="2553"/>
      <c r="F2" s="2554"/>
      <c r="G2" s="2886"/>
      <c r="H2" s="2886"/>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3041</v>
      </c>
      <c r="C3" s="1613"/>
      <c r="D3" s="3419"/>
      <c r="E3" s="2557" t="s">
        <v>3038</v>
      </c>
      <c r="F3" s="2554"/>
      <c r="G3" s="2886"/>
      <c r="H3" s="2886"/>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3042</v>
      </c>
      <c r="C4" s="1613"/>
      <c r="D4" s="3419"/>
      <c r="E4" s="2557"/>
      <c r="F4" s="2554"/>
      <c r="G4" s="2886"/>
      <c r="H4" s="2886"/>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75" thickBot="1">
      <c r="A5" s="2558" t="s">
        <v>1384</v>
      </c>
      <c r="B5" s="2559">
        <f>项目基本情况!C12</f>
        <v>73.739999999999995</v>
      </c>
      <c r="C5" s="1613"/>
      <c r="D5" s="2842" t="s">
        <v>1385</v>
      </c>
      <c r="E5" s="2560"/>
      <c r="F5" s="2554"/>
      <c r="G5" s="2886"/>
      <c r="H5" s="2886"/>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75" thickBot="1">
      <c r="A6" s="2561" t="s">
        <v>1386</v>
      </c>
      <c r="B6" s="2562">
        <f>项目基本情况!C13</f>
        <v>0</v>
      </c>
      <c r="C6" s="1613"/>
      <c r="D6" s="2842" t="s">
        <v>1387</v>
      </c>
      <c r="E6" s="2560"/>
      <c r="F6" s="2554"/>
      <c r="G6" s="2886"/>
      <c r="H6" s="2886"/>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5.75" thickBot="1">
      <c r="A7" s="2888"/>
      <c r="D7" s="2889"/>
      <c r="E7" s="2889"/>
      <c r="F7" s="2886"/>
      <c r="G7" s="2886"/>
      <c r="H7" s="2886"/>
    </row>
    <row r="8" spans="1:41" s="1613" customFormat="1" ht="15" hidden="1">
      <c r="A8" s="2888"/>
      <c r="D8" s="2889"/>
      <c r="E8" s="2889"/>
      <c r="F8" s="2886"/>
      <c r="G8" s="2886"/>
      <c r="H8" s="2886"/>
    </row>
    <row r="9" spans="1:41" s="1613" customFormat="1" ht="15" hidden="1" thickBot="1">
      <c r="C9" s="3007"/>
      <c r="D9" s="2886"/>
      <c r="E9" s="2886"/>
      <c r="F9" s="2886"/>
      <c r="G9" s="2886"/>
      <c r="H9" s="2886"/>
    </row>
    <row r="10" spans="1:41" s="2555" customFormat="1" ht="15" thickBot="1">
      <c r="A10" s="2843" t="s">
        <v>1388</v>
      </c>
      <c r="B10" s="2564" t="s">
        <v>3043</v>
      </c>
      <c r="C10" s="1613"/>
      <c r="D10" s="2840" t="s">
        <v>1389</v>
      </c>
      <c r="E10" s="2844" t="s">
        <v>1390</v>
      </c>
      <c r="F10" s="3008" t="s">
        <v>2596</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25">
      <c r="A11" s="2845" t="s">
        <v>1391</v>
      </c>
      <c r="B11" s="2566">
        <v>50</v>
      </c>
      <c r="C11" s="1613"/>
      <c r="D11" s="2846" t="s">
        <v>1392</v>
      </c>
      <c r="E11" s="2567"/>
      <c r="F11" s="1240" t="s">
        <v>1393</v>
      </c>
      <c r="G11" s="1613"/>
      <c r="H11" s="1613"/>
      <c r="I11" s="1613"/>
      <c r="J11" s="1613"/>
      <c r="K11" s="1613"/>
      <c r="L11" s="2628"/>
      <c r="M11" s="2628"/>
      <c r="N11" s="2628"/>
      <c r="O11" s="2628"/>
      <c r="P11" s="2628"/>
      <c r="Q11" s="2628"/>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5">
      <c r="A12" s="2847" t="s">
        <v>1394</v>
      </c>
      <c r="B12" s="2569">
        <v>59957</v>
      </c>
      <c r="C12" s="1613"/>
      <c r="D12" s="2847" t="s">
        <v>1395</v>
      </c>
      <c r="E12" s="2570">
        <v>200</v>
      </c>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8" t="s">
        <v>1396</v>
      </c>
      <c r="B13" s="2849">
        <f>IF(B12="",B11-(YEAR($B$2)-B27+B24),ROUNDDOWN(MIN((B12-$B$2)/365,B11),2))</f>
        <v>41.86</v>
      </c>
      <c r="C13" s="2884"/>
      <c r="D13" s="2850" t="s">
        <v>1397</v>
      </c>
      <c r="E13" s="2571">
        <f>ROUND(E12*B5,0)</f>
        <v>14748</v>
      </c>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25">
      <c r="A14" s="2847" t="s">
        <v>1399</v>
      </c>
      <c r="B14" s="2851">
        <f>IF(ISERROR(ROUND(POWER(1+B15,B11-B13)*(POWER(1+B15,B13)-1)/(POWER(1+B15,B11)-1),3)),0,ROUND(POWER(1+B15,B11-B13)*(POWER(1+B15,B13)-1)/(POWER(1+B15,B11)-1),3))</f>
        <v>0.95299999999999996</v>
      </c>
      <c r="C14" s="1613"/>
      <c r="D14" s="2852" t="s">
        <v>1400</v>
      </c>
      <c r="E14" s="2572">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25">
      <c r="A15" s="2847" t="s">
        <v>1401</v>
      </c>
      <c r="B15" s="2573">
        <v>0.05</v>
      </c>
      <c r="C15" s="2481" t="s">
        <v>2597</v>
      </c>
      <c r="D15" s="2847" t="s">
        <v>1402</v>
      </c>
      <c r="E15" s="2853">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7" t="s">
        <v>1403</v>
      </c>
      <c r="B16" s="3329">
        <v>5.5E-2</v>
      </c>
      <c r="C16" s="2481" t="s">
        <v>2598</v>
      </c>
      <c r="D16" s="2854" t="s">
        <v>1404</v>
      </c>
      <c r="E16" s="2574"/>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4" t="s">
        <v>2595</v>
      </c>
      <c r="B17" s="3006">
        <v>7.4999999999999997E-2</v>
      </c>
      <c r="C17" s="2481" t="s">
        <v>2599</v>
      </c>
      <c r="D17" s="2843" t="s">
        <v>1406</v>
      </c>
      <c r="E17" s="2575">
        <v>3800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5" t="s">
        <v>1405</v>
      </c>
      <c r="B18" s="3014">
        <v>7.0000000000000007E-2</v>
      </c>
      <c r="C18" s="1613"/>
      <c r="D18" s="2856" t="str">
        <f>IF(B26=0,"建安总额","在建建安")</f>
        <v>建安总额</v>
      </c>
      <c r="E18" s="2857">
        <f>ROUND(B5*E17*IF(B26=0,1,E20),0)</f>
        <v>280212</v>
      </c>
      <c r="F18" s="2576">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5" thickBot="1">
      <c r="A19" s="1239"/>
      <c r="B19" s="1239"/>
      <c r="C19" s="1613"/>
      <c r="D19" s="2856" t="str">
        <f>IF(B26=0,"——","续建建安")</f>
        <v>——</v>
      </c>
      <c r="E19" s="2857" t="str">
        <f>IF(B26=0,"——",ROUND(B5*E17*(1-E20),0))</f>
        <v>——</v>
      </c>
      <c r="F19" s="2576" t="str">
        <f>IF(B26=0,"——",ROUND(E5*E17*(1-E20),0))</f>
        <v>——</v>
      </c>
      <c r="G19" s="1613"/>
      <c r="H19" s="1613"/>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8" t="s">
        <v>1407</v>
      </c>
      <c r="B20" s="1239"/>
      <c r="C20" s="1613"/>
      <c r="D20" s="2860" t="str">
        <f>IF(B26=0,"成新率","工程进度")</f>
        <v>成新率</v>
      </c>
      <c r="E20" s="2578">
        <f>ROUND(1-(2022-B27)/60,2)</f>
        <v>0.95</v>
      </c>
      <c r="F20" s="905"/>
      <c r="G20" s="1613"/>
      <c r="H20" s="1613"/>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25">
      <c r="A21" s="2859" t="s">
        <v>1408</v>
      </c>
      <c r="B21" s="2577"/>
      <c r="C21" s="1613"/>
      <c r="D21" s="2847" t="s">
        <v>1410</v>
      </c>
      <c r="E21" s="2580">
        <v>0.03</v>
      </c>
      <c r="F21" s="2590" t="s">
        <v>2605</v>
      </c>
      <c r="G21" s="1613"/>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25">
      <c r="A22" s="2861" t="s">
        <v>1409</v>
      </c>
      <c r="B22" s="2579">
        <v>2</v>
      </c>
      <c r="C22" s="1613"/>
      <c r="D22" s="2847" t="s">
        <v>1412</v>
      </c>
      <c r="E22" s="2583">
        <v>0</v>
      </c>
      <c r="F22" s="2590" t="s">
        <v>2603</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25">
      <c r="A23" s="2862" t="s">
        <v>1411</v>
      </c>
      <c r="B23" s="2582">
        <v>2</v>
      </c>
      <c r="C23" s="1613"/>
      <c r="D23" s="2847" t="s">
        <v>1414</v>
      </c>
      <c r="E23" s="2570">
        <v>200</v>
      </c>
      <c r="F23" s="2590"/>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3" t="s">
        <v>1413</v>
      </c>
      <c r="B24" s="2864">
        <f>B21+B22</f>
        <v>2</v>
      </c>
      <c r="C24" s="1613"/>
      <c r="D24" s="2854" t="s">
        <v>1416</v>
      </c>
      <c r="E24" s="2584">
        <v>1.4999999999999999E-2</v>
      </c>
      <c r="F24" s="2590" t="s">
        <v>2606</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25">
      <c r="A25" s="2865" t="s">
        <v>1415</v>
      </c>
      <c r="B25" s="2866">
        <f>B21+B23</f>
        <v>2</v>
      </c>
      <c r="C25" s="1613"/>
      <c r="D25" s="2846" t="s">
        <v>1418</v>
      </c>
      <c r="E25" s="2580">
        <v>0.02</v>
      </c>
      <c r="F25" s="2590" t="s">
        <v>2604</v>
      </c>
      <c r="I25" s="2885"/>
    </row>
    <row r="26" spans="1:41" ht="15" thickBot="1">
      <c r="A26" s="2863" t="s">
        <v>1417</v>
      </c>
      <c r="B26" s="2867">
        <f>B22-B23</f>
        <v>0</v>
      </c>
      <c r="D26" s="2847" t="s">
        <v>1420</v>
      </c>
      <c r="E26" s="2583">
        <v>0.02</v>
      </c>
      <c r="F26" s="2590" t="s">
        <v>2604</v>
      </c>
      <c r="G26" s="2886"/>
      <c r="H26" s="2886"/>
      <c r="I26" s="1613"/>
      <c r="J26" s="1613"/>
      <c r="K26" s="1613"/>
      <c r="L26" s="1613"/>
      <c r="M26" s="1613"/>
      <c r="N26" s="1613"/>
    </row>
    <row r="27" spans="1:41" ht="15.75" thickBot="1">
      <c r="A27" s="2868" t="s">
        <v>1419</v>
      </c>
      <c r="B27" s="2585">
        <v>2019</v>
      </c>
      <c r="C27" s="1613"/>
      <c r="D27" s="3073" t="s">
        <v>3045</v>
      </c>
      <c r="E27" s="2869">
        <f ca="1">IF(D27="利息：取LPR",存贷款利率!G1,存贷款利率!G1+F27)</f>
        <v>4.2000000000000003E-2</v>
      </c>
      <c r="F27" s="3074">
        <v>5.0000000000000001E-3</v>
      </c>
      <c r="G27" s="2886"/>
      <c r="H27" s="2886"/>
      <c r="K27" s="1613"/>
      <c r="N27" s="1613"/>
    </row>
    <row r="28" spans="1:41" ht="15" thickBot="1">
      <c r="A28" s="905"/>
      <c r="B28" s="905"/>
      <c r="D28" s="2850" t="s">
        <v>1422</v>
      </c>
      <c r="E28" s="2587">
        <v>0.15</v>
      </c>
      <c r="G28" s="2886"/>
      <c r="H28" s="2886"/>
      <c r="K28" s="1613"/>
      <c r="N28" s="1613"/>
    </row>
    <row r="29" spans="1:41" ht="14.25">
      <c r="A29" s="2870" t="s">
        <v>1421</v>
      </c>
      <c r="B29" s="2586" t="s">
        <v>3044</v>
      </c>
      <c r="D29" s="2852" t="s">
        <v>1423</v>
      </c>
      <c r="E29" s="2871">
        <f>E30+E31</f>
        <v>5.6000000000000001E-2</v>
      </c>
      <c r="F29" s="1238"/>
      <c r="G29" s="2886"/>
      <c r="H29" s="2886"/>
      <c r="K29" s="1613"/>
      <c r="N29" s="1613"/>
    </row>
    <row r="30" spans="1:41" ht="14.25">
      <c r="A30" s="2847" t="str">
        <f>IF(B29="租赁期内按合同租金","合同租金","市场租金")</f>
        <v>市场租金</v>
      </c>
      <c r="B30" s="3328">
        <v>5500</v>
      </c>
      <c r="D30" s="2854" t="s">
        <v>1425</v>
      </c>
      <c r="E30" s="2589">
        <v>0.05</v>
      </c>
      <c r="F30" s="2873">
        <f>IF(B2&lt;DATE(2016,5,1),0,E30)</f>
        <v>0.05</v>
      </c>
      <c r="G30" s="2886"/>
      <c r="H30" s="2886"/>
      <c r="K30" s="1613"/>
      <c r="N30" s="1613"/>
    </row>
    <row r="31" spans="1:41" ht="14.25">
      <c r="A31" s="2847" t="s">
        <v>1424</v>
      </c>
      <c r="B31" s="2872">
        <f ca="1">存贷款利率!I1</f>
        <v>1.4999999999999999E-2</v>
      </c>
      <c r="D31" s="2854" t="s">
        <v>1427</v>
      </c>
      <c r="E31" s="2874">
        <f>E30*(E32+E33+E34)+E35</f>
        <v>6.000000000000001E-3</v>
      </c>
      <c r="F31" s="1238"/>
      <c r="G31" s="2886"/>
      <c r="H31" s="2886"/>
      <c r="K31" s="1613"/>
      <c r="N31" s="1613"/>
    </row>
    <row r="32" spans="1:41" ht="14.25">
      <c r="A32" s="2847" t="s">
        <v>1426</v>
      </c>
      <c r="B32" s="3329">
        <v>0.03</v>
      </c>
      <c r="D32" s="2854" t="s">
        <v>1429</v>
      </c>
      <c r="E32" s="3330">
        <v>7.0000000000000007E-2</v>
      </c>
      <c r="F32" s="2590" t="s">
        <v>2491</v>
      </c>
      <c r="G32" s="2886"/>
      <c r="H32" s="2886"/>
      <c r="K32" s="1613"/>
      <c r="L32" s="1613"/>
      <c r="M32" s="1613"/>
      <c r="N32" s="1613"/>
    </row>
    <row r="33" spans="1:14" ht="14.25">
      <c r="A33" s="2847" t="s">
        <v>1428</v>
      </c>
      <c r="B33" s="2573">
        <v>0.1</v>
      </c>
      <c r="D33" s="2854" t="s">
        <v>1431</v>
      </c>
      <c r="E33" s="2589">
        <v>0.03</v>
      </c>
      <c r="F33" s="1237" t="s">
        <v>1432</v>
      </c>
      <c r="G33" s="2886"/>
      <c r="H33" s="2886"/>
      <c r="K33" s="1613"/>
      <c r="L33" s="1613"/>
      <c r="M33" s="1613"/>
      <c r="N33" s="1613"/>
    </row>
    <row r="34" spans="1:14" s="2592" customFormat="1" ht="14.25">
      <c r="A34" s="2847" t="s">
        <v>1430</v>
      </c>
      <c r="B34" s="2875">
        <f>收益法!J54</f>
        <v>41.86</v>
      </c>
      <c r="D34" s="2854" t="s">
        <v>1433</v>
      </c>
      <c r="E34" s="2589">
        <v>0.02</v>
      </c>
      <c r="F34" s="1237" t="s">
        <v>1434</v>
      </c>
      <c r="G34" s="2886"/>
      <c r="H34" s="2886"/>
      <c r="I34" s="1613"/>
      <c r="J34" s="1613"/>
      <c r="K34" s="1613"/>
      <c r="L34" s="1613"/>
      <c r="M34" s="1613"/>
      <c r="N34" s="1613"/>
    </row>
    <row r="35" spans="1:14" s="2592" customFormat="1" ht="15" thickBot="1">
      <c r="A35" s="2854" t="str">
        <f>IF(B29="租赁期内按合同租金","剩余租赁期","——")</f>
        <v>——</v>
      </c>
      <c r="B35" s="2591"/>
      <c r="D35" s="2850" t="s">
        <v>1436</v>
      </c>
      <c r="E35" s="2594"/>
      <c r="F35" s="1240" t="s">
        <v>1437</v>
      </c>
      <c r="G35" s="2886"/>
      <c r="H35" s="2886"/>
      <c r="I35" s="1613"/>
      <c r="J35" s="1613"/>
      <c r="K35" s="1613"/>
      <c r="L35" s="1613"/>
      <c r="M35" s="1613"/>
      <c r="N35" s="1613"/>
    </row>
    <row r="36" spans="1:14" s="2592" customFormat="1" ht="15">
      <c r="A36" s="2876" t="s">
        <v>1435</v>
      </c>
      <c r="B36" s="2877"/>
      <c r="D36" s="2878" t="s">
        <v>1438</v>
      </c>
      <c r="E36" s="2596">
        <v>0.03</v>
      </c>
      <c r="F36" s="1239" t="s">
        <v>1439</v>
      </c>
      <c r="G36" s="2886"/>
      <c r="H36" s="2886"/>
      <c r="I36" s="1613"/>
      <c r="J36" s="1613"/>
      <c r="K36" s="1613"/>
      <c r="L36" s="1613"/>
      <c r="M36" s="1613"/>
      <c r="N36" s="1613"/>
    </row>
    <row r="37" spans="1:14" s="2592" customFormat="1" ht="15" thickBot="1">
      <c r="A37" s="2852" t="str">
        <f>IF(B29="租赁期内按合同租金","租金","——")</f>
        <v>——</v>
      </c>
      <c r="B37" s="2595"/>
      <c r="D37" s="2854" t="s">
        <v>1440</v>
      </c>
      <c r="E37" s="2589">
        <v>5.0000000000000001E-4</v>
      </c>
      <c r="F37" s="1239" t="s">
        <v>1441</v>
      </c>
      <c r="G37" s="2886"/>
      <c r="H37" s="2886"/>
      <c r="I37" s="1613"/>
      <c r="J37" s="1613"/>
      <c r="K37" s="1613"/>
      <c r="L37" s="1613"/>
      <c r="M37" s="1613"/>
      <c r="N37" s="1613"/>
    </row>
    <row r="38" spans="1:14" s="2592" customFormat="1" ht="14.25">
      <c r="A38" s="2847" t="str">
        <f>IF(B29="租赁期内按合同租金","年租金增长率","——")</f>
        <v>——</v>
      </c>
      <c r="B38" s="2573"/>
      <c r="D38" s="2879" t="s">
        <v>1442</v>
      </c>
      <c r="E38" s="2880">
        <v>1.2E-2</v>
      </c>
      <c r="F38" s="1239"/>
      <c r="G38" s="2885"/>
      <c r="H38" s="2885"/>
      <c r="I38" s="2886"/>
      <c r="J38" s="1613"/>
      <c r="K38" s="1613"/>
      <c r="L38" s="1613"/>
      <c r="M38" s="1613"/>
      <c r="N38" s="1613"/>
    </row>
    <row r="39" spans="1:14" s="2592" customFormat="1" ht="15" thickBot="1">
      <c r="A39" s="2847" t="str">
        <f>IF(B29="租赁期内按合同租金","空置率","——")</f>
        <v>——</v>
      </c>
      <c r="B39" s="2573"/>
      <c r="D39" s="2850" t="s">
        <v>1443</v>
      </c>
      <c r="E39" s="2881">
        <v>0.12</v>
      </c>
      <c r="F39" s="1239"/>
      <c r="G39" s="2886"/>
      <c r="H39" s="2886"/>
      <c r="I39" s="1613"/>
      <c r="J39" s="1613"/>
      <c r="K39" s="1613"/>
      <c r="L39" s="1613"/>
      <c r="M39" s="1613"/>
      <c r="N39" s="1613"/>
    </row>
    <row r="40" spans="1:14" ht="14.25">
      <c r="A40" s="2847" t="str">
        <f>IF(B29="租赁期内按合同租金","成新率","——")</f>
        <v>——</v>
      </c>
      <c r="B40" s="2573"/>
      <c r="D40" s="2879" t="s">
        <v>1444</v>
      </c>
      <c r="E40" s="2883">
        <f>SUMIF(D42:D51,E41,E42:E51)</f>
        <v>0</v>
      </c>
      <c r="F40" s="1239"/>
      <c r="G40" s="2886"/>
      <c r="H40" s="2886"/>
      <c r="I40" s="1613"/>
      <c r="J40" s="1613"/>
      <c r="K40" s="1613"/>
      <c r="L40" s="1613"/>
      <c r="M40" s="1613"/>
      <c r="N40" s="1613"/>
    </row>
    <row r="41" spans="1:14" ht="15" thickBot="1">
      <c r="A41" s="2854" t="str">
        <f>IF(B29="租赁期内按合同租金","租赁期外收益期","——")</f>
        <v>——</v>
      </c>
      <c r="B41" s="2882" t="str">
        <f>IF(B29="租赁期内按合同租金",B34-B35,"——")</f>
        <v>——</v>
      </c>
      <c r="D41" s="2847" t="s">
        <v>1446</v>
      </c>
      <c r="E41" s="2598"/>
      <c r="F41" s="1239" t="s">
        <v>1447</v>
      </c>
      <c r="G41" s="1700" t="s">
        <v>1448</v>
      </c>
      <c r="H41" s="2886"/>
      <c r="I41" s="1613"/>
      <c r="J41" s="1613"/>
      <c r="K41" s="1613"/>
      <c r="L41" s="1613"/>
      <c r="M41" s="1613"/>
      <c r="N41" s="1613"/>
    </row>
    <row r="42" spans="1:14" ht="14.25">
      <c r="A42" s="2846" t="s">
        <v>1445</v>
      </c>
      <c r="B42" s="2597">
        <v>1</v>
      </c>
      <c r="D42" s="2600" t="s">
        <v>1450</v>
      </c>
      <c r="E42" s="2588"/>
      <c r="F42" s="1239">
        <v>30</v>
      </c>
      <c r="G42" s="2886"/>
      <c r="H42" s="2886"/>
      <c r="I42" s="1613"/>
      <c r="J42" s="1613"/>
      <c r="K42" s="1613"/>
      <c r="L42" s="1613"/>
      <c r="M42" s="1613"/>
      <c r="N42" s="1613"/>
    </row>
    <row r="43" spans="1:14" ht="14.25">
      <c r="A43" s="2847" t="s">
        <v>1449</v>
      </c>
      <c r="B43" s="2599">
        <v>12</v>
      </c>
      <c r="D43" s="2600" t="s">
        <v>1452</v>
      </c>
      <c r="E43" s="2588"/>
      <c r="F43" s="1239">
        <v>24</v>
      </c>
      <c r="G43" s="2886"/>
      <c r="H43" s="2886"/>
      <c r="I43" s="1613"/>
      <c r="J43" s="1613"/>
      <c r="K43" s="1613"/>
      <c r="L43" s="1613"/>
      <c r="M43" s="1613"/>
      <c r="N43" s="1613"/>
    </row>
    <row r="44" spans="1:14" ht="14.25">
      <c r="A44" s="2847" t="s">
        <v>1451</v>
      </c>
      <c r="B44" s="2588"/>
      <c r="D44" s="2600" t="s">
        <v>1454</v>
      </c>
      <c r="E44" s="2588"/>
      <c r="F44" s="1239">
        <v>18</v>
      </c>
      <c r="G44" s="2592"/>
      <c r="H44" s="2592"/>
      <c r="I44" s="2886"/>
      <c r="J44" s="1613"/>
      <c r="K44" s="1613"/>
      <c r="L44" s="1613"/>
      <c r="M44" s="1613"/>
      <c r="N44" s="1613"/>
    </row>
    <row r="45" spans="1:14" ht="14.25">
      <c r="A45" s="2847" t="s">
        <v>1453</v>
      </c>
      <c r="B45" s="2601">
        <v>0.01</v>
      </c>
      <c r="C45" s="2481" t="s">
        <v>2602</v>
      </c>
      <c r="D45" s="2600" t="s">
        <v>1456</v>
      </c>
      <c r="E45" s="2588"/>
      <c r="F45" s="1239">
        <v>12</v>
      </c>
      <c r="G45" s="2592"/>
      <c r="H45" s="2592"/>
      <c r="M45" s="1613"/>
      <c r="N45" s="1613"/>
    </row>
    <row r="46" spans="1:14" ht="14.25">
      <c r="A46" s="2847" t="s">
        <v>1455</v>
      </c>
      <c r="B46" s="2602">
        <v>1E-3</v>
      </c>
      <c r="C46" s="2481" t="s">
        <v>2600</v>
      </c>
      <c r="D46" s="2600" t="s">
        <v>1218</v>
      </c>
      <c r="E46" s="2588"/>
      <c r="F46" s="1239">
        <v>3</v>
      </c>
      <c r="G46" s="2592"/>
      <c r="H46" s="2592"/>
      <c r="M46" s="1613"/>
      <c r="N46" s="1613"/>
    </row>
    <row r="47" spans="1:14" ht="15" thickBot="1">
      <c r="A47" s="2850" t="s">
        <v>1457</v>
      </c>
      <c r="B47" s="2603">
        <v>0.01</v>
      </c>
      <c r="C47" s="2481" t="s">
        <v>2601</v>
      </c>
      <c r="D47" s="2600" t="s">
        <v>1458</v>
      </c>
      <c r="E47" s="2588"/>
      <c r="F47" s="1239">
        <v>1.5</v>
      </c>
      <c r="G47" s="2592"/>
      <c r="H47" s="2592"/>
      <c r="M47" s="1613"/>
      <c r="N47" s="1613"/>
    </row>
    <row r="48" spans="1:14" ht="14.25">
      <c r="A48" s="2592"/>
      <c r="B48" s="2592"/>
      <c r="D48" s="2600" t="s">
        <v>1459</v>
      </c>
      <c r="E48" s="2588"/>
      <c r="F48" s="1239"/>
      <c r="G48" s="2592"/>
      <c r="H48" s="2592"/>
      <c r="M48" s="1613"/>
      <c r="N48" s="1613"/>
    </row>
    <row r="49" spans="1:41" ht="14.25">
      <c r="A49" s="2592"/>
      <c r="B49" s="2592"/>
      <c r="D49" s="2600" t="s">
        <v>1460</v>
      </c>
      <c r="E49" s="2588"/>
      <c r="F49" s="1239"/>
      <c r="G49" s="2592"/>
      <c r="H49" s="2592"/>
      <c r="M49" s="1613"/>
      <c r="N49" s="1613"/>
    </row>
    <row r="50" spans="1:41" ht="14.25">
      <c r="A50" s="2592"/>
      <c r="B50" s="2592"/>
      <c r="D50" s="2600" t="s">
        <v>1461</v>
      </c>
      <c r="E50" s="2588"/>
      <c r="F50" s="1239"/>
      <c r="G50" s="2592"/>
      <c r="H50" s="2592"/>
      <c r="M50" s="1613"/>
      <c r="N50" s="1613"/>
    </row>
    <row r="51" spans="1:41" s="905" customFormat="1" ht="15" thickBot="1">
      <c r="A51" s="2592"/>
      <c r="B51" s="2592"/>
      <c r="C51" s="2592"/>
      <c r="D51" s="2604" t="s">
        <v>1462</v>
      </c>
      <c r="E51" s="2605"/>
      <c r="F51" s="1239"/>
      <c r="G51" s="2592"/>
      <c r="H51" s="2592"/>
      <c r="I51" s="2592"/>
      <c r="J51" s="2592"/>
      <c r="K51" s="2592"/>
      <c r="L51" s="2592"/>
      <c r="M51" s="1613"/>
      <c r="N51" s="1613"/>
      <c r="O51" s="2592"/>
      <c r="P51" s="2592"/>
      <c r="Q51" s="2592"/>
      <c r="R51" s="2592"/>
      <c r="S51" s="2592"/>
      <c r="T51" s="2592"/>
      <c r="U51" s="2592"/>
      <c r="V51" s="2592"/>
      <c r="W51" s="2592"/>
      <c r="X51" s="2592"/>
      <c r="Y51" s="2592"/>
      <c r="Z51" s="2592"/>
      <c r="AA51" s="2592"/>
      <c r="AB51" s="2592"/>
      <c r="AC51" s="2592"/>
      <c r="AD51" s="2592"/>
      <c r="AE51" s="2592"/>
      <c r="AF51" s="2592"/>
      <c r="AG51" s="2592"/>
      <c r="AH51" s="2592"/>
      <c r="AI51" s="2592"/>
      <c r="AJ51" s="2592"/>
      <c r="AK51" s="2592"/>
      <c r="AL51" s="2592"/>
      <c r="AM51" s="2592"/>
      <c r="AN51" s="2592"/>
      <c r="AO51" s="2592"/>
    </row>
    <row r="52" spans="1:41" s="2592" customFormat="1" ht="14.25">
      <c r="D52" s="2886"/>
      <c r="E52" s="2886"/>
      <c r="F52" s="2886"/>
      <c r="G52" s="2886"/>
      <c r="H52" s="2886"/>
      <c r="I52" s="1613"/>
      <c r="J52" s="1613"/>
      <c r="K52" s="1613"/>
      <c r="L52" s="1613"/>
      <c r="M52" s="1613"/>
      <c r="N52" s="1613"/>
    </row>
    <row r="53" spans="1:41" s="2592" customFormat="1" ht="14.25">
      <c r="D53" s="2886"/>
      <c r="E53" s="2886"/>
      <c r="F53" s="2886"/>
      <c r="G53" s="2886"/>
      <c r="H53" s="2886"/>
      <c r="I53" s="1613"/>
      <c r="J53" s="1613"/>
      <c r="K53" s="1613"/>
      <c r="L53" s="1613"/>
      <c r="M53" s="1613"/>
      <c r="N53" s="1613"/>
    </row>
    <row r="54" spans="1:41" s="2592" customFormat="1" ht="14.25">
      <c r="D54" s="2886"/>
      <c r="E54" s="2886"/>
      <c r="F54" s="2886"/>
      <c r="G54" s="2886"/>
      <c r="H54" s="2886"/>
      <c r="I54" s="1613"/>
      <c r="J54" s="1613"/>
      <c r="K54" s="1613"/>
      <c r="L54" s="1613"/>
      <c r="M54" s="1613"/>
      <c r="N54" s="1613"/>
    </row>
    <row r="55" spans="1:41" s="2592" customFormat="1" ht="14.25">
      <c r="D55" s="2886"/>
      <c r="E55" s="2886"/>
      <c r="F55" s="2886"/>
      <c r="G55" s="2886"/>
      <c r="H55" s="2886"/>
      <c r="I55" s="1613"/>
      <c r="J55" s="1613"/>
      <c r="K55" s="1613"/>
      <c r="L55" s="1613"/>
      <c r="M55" s="1613"/>
      <c r="N55" s="1613"/>
    </row>
    <row r="56" spans="1:41" s="2592" customFormat="1" ht="14.25">
      <c r="D56" s="2886"/>
      <c r="E56" s="2886"/>
      <c r="F56" s="2886"/>
      <c r="G56" s="2886"/>
      <c r="H56" s="2886"/>
      <c r="I56" s="1613"/>
      <c r="J56" s="1613"/>
      <c r="K56" s="1613"/>
      <c r="L56" s="1613"/>
      <c r="M56" s="1613"/>
      <c r="N56" s="1613"/>
    </row>
    <row r="57" spans="1:41" s="2592" customFormat="1" ht="14.25">
      <c r="D57" s="2886"/>
      <c r="E57" s="2886"/>
      <c r="F57" s="2886"/>
      <c r="G57" s="2886"/>
      <c r="H57" s="2886"/>
      <c r="I57" s="1613"/>
      <c r="J57" s="1613"/>
      <c r="K57" s="1613"/>
      <c r="L57" s="1613"/>
      <c r="M57" s="1613"/>
      <c r="N57" s="1613"/>
    </row>
    <row r="58" spans="1:41" s="2592" customFormat="1" ht="14.25">
      <c r="D58" s="2886"/>
      <c r="E58" s="2886"/>
      <c r="F58" s="2886"/>
      <c r="G58" s="2886"/>
      <c r="H58" s="2886"/>
      <c r="I58" s="1613"/>
      <c r="J58" s="1613"/>
      <c r="K58" s="1613"/>
      <c r="L58" s="1613"/>
      <c r="M58" s="1613"/>
      <c r="N58" s="1613"/>
    </row>
    <row r="59" spans="1:41" s="2592" customFormat="1" ht="14.25">
      <c r="D59" s="2886"/>
      <c r="E59" s="2886"/>
      <c r="F59" s="2886"/>
      <c r="G59" s="2886"/>
      <c r="H59" s="2886"/>
      <c r="I59" s="1613"/>
      <c r="J59" s="1613"/>
      <c r="K59" s="1613"/>
      <c r="L59" s="1613"/>
      <c r="M59" s="2887"/>
      <c r="N59" s="1613"/>
    </row>
    <row r="60" spans="1:41" s="2592" customFormat="1" ht="14.25">
      <c r="D60" s="2886"/>
      <c r="E60" s="2886"/>
      <c r="F60" s="2886"/>
      <c r="G60" s="2886"/>
      <c r="H60" s="2886"/>
      <c r="I60" s="1613"/>
      <c r="J60" s="1613"/>
      <c r="K60" s="1613"/>
      <c r="L60" s="1613"/>
      <c r="M60" s="1613"/>
      <c r="N60" s="1613"/>
    </row>
    <row r="61" spans="1:41" s="2592" customFormat="1" ht="14.25">
      <c r="D61" s="2886"/>
      <c r="E61" s="2886"/>
      <c r="F61" s="2886"/>
      <c r="G61" s="2886"/>
      <c r="H61" s="2886"/>
      <c r="I61" s="1613"/>
      <c r="J61" s="1613"/>
      <c r="K61" s="1613"/>
      <c r="L61" s="1613"/>
      <c r="M61" s="1613"/>
      <c r="N61" s="1613"/>
    </row>
    <row r="62" spans="1:41" s="2592" customFormat="1" ht="14.25">
      <c r="D62" s="2886"/>
      <c r="E62" s="2886"/>
      <c r="F62" s="2886"/>
      <c r="G62" s="2886"/>
      <c r="H62" s="2886"/>
      <c r="I62" s="1613"/>
      <c r="J62" s="1613"/>
      <c r="K62" s="1613"/>
      <c r="L62" s="1613"/>
      <c r="M62" s="1613"/>
      <c r="N62" s="1613"/>
    </row>
    <row r="63" spans="1:41" s="2592" customFormat="1" ht="14.25">
      <c r="D63" s="2886"/>
      <c r="E63" s="2886"/>
      <c r="F63" s="2886"/>
      <c r="G63" s="2886"/>
      <c r="H63" s="2886"/>
      <c r="I63" s="1613"/>
      <c r="J63" s="1613"/>
      <c r="K63" s="1613"/>
      <c r="L63" s="1613"/>
      <c r="M63" s="1613"/>
      <c r="N63" s="1613"/>
    </row>
    <row r="64" spans="1:41" s="2592" customFormat="1" ht="14.25">
      <c r="D64" s="2886"/>
      <c r="E64" s="2886"/>
      <c r="F64" s="2886"/>
      <c r="G64" s="2886"/>
      <c r="H64" s="2886"/>
      <c r="I64" s="1613"/>
      <c r="J64" s="1613"/>
      <c r="K64" s="1613"/>
      <c r="L64" s="1613"/>
      <c r="M64" s="1613"/>
      <c r="N64" s="1613"/>
    </row>
    <row r="65" spans="1:14" s="2592" customFormat="1" ht="14.25">
      <c r="D65" s="2886"/>
      <c r="E65" s="2886"/>
      <c r="F65" s="2886"/>
      <c r="G65" s="2886"/>
      <c r="H65" s="2886"/>
      <c r="I65" s="1613"/>
      <c r="J65" s="1613"/>
      <c r="K65" s="1613"/>
      <c r="L65" s="1613"/>
      <c r="M65" s="1613"/>
      <c r="N65" s="1613"/>
    </row>
    <row r="66" spans="1:14" s="2592" customFormat="1" ht="14.25">
      <c r="D66" s="2886"/>
      <c r="E66" s="2886"/>
      <c r="F66" s="2886"/>
      <c r="G66" s="2886"/>
      <c r="H66" s="2886"/>
      <c r="I66" s="1613"/>
      <c r="J66" s="1613"/>
      <c r="K66" s="1613"/>
      <c r="L66" s="1613"/>
      <c r="M66" s="1613"/>
      <c r="N66" s="1613"/>
    </row>
    <row r="67" spans="1:14" s="2592" customFormat="1" ht="14.25">
      <c r="A67" s="2890"/>
      <c r="D67" s="2886"/>
      <c r="E67" s="2886"/>
      <c r="F67" s="2886"/>
      <c r="G67" s="2886"/>
      <c r="H67" s="2886"/>
      <c r="I67" s="1613"/>
      <c r="J67" s="1613"/>
      <c r="K67" s="1613"/>
      <c r="L67" s="1613"/>
      <c r="M67" s="1613"/>
      <c r="N67" s="1613"/>
    </row>
    <row r="68" spans="1:14" s="2592" customFormat="1" ht="14.25">
      <c r="A68" s="2890"/>
      <c r="D68" s="2886"/>
      <c r="E68" s="2886"/>
      <c r="F68" s="2886"/>
      <c r="G68" s="2885"/>
      <c r="H68" s="2885"/>
    </row>
    <row r="69" spans="1:14" s="2592" customFormat="1">
      <c r="A69" s="2890"/>
      <c r="D69" s="2885"/>
      <c r="E69" s="2885"/>
      <c r="F69" s="2885"/>
      <c r="G69" s="2885"/>
      <c r="H69" s="2885"/>
    </row>
    <row r="70" spans="1:14" s="2592" customFormat="1">
      <c r="A70" s="2890"/>
      <c r="D70" s="2885"/>
      <c r="E70" s="2885"/>
      <c r="F70" s="2885"/>
      <c r="G70" s="2885"/>
      <c r="H70" s="2885"/>
    </row>
    <row r="71" spans="1:14" s="2592" customFormat="1">
      <c r="A71" s="2890"/>
      <c r="D71" s="2885"/>
      <c r="E71" s="2885"/>
      <c r="F71" s="2885"/>
      <c r="G71" s="2885"/>
      <c r="H71" s="2885"/>
    </row>
    <row r="72" spans="1:14" s="2592" customFormat="1">
      <c r="A72" s="2890"/>
      <c r="D72" s="2885"/>
      <c r="E72" s="2885"/>
      <c r="F72" s="2885"/>
      <c r="G72" s="2885"/>
      <c r="H72" s="2885"/>
    </row>
    <row r="73" spans="1:14" s="2592" customFormat="1">
      <c r="A73" s="2890"/>
      <c r="D73" s="2885"/>
      <c r="E73" s="2885"/>
      <c r="F73" s="2885"/>
      <c r="G73" s="2885"/>
      <c r="H73" s="2885"/>
    </row>
    <row r="74" spans="1:14" s="2592" customFormat="1">
      <c r="A74" s="2890"/>
      <c r="D74" s="2885"/>
      <c r="E74" s="2885"/>
      <c r="F74" s="2885"/>
      <c r="G74" s="2885"/>
      <c r="H74" s="2885"/>
    </row>
    <row r="75" spans="1:14" s="2592" customFormat="1">
      <c r="A75" s="2890"/>
      <c r="D75" s="2885"/>
      <c r="E75" s="2885"/>
      <c r="F75" s="2885"/>
      <c r="G75" s="2885"/>
      <c r="H75" s="2885"/>
    </row>
    <row r="76" spans="1:14" s="2592" customFormat="1">
      <c r="A76" s="2890"/>
      <c r="D76" s="2885"/>
      <c r="E76" s="2885"/>
      <c r="F76" s="2885"/>
      <c r="G76" s="2885"/>
      <c r="H76" s="2885"/>
    </row>
    <row r="77" spans="1:14" s="2592" customFormat="1">
      <c r="A77" s="2890"/>
      <c r="D77" s="2885"/>
      <c r="E77" s="2885"/>
      <c r="F77" s="2885"/>
      <c r="G77" s="2885"/>
      <c r="H77" s="2885"/>
    </row>
    <row r="78" spans="1:14" s="2592" customFormat="1">
      <c r="A78" s="2890"/>
      <c r="D78" s="2885"/>
      <c r="E78" s="2885"/>
      <c r="F78" s="2885"/>
      <c r="G78" s="2885"/>
      <c r="H78" s="2885"/>
    </row>
    <row r="79" spans="1:14" s="2592" customFormat="1">
      <c r="A79" s="2890"/>
      <c r="D79" s="2885"/>
      <c r="E79" s="2885"/>
      <c r="F79" s="2885"/>
      <c r="G79" s="2885"/>
      <c r="H79" s="2885"/>
    </row>
    <row r="80" spans="1:14" s="2592" customFormat="1">
      <c r="A80" s="2890"/>
      <c r="D80" s="2885"/>
      <c r="E80" s="2885"/>
      <c r="F80" s="2885"/>
      <c r="G80" s="2885"/>
      <c r="H80" s="2885"/>
    </row>
    <row r="81" spans="1:8" s="2592" customFormat="1">
      <c r="A81" s="2890"/>
      <c r="D81" s="2885"/>
      <c r="E81" s="2885"/>
      <c r="F81" s="2885"/>
      <c r="G81" s="2885"/>
      <c r="H81" s="2885"/>
    </row>
    <row r="82" spans="1:8" s="2592" customFormat="1">
      <c r="A82" s="2890"/>
      <c r="D82" s="2885"/>
      <c r="E82" s="2885"/>
      <c r="F82" s="2885"/>
      <c r="G82" s="2885"/>
      <c r="H82" s="2885"/>
    </row>
    <row r="83" spans="1:8" s="2592" customFormat="1">
      <c r="A83" s="2890"/>
      <c r="D83" s="2885"/>
      <c r="E83" s="2885"/>
      <c r="F83" s="2885"/>
      <c r="G83" s="2885"/>
      <c r="H83" s="2885"/>
    </row>
    <row r="84" spans="1:8" s="2592" customFormat="1">
      <c r="A84" s="2890"/>
      <c r="D84" s="2885"/>
      <c r="E84" s="2885"/>
      <c r="F84" s="2885"/>
      <c r="G84" s="2885"/>
      <c r="H84" s="2885"/>
    </row>
    <row r="85" spans="1:8" s="2592" customFormat="1">
      <c r="A85" s="2890"/>
      <c r="D85" s="2885"/>
      <c r="E85" s="2885"/>
      <c r="F85" s="2885"/>
      <c r="G85" s="2885"/>
      <c r="H85" s="2885"/>
    </row>
    <row r="86" spans="1:8" s="2592" customFormat="1">
      <c r="A86" s="2890"/>
      <c r="D86" s="2885"/>
      <c r="E86" s="2885"/>
      <c r="F86" s="2885"/>
      <c r="G86" s="2885"/>
      <c r="H86" s="2885"/>
    </row>
    <row r="87" spans="1:8" s="2592" customFormat="1">
      <c r="A87" s="2890"/>
      <c r="D87" s="2885"/>
      <c r="E87" s="2885"/>
      <c r="F87" s="2885"/>
      <c r="G87" s="2885"/>
      <c r="H87" s="2885"/>
    </row>
    <row r="88" spans="1:8" s="2592" customFormat="1">
      <c r="A88" s="2890"/>
      <c r="D88" s="2885"/>
      <c r="E88" s="2885"/>
      <c r="F88" s="2885"/>
      <c r="G88" s="2885"/>
      <c r="H88" s="2885"/>
    </row>
    <row r="89" spans="1:8" s="2592" customFormat="1">
      <c r="A89" s="2890"/>
      <c r="D89" s="2885"/>
      <c r="E89" s="2885"/>
      <c r="F89" s="2885"/>
      <c r="G89" s="2885"/>
      <c r="H89" s="2885"/>
    </row>
    <row r="90" spans="1:8" s="2592" customFormat="1">
      <c r="A90" s="2890"/>
      <c r="D90" s="2885"/>
      <c r="E90" s="2885"/>
      <c r="F90" s="2885"/>
      <c r="G90" s="2885"/>
      <c r="H90" s="2885"/>
    </row>
    <row r="91" spans="1:8" s="2592" customFormat="1">
      <c r="A91" s="2890"/>
      <c r="D91" s="2885"/>
      <c r="E91" s="2885"/>
      <c r="F91" s="2885"/>
      <c r="G91" s="2885"/>
      <c r="H91" s="2885"/>
    </row>
    <row r="92" spans="1:8" s="2592" customFormat="1">
      <c r="A92" s="2890"/>
      <c r="D92" s="2885"/>
      <c r="E92" s="2885"/>
      <c r="F92" s="2885"/>
      <c r="G92" s="2885"/>
      <c r="H92" s="2885"/>
    </row>
    <row r="93" spans="1:8" s="2592" customFormat="1">
      <c r="A93" s="2890"/>
      <c r="D93" s="2885"/>
      <c r="E93" s="2885"/>
      <c r="F93" s="2885"/>
      <c r="G93" s="2885"/>
      <c r="H93" s="2885"/>
    </row>
    <row r="94" spans="1:8" s="2592" customFormat="1">
      <c r="A94" s="2890"/>
      <c r="D94" s="2885"/>
      <c r="E94" s="2885"/>
      <c r="F94" s="2885"/>
      <c r="G94" s="2885"/>
      <c r="H94" s="2885"/>
    </row>
    <row r="95" spans="1:8" s="2592" customFormat="1">
      <c r="A95" s="2890"/>
      <c r="D95" s="2885"/>
      <c r="E95" s="2885"/>
      <c r="F95" s="2885"/>
      <c r="G95" s="2885"/>
      <c r="H95" s="2885"/>
    </row>
    <row r="96" spans="1:8" s="2592" customFormat="1">
      <c r="A96" s="2890"/>
      <c r="D96" s="2885"/>
      <c r="E96" s="2885"/>
      <c r="F96" s="2885"/>
      <c r="G96" s="2885"/>
      <c r="H96" s="2885"/>
    </row>
    <row r="97" spans="1:8" s="2592" customFormat="1">
      <c r="A97" s="2890"/>
      <c r="D97" s="2885"/>
      <c r="E97" s="2885"/>
      <c r="F97" s="2885"/>
      <c r="G97" s="2885"/>
      <c r="H97" s="2885"/>
    </row>
    <row r="98" spans="1:8" s="2592" customFormat="1">
      <c r="A98" s="2890"/>
      <c r="D98" s="2885"/>
      <c r="E98" s="2885"/>
      <c r="F98" s="2885"/>
      <c r="G98" s="2885"/>
      <c r="H98" s="2885"/>
    </row>
    <row r="99" spans="1:8" s="2592" customFormat="1">
      <c r="A99" s="2890"/>
      <c r="D99" s="2885"/>
      <c r="E99" s="2885"/>
      <c r="F99" s="2885"/>
      <c r="G99" s="2885"/>
      <c r="H99" s="2885"/>
    </row>
    <row r="100" spans="1:8" s="2592" customFormat="1">
      <c r="A100" s="2890"/>
      <c r="D100" s="2885"/>
      <c r="E100" s="2885"/>
      <c r="F100" s="2885"/>
      <c r="G100" s="2885"/>
      <c r="H100" s="2885"/>
    </row>
    <row r="101" spans="1:8" s="2592" customFormat="1">
      <c r="A101" s="2890"/>
      <c r="D101" s="2885"/>
      <c r="E101" s="2885"/>
      <c r="F101" s="2885"/>
      <c r="G101" s="2885"/>
      <c r="H101" s="2885"/>
    </row>
    <row r="102" spans="1:8" s="2592" customFormat="1">
      <c r="A102" s="2890"/>
      <c r="D102" s="2885"/>
      <c r="E102" s="2885"/>
      <c r="F102" s="2885"/>
      <c r="G102" s="2885"/>
      <c r="H102" s="2885"/>
    </row>
    <row r="103" spans="1:8" s="2592" customFormat="1">
      <c r="A103" s="2890"/>
      <c r="D103" s="2885"/>
      <c r="E103" s="2885"/>
      <c r="F103" s="2885"/>
      <c r="G103" s="2885"/>
      <c r="H103" s="2885"/>
    </row>
    <row r="104" spans="1:8" s="2592" customFormat="1">
      <c r="A104" s="2890"/>
      <c r="D104" s="2885"/>
      <c r="E104" s="2885"/>
      <c r="F104" s="2885"/>
      <c r="G104" s="2885"/>
      <c r="H104" s="2885"/>
    </row>
    <row r="105" spans="1:8" s="2592" customFormat="1">
      <c r="A105" s="2890"/>
      <c r="D105" s="2885"/>
      <c r="E105" s="2885"/>
      <c r="F105" s="2885"/>
      <c r="G105" s="2885"/>
      <c r="H105" s="2885"/>
    </row>
    <row r="106" spans="1:8" s="2592" customFormat="1">
      <c r="A106" s="2890"/>
      <c r="D106" s="2885"/>
      <c r="E106" s="2885"/>
      <c r="F106" s="2885"/>
      <c r="G106" s="2885"/>
      <c r="H106" s="2885"/>
    </row>
    <row r="107" spans="1:8" s="2592" customFormat="1">
      <c r="A107" s="2890"/>
      <c r="D107" s="2885"/>
      <c r="E107" s="2885"/>
      <c r="F107" s="2885"/>
      <c r="G107" s="2885"/>
      <c r="H107" s="2885"/>
    </row>
    <row r="108" spans="1:8" s="2592" customFormat="1">
      <c r="A108" s="2890"/>
      <c r="D108" s="2885"/>
      <c r="E108" s="2885"/>
      <c r="F108" s="2885"/>
      <c r="G108" s="2885"/>
      <c r="H108" s="2885"/>
    </row>
    <row r="109" spans="1:8" s="2592" customFormat="1">
      <c r="A109" s="2890"/>
      <c r="D109" s="2885"/>
      <c r="E109" s="2885"/>
      <c r="F109" s="2885"/>
      <c r="G109" s="2885"/>
      <c r="H109" s="2885"/>
    </row>
    <row r="110" spans="1:8" s="2592" customFormat="1">
      <c r="A110" s="2890"/>
      <c r="D110" s="2885"/>
      <c r="E110" s="2885"/>
      <c r="F110" s="2885"/>
      <c r="G110" s="2885"/>
      <c r="H110" s="2885"/>
    </row>
    <row r="111" spans="1:8" s="2592" customFormat="1">
      <c r="A111" s="2890"/>
      <c r="D111" s="2885"/>
      <c r="E111" s="2885"/>
      <c r="F111" s="2885"/>
      <c r="G111" s="2885"/>
      <c r="H111" s="2885"/>
    </row>
    <row r="112" spans="1:8" s="2592" customFormat="1">
      <c r="A112" s="2890"/>
      <c r="D112" s="2885"/>
      <c r="E112" s="2885"/>
      <c r="F112" s="2885"/>
      <c r="G112" s="2885"/>
      <c r="H112" s="2885"/>
    </row>
    <row r="113" spans="1:8" s="2592" customFormat="1">
      <c r="A113" s="2890"/>
      <c r="D113" s="2885"/>
      <c r="E113" s="2885"/>
      <c r="F113" s="2885"/>
      <c r="G113" s="2885"/>
      <c r="H113" s="2885"/>
    </row>
    <row r="114" spans="1:8" s="2592" customFormat="1">
      <c r="A114" s="2890"/>
      <c r="D114" s="2885"/>
      <c r="E114" s="2885"/>
      <c r="F114" s="2885"/>
      <c r="G114" s="2885"/>
      <c r="H114" s="2885"/>
    </row>
    <row r="115" spans="1:8" s="2592" customFormat="1">
      <c r="A115" s="2890"/>
      <c r="D115" s="2885"/>
      <c r="E115" s="2885"/>
      <c r="F115" s="2885"/>
      <c r="G115" s="2885"/>
      <c r="H115" s="2885"/>
    </row>
    <row r="116" spans="1:8" s="2592" customFormat="1">
      <c r="A116" s="2890"/>
      <c r="D116" s="2885"/>
      <c r="E116" s="2885"/>
      <c r="F116" s="2885"/>
      <c r="G116" s="2885"/>
      <c r="H116" s="2885"/>
    </row>
    <row r="117" spans="1:8" s="2592" customFormat="1">
      <c r="A117" s="2890"/>
      <c r="D117" s="2885"/>
      <c r="E117" s="2885"/>
      <c r="F117" s="2885"/>
      <c r="G117" s="2885"/>
      <c r="H117" s="2885"/>
    </row>
    <row r="118" spans="1:8" s="2592" customFormat="1">
      <c r="A118" s="2890"/>
      <c r="D118" s="2885"/>
      <c r="E118" s="2885"/>
      <c r="F118" s="2885"/>
      <c r="G118" s="2885"/>
      <c r="H118" s="2885"/>
    </row>
    <row r="119" spans="1:8" s="2592" customFormat="1">
      <c r="A119" s="2890"/>
      <c r="D119" s="2885"/>
      <c r="E119" s="2885"/>
      <c r="F119" s="2885"/>
      <c r="G119" s="2885"/>
      <c r="H119" s="2885"/>
    </row>
    <row r="120" spans="1:8" s="2592" customFormat="1">
      <c r="A120" s="2890"/>
      <c r="D120" s="2885"/>
      <c r="E120" s="2885"/>
      <c r="F120" s="2885"/>
      <c r="G120" s="2885"/>
      <c r="H120" s="2885"/>
    </row>
    <row r="121" spans="1:8" s="2592" customFormat="1">
      <c r="A121" s="2890"/>
      <c r="D121" s="2885"/>
      <c r="E121" s="2885"/>
      <c r="F121" s="2885"/>
      <c r="G121" s="2885"/>
      <c r="H121" s="2885"/>
    </row>
    <row r="122" spans="1:8" s="2592" customFormat="1">
      <c r="A122" s="2890"/>
      <c r="D122" s="2885"/>
      <c r="E122" s="2885"/>
      <c r="F122" s="2885"/>
      <c r="G122" s="2885"/>
      <c r="H122" s="2885"/>
    </row>
    <row r="123" spans="1:8" s="2592" customFormat="1">
      <c r="A123" s="2890"/>
      <c r="D123" s="2885"/>
      <c r="E123" s="2885"/>
      <c r="F123" s="2885"/>
      <c r="G123" s="2885"/>
      <c r="H123" s="2885"/>
    </row>
    <row r="124" spans="1:8" s="2592" customFormat="1">
      <c r="A124" s="2890"/>
      <c r="D124" s="2885"/>
      <c r="E124" s="2885"/>
      <c r="F124" s="2885"/>
      <c r="G124" s="2885"/>
      <c r="H124" s="2885"/>
    </row>
    <row r="125" spans="1:8" s="2592" customFormat="1">
      <c r="A125" s="2890"/>
      <c r="D125" s="2885"/>
      <c r="E125" s="2885"/>
      <c r="F125" s="2885"/>
      <c r="G125" s="2885"/>
      <c r="H125" s="2885"/>
    </row>
    <row r="126" spans="1:8" s="2592" customFormat="1">
      <c r="A126" s="2890"/>
      <c r="D126" s="2885"/>
      <c r="E126" s="2885"/>
      <c r="F126" s="2885"/>
      <c r="G126" s="2885"/>
      <c r="H126" s="2885"/>
    </row>
    <row r="127" spans="1:8" s="2592" customFormat="1">
      <c r="A127" s="2890"/>
      <c r="D127" s="2885"/>
      <c r="E127" s="2885"/>
      <c r="F127" s="2885"/>
      <c r="G127" s="2885"/>
      <c r="H127" s="2885"/>
    </row>
    <row r="128" spans="1:8" s="2592" customFormat="1">
      <c r="A128" s="2890"/>
      <c r="D128" s="2885"/>
      <c r="E128" s="2885"/>
      <c r="F128" s="2885"/>
      <c r="G128" s="2885"/>
      <c r="H128" s="2885"/>
    </row>
    <row r="129" spans="1:8" s="2592" customFormat="1">
      <c r="A129" s="2890"/>
      <c r="D129" s="2885"/>
      <c r="E129" s="2885"/>
      <c r="F129" s="2885"/>
      <c r="G129" s="2885"/>
      <c r="H129" s="2885"/>
    </row>
    <row r="130" spans="1:8" s="2592" customFormat="1">
      <c r="A130" s="2890"/>
      <c r="D130" s="2885"/>
      <c r="E130" s="2885"/>
      <c r="F130" s="2885"/>
      <c r="G130" s="2885"/>
      <c r="H130" s="2885"/>
    </row>
    <row r="131" spans="1:8" s="2592" customFormat="1">
      <c r="A131" s="2890"/>
      <c r="D131" s="2885"/>
      <c r="E131" s="2885"/>
      <c r="F131" s="2885"/>
      <c r="G131" s="2885"/>
      <c r="H131" s="2885"/>
    </row>
    <row r="132" spans="1:8" s="2592" customFormat="1">
      <c r="A132" s="2890"/>
      <c r="D132" s="2885"/>
      <c r="E132" s="2885"/>
      <c r="F132" s="2885"/>
      <c r="G132" s="2885"/>
      <c r="H132" s="2885"/>
    </row>
    <row r="133" spans="1:8" s="2592" customFormat="1">
      <c r="A133" s="2890"/>
      <c r="D133" s="2885"/>
      <c r="E133" s="2885"/>
      <c r="F133" s="2885"/>
      <c r="G133" s="2885"/>
      <c r="H133" s="2885"/>
    </row>
    <row r="134" spans="1:8" s="2592" customFormat="1">
      <c r="A134" s="2890"/>
      <c r="D134" s="2885"/>
      <c r="E134" s="2885"/>
      <c r="F134" s="2885"/>
      <c r="G134" s="2885"/>
      <c r="H134" s="2885"/>
    </row>
    <row r="135" spans="1:8" s="2592" customFormat="1">
      <c r="A135" s="2890"/>
      <c r="D135" s="2885"/>
      <c r="E135" s="2885"/>
      <c r="F135" s="2885"/>
      <c r="G135" s="2885"/>
      <c r="H135" s="2885"/>
    </row>
    <row r="136" spans="1:8" s="2592" customFormat="1">
      <c r="A136" s="2890"/>
      <c r="D136" s="2885"/>
      <c r="E136" s="2885"/>
      <c r="F136" s="2885"/>
      <c r="G136" s="2885"/>
      <c r="H136" s="2885"/>
    </row>
    <row r="137" spans="1:8" s="2592" customFormat="1">
      <c r="A137" s="2890"/>
      <c r="D137" s="2885"/>
      <c r="E137" s="2885"/>
      <c r="F137" s="2885"/>
      <c r="G137" s="2885"/>
      <c r="H137" s="2885"/>
    </row>
    <row r="138" spans="1:8" s="2592" customFormat="1">
      <c r="A138" s="2890"/>
      <c r="D138" s="2885"/>
      <c r="E138" s="2885"/>
      <c r="F138" s="2885"/>
      <c r="G138" s="2885"/>
      <c r="H138" s="2885"/>
    </row>
    <row r="139" spans="1:8" s="2592" customFormat="1">
      <c r="A139" s="2890"/>
      <c r="D139" s="2885"/>
      <c r="E139" s="2885"/>
      <c r="F139" s="2885"/>
      <c r="G139" s="2885"/>
      <c r="H139" s="2885"/>
    </row>
    <row r="140" spans="1:8" s="2592" customFormat="1">
      <c r="A140" s="2890"/>
      <c r="D140" s="2885"/>
      <c r="E140" s="2885"/>
      <c r="F140" s="2885"/>
      <c r="G140" s="2885"/>
      <c r="H140" s="2885"/>
    </row>
    <row r="141" spans="1:8" s="2592" customFormat="1">
      <c r="A141" s="2890"/>
      <c r="D141" s="2885"/>
      <c r="E141" s="2885"/>
      <c r="F141" s="2885"/>
      <c r="G141" s="2885"/>
      <c r="H141" s="2885"/>
    </row>
    <row r="142" spans="1:8" s="2592" customFormat="1">
      <c r="A142" s="2890"/>
      <c r="D142" s="2885"/>
      <c r="E142" s="2885"/>
      <c r="F142" s="2885"/>
      <c r="G142" s="2885"/>
      <c r="H142" s="2885"/>
    </row>
    <row r="143" spans="1:8" s="2592" customFormat="1">
      <c r="A143" s="2890"/>
      <c r="D143" s="2885"/>
      <c r="E143" s="2885"/>
      <c r="F143" s="2885"/>
      <c r="G143" s="2885"/>
      <c r="H143" s="2885"/>
    </row>
    <row r="144" spans="1:8" s="2592" customFormat="1">
      <c r="A144" s="2890"/>
      <c r="D144" s="2885"/>
      <c r="E144" s="2885"/>
      <c r="F144" s="2885"/>
      <c r="G144" s="2885"/>
      <c r="H144" s="2885"/>
    </row>
    <row r="145" spans="1:8" s="2592" customFormat="1">
      <c r="A145" s="2890"/>
      <c r="D145" s="2885"/>
      <c r="E145" s="2885"/>
      <c r="F145" s="2885"/>
      <c r="G145" s="2885"/>
      <c r="H145" s="2885"/>
    </row>
    <row r="146" spans="1:8" s="2592" customFormat="1">
      <c r="A146" s="2890"/>
      <c r="D146" s="2885"/>
      <c r="E146" s="2885"/>
      <c r="F146" s="2885"/>
      <c r="G146" s="2885"/>
      <c r="H146" s="2885"/>
    </row>
    <row r="147" spans="1:8" s="2592" customFormat="1">
      <c r="A147" s="2890"/>
      <c r="D147" s="2885"/>
      <c r="E147" s="2885"/>
      <c r="F147" s="2885"/>
      <c r="G147" s="2885"/>
      <c r="H147" s="2885"/>
    </row>
    <row r="148" spans="1:8" s="2592" customFormat="1">
      <c r="A148" s="2890"/>
      <c r="D148" s="2885"/>
      <c r="E148" s="2885"/>
      <c r="F148" s="2885"/>
      <c r="G148" s="2885"/>
      <c r="H148" s="2885"/>
    </row>
    <row r="149" spans="1:8" s="2592" customFormat="1">
      <c r="A149" s="2890"/>
      <c r="D149" s="2885"/>
      <c r="E149" s="2885"/>
      <c r="F149" s="2885"/>
      <c r="G149" s="2885"/>
      <c r="H149" s="2885"/>
    </row>
    <row r="150" spans="1:8" s="2592" customFormat="1">
      <c r="A150" s="2890"/>
      <c r="D150" s="2885"/>
      <c r="E150" s="2885"/>
      <c r="F150" s="2885"/>
      <c r="G150" s="2885"/>
      <c r="H150" s="2885"/>
    </row>
    <row r="151" spans="1:8" s="2592" customFormat="1">
      <c r="A151" s="2890"/>
      <c r="D151" s="2885"/>
      <c r="E151" s="2885"/>
      <c r="F151" s="2885"/>
      <c r="G151" s="2885"/>
      <c r="H151" s="2885"/>
    </row>
    <row r="152" spans="1:8" s="2592" customFormat="1">
      <c r="A152" s="2890"/>
      <c r="D152" s="2885"/>
      <c r="E152" s="2885"/>
      <c r="F152" s="2885"/>
      <c r="G152" s="2885"/>
      <c r="H152" s="2885"/>
    </row>
    <row r="153" spans="1:8" s="2592" customFormat="1">
      <c r="A153" s="2890"/>
      <c r="D153" s="2885"/>
      <c r="E153" s="2885"/>
      <c r="F153" s="2885"/>
      <c r="G153" s="2885"/>
      <c r="H153" s="2885"/>
    </row>
    <row r="154" spans="1:8" s="2592" customFormat="1">
      <c r="A154" s="2890"/>
      <c r="D154" s="2885"/>
      <c r="E154" s="2885"/>
      <c r="F154" s="2885"/>
      <c r="G154" s="2885"/>
      <c r="H154" s="2885"/>
    </row>
    <row r="155" spans="1:8" s="2592" customFormat="1">
      <c r="A155" s="2890"/>
      <c r="D155" s="2885"/>
      <c r="E155" s="2885"/>
      <c r="F155" s="2885"/>
      <c r="G155" s="2885"/>
      <c r="H155" s="2885"/>
    </row>
    <row r="156" spans="1:8" s="2592" customFormat="1">
      <c r="A156" s="2890"/>
      <c r="D156" s="2885"/>
      <c r="E156" s="2885"/>
      <c r="F156" s="2885"/>
      <c r="G156" s="2885"/>
      <c r="H156" s="2885"/>
    </row>
    <row r="157" spans="1:8" s="2592" customFormat="1">
      <c r="A157" s="2890"/>
      <c r="D157" s="2885"/>
      <c r="E157" s="2885"/>
      <c r="F157" s="2885"/>
      <c r="G157" s="2885"/>
      <c r="H157" s="2885"/>
    </row>
    <row r="158" spans="1:8">
      <c r="A158" s="2890"/>
      <c r="B158" s="2592"/>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G53" sqref="G53"/>
      <selection pane="topRight" activeCell="G53" sqref="G53"/>
      <selection pane="bottomLeft" activeCell="G53" sqref="G53"/>
      <selection pane="bottomRight" activeCell="G53" sqref="G53"/>
    </sheetView>
  </sheetViews>
  <sheetFormatPr defaultColWidth="9" defaultRowHeight="14.25"/>
  <cols>
    <col min="1" max="1" width="14.75" style="2555" customWidth="1"/>
    <col min="2" max="2" width="24.5" style="2568" customWidth="1"/>
    <col min="3" max="3" width="28.375" style="2628" customWidth="1"/>
    <col min="4" max="4" width="2.625" style="2628" customWidth="1"/>
    <col min="5" max="5" width="5.875" style="2628" customWidth="1"/>
    <col min="6" max="6" width="27" style="2568" customWidth="1"/>
    <col min="7" max="7" width="32.375" style="2629" customWidth="1"/>
    <col min="8" max="8" width="11.875" style="2625" customWidth="1"/>
    <col min="9" max="9" width="16.75" style="2626" customWidth="1"/>
    <col min="10" max="10" width="2.625" style="2625" customWidth="1"/>
    <col min="11" max="11" width="11.875" style="2625" customWidth="1"/>
    <col min="12" max="12" width="16.75" style="2626" customWidth="1"/>
    <col min="13" max="13" width="2.625" style="2625" customWidth="1"/>
    <col min="14" max="14" width="11.875" style="2625" customWidth="1"/>
    <col min="15" max="15" width="16.75" style="2626" customWidth="1"/>
    <col min="16" max="16" width="2.625" style="2625" customWidth="1"/>
    <col min="17" max="17" width="11.875" style="2625" customWidth="1"/>
    <col min="18" max="18" width="16.75" style="2627" customWidth="1"/>
    <col min="19" max="29" width="9" style="2615"/>
    <col min="30" max="16384" width="9" style="2555"/>
  </cols>
  <sheetData>
    <row r="1" spans="1:29" s="2613" customFormat="1" ht="19.5" thickBot="1">
      <c r="A1" s="3420" t="s">
        <v>1463</v>
      </c>
      <c r="B1" s="3421"/>
      <c r="C1" s="3421"/>
      <c r="D1" s="3421"/>
      <c r="E1" s="3421"/>
      <c r="F1" s="3421"/>
      <c r="G1" s="3421"/>
      <c r="H1" s="2608"/>
      <c r="I1" s="2609"/>
      <c r="J1" s="2608"/>
      <c r="K1" s="2608"/>
      <c r="L1" s="2609"/>
      <c r="M1" s="2608"/>
      <c r="N1" s="2608"/>
      <c r="O1" s="2609"/>
      <c r="P1" s="2608"/>
      <c r="Q1" s="2610"/>
      <c r="R1" s="2611"/>
      <c r="S1" s="2612"/>
      <c r="T1" s="2612"/>
      <c r="U1" s="2612"/>
      <c r="V1" s="2612"/>
      <c r="W1" s="2612"/>
      <c r="X1" s="2612"/>
      <c r="Y1" s="2612"/>
      <c r="Z1" s="2612"/>
      <c r="AA1" s="2612"/>
      <c r="AB1" s="2612"/>
      <c r="AC1" s="2612"/>
    </row>
    <row r="2" spans="1:29" s="2552" customFormat="1" ht="13.5" thickBot="1">
      <c r="A2" s="3015"/>
      <c r="B2" s="3016"/>
      <c r="C2" s="3017" t="s">
        <v>2607</v>
      </c>
      <c r="D2" s="3018"/>
      <c r="E2" s="3015"/>
      <c r="F2" s="3019"/>
      <c r="G2" s="3017" t="s">
        <v>2608</v>
      </c>
      <c r="H2" s="3020"/>
      <c r="I2" s="3020"/>
      <c r="J2" s="3020"/>
      <c r="K2" s="3020"/>
      <c r="L2" s="3020"/>
      <c r="M2" s="3020"/>
      <c r="N2" s="3020"/>
      <c r="O2" s="3020"/>
      <c r="P2" s="3020"/>
      <c r="Q2" s="3020"/>
      <c r="R2" s="3020"/>
      <c r="S2" s="3020"/>
      <c r="T2" s="3020"/>
      <c r="U2" s="3020"/>
      <c r="V2" s="3020"/>
      <c r="W2" s="3020"/>
      <c r="X2" s="3020"/>
      <c r="Y2" s="3020"/>
      <c r="Z2" s="3020"/>
      <c r="AA2" s="3020"/>
      <c r="AB2" s="3020"/>
      <c r="AC2" s="3020"/>
    </row>
    <row r="3" spans="1:29" s="2552" customFormat="1" ht="36">
      <c r="A3" s="3021" t="s">
        <v>2609</v>
      </c>
      <c r="B3" s="3022" t="s">
        <v>2610</v>
      </c>
      <c r="C3" s="3023" t="s">
        <v>2611</v>
      </c>
      <c r="D3" s="3024"/>
      <c r="E3" s="3025" t="s">
        <v>2609</v>
      </c>
      <c r="F3" s="3026" t="s">
        <v>2612</v>
      </c>
      <c r="G3" s="3027" t="s">
        <v>2613</v>
      </c>
      <c r="H3" s="3020"/>
      <c r="I3" s="3020"/>
      <c r="J3" s="3020"/>
      <c r="K3" s="3020"/>
      <c r="L3" s="3020"/>
      <c r="M3" s="3020"/>
      <c r="N3" s="3020"/>
      <c r="O3" s="3020"/>
      <c r="P3" s="3020"/>
      <c r="Q3" s="3020"/>
      <c r="R3" s="3020"/>
      <c r="S3" s="3020"/>
      <c r="T3" s="3020"/>
      <c r="U3" s="3020"/>
      <c r="V3" s="3020"/>
      <c r="W3" s="3020"/>
      <c r="X3" s="3020"/>
      <c r="Y3" s="3020"/>
      <c r="Z3" s="3020"/>
      <c r="AA3" s="3020"/>
      <c r="AB3" s="3020"/>
      <c r="AC3" s="3020"/>
    </row>
    <row r="4" spans="1:29" s="2552" customFormat="1" ht="24.75">
      <c r="A4" s="3025"/>
      <c r="B4" s="3009" t="s">
        <v>2614</v>
      </c>
      <c r="C4" s="3028" t="s">
        <v>2615</v>
      </c>
      <c r="D4" s="3024"/>
      <c r="E4" s="3029"/>
      <c r="F4" s="3011" t="s">
        <v>2616</v>
      </c>
      <c r="G4" s="3030" t="s">
        <v>2617</v>
      </c>
      <c r="H4" s="3020"/>
      <c r="I4" s="3020"/>
      <c r="J4" s="3020"/>
      <c r="K4" s="3020"/>
      <c r="L4" s="3020"/>
      <c r="M4" s="3020"/>
      <c r="N4" s="3020"/>
      <c r="O4" s="3020"/>
      <c r="P4" s="3020"/>
      <c r="Q4" s="3020"/>
      <c r="R4" s="3020"/>
      <c r="S4" s="3020"/>
      <c r="T4" s="3020"/>
      <c r="U4" s="3020"/>
      <c r="V4" s="3020"/>
      <c r="W4" s="3020"/>
      <c r="X4" s="3020"/>
      <c r="Y4" s="3020"/>
      <c r="Z4" s="3020"/>
      <c r="AA4" s="3020"/>
      <c r="AB4" s="3020"/>
      <c r="AC4" s="3020"/>
    </row>
    <row r="5" spans="1:29" s="2552" customFormat="1" ht="24.75">
      <c r="A5" s="3025"/>
      <c r="B5" s="3009" t="s">
        <v>2618</v>
      </c>
      <c r="C5" s="3028" t="s">
        <v>2619</v>
      </c>
      <c r="D5" s="3024"/>
      <c r="E5" s="3029"/>
      <c r="F5" s="3009" t="s">
        <v>2620</v>
      </c>
      <c r="G5" s="3030" t="s">
        <v>2621</v>
      </c>
      <c r="H5" s="3020"/>
      <c r="I5" s="3020"/>
      <c r="J5" s="3020"/>
      <c r="K5" s="3020"/>
      <c r="L5" s="3020"/>
      <c r="M5" s="3020"/>
      <c r="N5" s="3020"/>
      <c r="O5" s="3020"/>
      <c r="P5" s="3020"/>
      <c r="Q5" s="3020"/>
      <c r="R5" s="3020"/>
      <c r="S5" s="3020"/>
      <c r="T5" s="3020"/>
      <c r="U5" s="3020"/>
      <c r="V5" s="3020"/>
      <c r="W5" s="3020"/>
      <c r="X5" s="3020"/>
      <c r="Y5" s="3020"/>
      <c r="Z5" s="3020"/>
      <c r="AA5" s="3020"/>
      <c r="AB5" s="3020"/>
      <c r="AC5" s="3020"/>
    </row>
    <row r="6" spans="1:29" s="2552" customFormat="1" ht="36">
      <c r="A6" s="3025"/>
      <c r="B6" s="3009" t="s">
        <v>2622</v>
      </c>
      <c r="C6" s="3030" t="s">
        <v>2617</v>
      </c>
      <c r="D6" s="3024"/>
      <c r="E6" s="3029"/>
      <c r="F6" s="3009" t="s">
        <v>2623</v>
      </c>
      <c r="G6" s="3030" t="s">
        <v>2624</v>
      </c>
      <c r="H6" s="3020"/>
      <c r="I6" s="3020"/>
      <c r="J6" s="3020"/>
      <c r="K6" s="3020"/>
      <c r="L6" s="3020"/>
      <c r="M6" s="3020"/>
      <c r="N6" s="3020"/>
      <c r="O6" s="3020"/>
      <c r="P6" s="3020"/>
      <c r="Q6" s="3020"/>
      <c r="R6" s="3020"/>
      <c r="S6" s="3020"/>
      <c r="T6" s="3020"/>
      <c r="U6" s="3020"/>
      <c r="V6" s="3020"/>
      <c r="W6" s="3020"/>
      <c r="X6" s="3020"/>
      <c r="Y6" s="3020"/>
      <c r="Z6" s="3020"/>
      <c r="AA6" s="3020"/>
      <c r="AB6" s="3020"/>
      <c r="AC6" s="3020"/>
    </row>
    <row r="7" spans="1:29" s="2552" customFormat="1" ht="24.75" thickBot="1">
      <c r="A7" s="3025"/>
      <c r="B7" s="3009" t="s">
        <v>2620</v>
      </c>
      <c r="C7" s="3030" t="s">
        <v>2621</v>
      </c>
      <c r="D7" s="2899"/>
      <c r="E7" s="3031"/>
      <c r="F7" s="3032" t="s">
        <v>2625</v>
      </c>
      <c r="G7" s="3033" t="s">
        <v>2626</v>
      </c>
      <c r="H7" s="3020"/>
      <c r="I7" s="3020"/>
      <c r="J7" s="3020"/>
      <c r="K7" s="3020"/>
      <c r="L7" s="3020"/>
      <c r="M7" s="3020"/>
      <c r="N7" s="3020"/>
      <c r="O7" s="3020"/>
      <c r="P7" s="3020"/>
      <c r="Q7" s="3020"/>
      <c r="R7" s="3020"/>
      <c r="S7" s="3020"/>
      <c r="T7" s="3020"/>
      <c r="U7" s="3020"/>
      <c r="V7" s="3020"/>
      <c r="W7" s="3020"/>
      <c r="X7" s="3020"/>
      <c r="Y7" s="3020"/>
      <c r="Z7" s="3020"/>
      <c r="AA7" s="3020"/>
      <c r="AB7" s="3020"/>
      <c r="AC7" s="3020"/>
    </row>
    <row r="8" spans="1:29" s="2552" customFormat="1" ht="12.75">
      <c r="A8" s="3025"/>
      <c r="B8" s="3009" t="s">
        <v>2623</v>
      </c>
      <c r="C8" s="3030" t="s">
        <v>2624</v>
      </c>
      <c r="D8" s="2899"/>
      <c r="E8" s="2899"/>
      <c r="F8" s="2894"/>
      <c r="G8" s="2894"/>
      <c r="H8" s="3020"/>
      <c r="I8" s="3020"/>
      <c r="J8" s="3020"/>
      <c r="K8" s="3020"/>
      <c r="L8" s="3020"/>
      <c r="M8" s="3020"/>
      <c r="N8" s="3020"/>
      <c r="O8" s="3020"/>
      <c r="P8" s="3020"/>
      <c r="Q8" s="3020"/>
      <c r="R8" s="3020"/>
      <c r="S8" s="3020"/>
      <c r="T8" s="3020"/>
      <c r="U8" s="3020"/>
      <c r="V8" s="3020"/>
      <c r="W8" s="3020"/>
      <c r="X8" s="3020"/>
      <c r="Y8" s="3020"/>
      <c r="Z8" s="3020"/>
      <c r="AA8" s="3020"/>
      <c r="AB8" s="3020"/>
      <c r="AC8" s="3020"/>
    </row>
    <row r="9" spans="1:29" s="2552" customFormat="1" ht="24">
      <c r="A9" s="3025"/>
      <c r="B9" s="3009" t="s">
        <v>2627</v>
      </c>
      <c r="C9" s="3028" t="s">
        <v>2628</v>
      </c>
      <c r="D9" s="3024"/>
      <c r="E9" s="2899"/>
      <c r="F9" s="2894"/>
      <c r="G9" s="2894"/>
      <c r="H9" s="3020"/>
      <c r="I9" s="3020"/>
      <c r="J9" s="3020"/>
      <c r="K9" s="3020"/>
      <c r="L9" s="3020"/>
      <c r="M9" s="3020"/>
      <c r="N9" s="3020"/>
      <c r="O9" s="3020"/>
      <c r="P9" s="3020"/>
      <c r="Q9" s="3020"/>
      <c r="R9" s="3020"/>
      <c r="S9" s="3020"/>
      <c r="T9" s="3020"/>
      <c r="U9" s="3020"/>
      <c r="V9" s="3020"/>
      <c r="W9" s="3020"/>
      <c r="X9" s="3020"/>
      <c r="Y9" s="3020"/>
      <c r="Z9" s="3020"/>
      <c r="AA9" s="3020"/>
      <c r="AB9" s="3020"/>
      <c r="AC9" s="3020"/>
    </row>
    <row r="10" spans="1:29" s="2592" customFormat="1" ht="13.5" thickBot="1">
      <c r="A10" s="3034"/>
      <c r="B10" s="3013" t="s">
        <v>2629</v>
      </c>
      <c r="C10" s="3035"/>
      <c r="D10" s="3024"/>
      <c r="E10" s="3024"/>
      <c r="F10" s="2894"/>
      <c r="G10" s="2894"/>
      <c r="H10" s="1426"/>
      <c r="I10" s="3036"/>
      <c r="J10" s="3037"/>
      <c r="K10" s="1426"/>
      <c r="L10" s="3036"/>
      <c r="M10" s="3037"/>
      <c r="N10" s="1426"/>
      <c r="O10" s="3036"/>
      <c r="P10" s="3037"/>
      <c r="Q10" s="1426"/>
      <c r="R10" s="3036"/>
      <c r="S10" s="3020"/>
      <c r="T10" s="3020"/>
      <c r="U10" s="3020"/>
      <c r="V10" s="3020"/>
      <c r="W10" s="3020"/>
      <c r="X10" s="3020"/>
      <c r="Y10" s="3020"/>
      <c r="Z10" s="3020"/>
      <c r="AA10" s="3020"/>
      <c r="AB10" s="3020"/>
      <c r="AC10" s="3020"/>
    </row>
    <row r="11" spans="1:29" s="2592" customFormat="1" ht="12.75">
      <c r="A11" s="3038"/>
      <c r="B11" s="2899"/>
      <c r="C11" s="3024"/>
      <c r="D11" s="3024"/>
      <c r="E11" s="3024"/>
      <c r="F11" s="2899"/>
      <c r="G11" s="3039"/>
      <c r="H11" s="1426"/>
      <c r="I11" s="3036"/>
      <c r="J11" s="3037"/>
      <c r="K11" s="1426"/>
      <c r="L11" s="3036"/>
      <c r="M11" s="3037"/>
      <c r="N11" s="1426"/>
      <c r="O11" s="3036"/>
      <c r="P11" s="3037"/>
      <c r="Q11" s="1426"/>
      <c r="R11" s="3036"/>
      <c r="S11" s="3020"/>
      <c r="T11" s="3020"/>
      <c r="U11" s="3020"/>
      <c r="V11" s="3020"/>
      <c r="W11" s="3020"/>
      <c r="X11" s="3020"/>
      <c r="Y11" s="3020"/>
      <c r="Z11" s="3020"/>
      <c r="AA11" s="3020"/>
      <c r="AB11" s="3020"/>
      <c r="AC11" s="3020"/>
    </row>
    <row r="12" spans="1:29" s="2613" customFormat="1" ht="18">
      <c r="A12" s="2563"/>
      <c r="B12" s="2617"/>
      <c r="C12" s="2616"/>
      <c r="D12" s="2618"/>
      <c r="E12" s="2616"/>
      <c r="F12" s="2617"/>
      <c r="G12" s="1771"/>
      <c r="H12" s="2619"/>
      <c r="I12" s="2620"/>
      <c r="J12" s="2619"/>
      <c r="K12" s="2619"/>
      <c r="L12" s="2621"/>
      <c r="M12" s="2619"/>
      <c r="N12" s="2622"/>
      <c r="O12" s="2623"/>
      <c r="P12" s="2622"/>
      <c r="Q12" s="2622"/>
      <c r="R12" s="2611"/>
      <c r="S12" s="2612"/>
      <c r="T12" s="2612"/>
      <c r="U12" s="2612"/>
      <c r="V12" s="2612"/>
      <c r="W12" s="2612"/>
      <c r="X12" s="2612"/>
      <c r="Y12" s="2612"/>
      <c r="Z12" s="2612"/>
      <c r="AA12" s="2612"/>
      <c r="AB12" s="2612"/>
      <c r="AC12" s="2612"/>
    </row>
    <row r="13" spans="1:29" ht="19.5" thickBot="1">
      <c r="A13" s="2624" t="s">
        <v>1469</v>
      </c>
      <c r="B13" s="2618"/>
      <c r="C13" s="2618"/>
      <c r="D13" s="2614"/>
      <c r="E13" s="2618"/>
      <c r="F13" s="2618"/>
      <c r="G13" s="2618"/>
    </row>
    <row r="14" spans="1:29" s="2552" customFormat="1" ht="13.5" thickBot="1">
      <c r="A14" s="3040"/>
      <c r="B14" s="3040"/>
      <c r="C14" s="3041" t="s">
        <v>2630</v>
      </c>
      <c r="D14" s="3024"/>
      <c r="E14" s="3042"/>
      <c r="F14" s="3042"/>
      <c r="G14" s="3017" t="s">
        <v>2631</v>
      </c>
      <c r="H14" s="3043"/>
      <c r="I14" s="3044"/>
      <c r="J14" s="3043"/>
      <c r="K14" s="3043"/>
      <c r="L14" s="3044"/>
      <c r="M14" s="3043"/>
      <c r="N14" s="3043"/>
      <c r="O14" s="3044"/>
      <c r="P14" s="3043"/>
      <c r="Q14" s="3043"/>
      <c r="R14" s="3045"/>
      <c r="S14" s="3020"/>
      <c r="T14" s="3020"/>
      <c r="U14" s="3020"/>
      <c r="V14" s="3020"/>
      <c r="W14" s="3020"/>
      <c r="X14" s="3020"/>
      <c r="Y14" s="3020"/>
      <c r="Z14" s="3020"/>
      <c r="AA14" s="3020"/>
      <c r="AB14" s="3020"/>
      <c r="AC14" s="3020"/>
    </row>
    <row r="15" spans="1:29" s="2552" customFormat="1" ht="38.25">
      <c r="A15" s="3046" t="s">
        <v>2632</v>
      </c>
      <c r="B15" s="3047" t="s">
        <v>2610</v>
      </c>
      <c r="C15" s="3048" t="str">
        <f>C3</f>
        <v>估价对象周边居住用地比例、居住小区规模和社区发展完善程度，综合评价居住社区成熟度一般</v>
      </c>
      <c r="D15" s="3024"/>
      <c r="E15" s="3049" t="s">
        <v>2633</v>
      </c>
      <c r="F15" s="3047" t="s">
        <v>2634</v>
      </c>
      <c r="G15" s="3050" t="str">
        <f>G3</f>
        <v>估价对象位于XX开发区，园区建设成熟度XX，产业集聚程度XX</v>
      </c>
      <c r="H15" s="3043"/>
      <c r="I15" s="3044"/>
      <c r="J15" s="3043"/>
      <c r="K15" s="3043"/>
      <c r="L15" s="3044"/>
      <c r="M15" s="3043"/>
      <c r="N15" s="3043"/>
      <c r="O15" s="3044"/>
      <c r="P15" s="3043"/>
      <c r="Q15" s="3043"/>
      <c r="R15" s="3045"/>
      <c r="S15" s="3020"/>
      <c r="T15" s="3020"/>
      <c r="U15" s="3020"/>
      <c r="V15" s="3020"/>
      <c r="W15" s="3020"/>
      <c r="X15" s="3020"/>
      <c r="Y15" s="3020"/>
      <c r="Z15" s="3020"/>
      <c r="AA15" s="3020"/>
      <c r="AB15" s="3020"/>
      <c r="AC15" s="3020"/>
    </row>
    <row r="16" spans="1:29" s="2552" customFormat="1" ht="25.5">
      <c r="A16" s="3051"/>
      <c r="B16" s="2492" t="s">
        <v>2614</v>
      </c>
      <c r="C16" s="3052" t="str">
        <f>C4</f>
        <v>估价对象位于XX商圈，周边商业氛围成熟，人流量大，商业繁华度好</v>
      </c>
      <c r="D16" s="3024"/>
      <c r="E16" s="3053"/>
      <c r="F16" s="3010" t="s">
        <v>2616</v>
      </c>
      <c r="G16" s="3054" t="str">
        <f>G4</f>
        <v>估价对象周边道路状况、公共交通通达情况、停车便捷程度，综合评价交通便捷度较好</v>
      </c>
      <c r="H16" s="3043"/>
      <c r="I16" s="3044"/>
      <c r="J16" s="3043"/>
      <c r="K16" s="3043"/>
      <c r="L16" s="3044"/>
      <c r="M16" s="3043"/>
      <c r="N16" s="3043"/>
      <c r="O16" s="3044"/>
      <c r="P16" s="3043"/>
      <c r="Q16" s="3043"/>
      <c r="R16" s="3045"/>
      <c r="S16" s="3020"/>
      <c r="T16" s="3020"/>
      <c r="U16" s="3020"/>
      <c r="V16" s="3020"/>
      <c r="W16" s="3020"/>
      <c r="X16" s="3020"/>
      <c r="Y16" s="3020"/>
      <c r="Z16" s="3020"/>
      <c r="AA16" s="3020"/>
      <c r="AB16" s="3020"/>
      <c r="AC16" s="3020"/>
    </row>
    <row r="17" spans="1:29" s="2552" customFormat="1" ht="25.5">
      <c r="A17" s="3051"/>
      <c r="B17" s="2492" t="s">
        <v>2618</v>
      </c>
      <c r="C17" s="3052" t="str">
        <f>C5</f>
        <v>估价对象位于XX商圈，周边办公楼项目较多，入驻率高，办公集聚程度较好</v>
      </c>
      <c r="D17" s="2899"/>
      <c r="E17" s="3053"/>
      <c r="F17" s="3323" t="s">
        <v>3029</v>
      </c>
      <c r="G17" s="3055"/>
      <c r="H17" s="3043"/>
      <c r="I17" s="3044"/>
      <c r="J17" s="3043"/>
      <c r="K17" s="3043"/>
      <c r="L17" s="3044"/>
      <c r="M17" s="3043"/>
      <c r="N17" s="3043"/>
      <c r="O17" s="3044"/>
      <c r="P17" s="3043"/>
      <c r="Q17" s="3043"/>
      <c r="R17" s="3045"/>
      <c r="S17" s="3020"/>
      <c r="T17" s="3020"/>
      <c r="U17" s="3020"/>
      <c r="V17" s="3020"/>
      <c r="W17" s="3020"/>
      <c r="X17" s="3020"/>
      <c r="Y17" s="3020"/>
      <c r="Z17" s="3020"/>
      <c r="AA17" s="3020"/>
      <c r="AB17" s="3020"/>
      <c r="AC17" s="3020"/>
    </row>
    <row r="18" spans="1:29" s="2552" customFormat="1" ht="38.25">
      <c r="A18" s="3051"/>
      <c r="B18" s="3010" t="s">
        <v>2622</v>
      </c>
      <c r="C18" s="3054" t="str">
        <f>C6</f>
        <v>估价对象周边道路状况、公共交通通达情况、停车便捷程度，综合评价交通便捷度较好</v>
      </c>
      <c r="D18" s="2899"/>
      <c r="E18" s="3053"/>
      <c r="F18" s="3010" t="s">
        <v>2625</v>
      </c>
      <c r="G18" s="3054" t="str">
        <f>G7</f>
        <v>该园区内是否有污染型企业，绿化情况，卫生条件，整体环境状况判断</v>
      </c>
      <c r="H18" s="3043"/>
      <c r="I18" s="3044"/>
      <c r="J18" s="3043"/>
      <c r="K18" s="3043"/>
      <c r="L18" s="3044"/>
      <c r="M18" s="3043"/>
      <c r="N18" s="3043"/>
      <c r="O18" s="3044"/>
      <c r="P18" s="3043"/>
      <c r="Q18" s="3043"/>
      <c r="R18" s="3045"/>
      <c r="S18" s="3020"/>
      <c r="T18" s="3020"/>
      <c r="U18" s="3020"/>
      <c r="V18" s="3020"/>
      <c r="W18" s="3020"/>
      <c r="X18" s="3020"/>
      <c r="Y18" s="3020"/>
      <c r="Z18" s="3020"/>
      <c r="AA18" s="3020"/>
      <c r="AB18" s="3020"/>
      <c r="AC18" s="3020"/>
    </row>
    <row r="19" spans="1:29" s="2552" customFormat="1" ht="12.75">
      <c r="A19" s="3051"/>
      <c r="B19" s="3323" t="s">
        <v>3028</v>
      </c>
      <c r="C19" s="3055"/>
      <c r="D19" s="3024"/>
      <c r="E19" s="3053"/>
      <c r="F19" s="3009" t="s">
        <v>2620</v>
      </c>
      <c r="G19" s="3054" t="str">
        <f>G5</f>
        <v>估价对象所在区域公共配套设施齐备情况</v>
      </c>
      <c r="H19" s="3043"/>
      <c r="I19" s="3044"/>
      <c r="J19" s="3043"/>
      <c r="K19" s="3043"/>
      <c r="L19" s="3044"/>
      <c r="M19" s="3043"/>
      <c r="N19" s="3043"/>
      <c r="O19" s="3044"/>
      <c r="P19" s="3043"/>
      <c r="Q19" s="3043"/>
      <c r="R19" s="3045"/>
      <c r="S19" s="3020"/>
      <c r="T19" s="3020"/>
      <c r="U19" s="3020"/>
      <c r="V19" s="3020"/>
      <c r="W19" s="3020"/>
      <c r="X19" s="3020"/>
      <c r="Y19" s="3020"/>
      <c r="Z19" s="3020"/>
      <c r="AA19" s="3020"/>
      <c r="AB19" s="3020"/>
      <c r="AC19" s="3020"/>
    </row>
    <row r="20" spans="1:29" s="2552" customFormat="1" ht="25.5">
      <c r="A20" s="3051"/>
      <c r="B20" s="3010" t="s">
        <v>2635</v>
      </c>
      <c r="C20" s="3052" t="str">
        <f>C9</f>
        <v>区域自然环境：；人文环境；综合评价环境状况一般</v>
      </c>
      <c r="D20" s="2899"/>
      <c r="E20" s="3053"/>
      <c r="F20" s="3009" t="s">
        <v>2623</v>
      </c>
      <c r="G20" s="3054" t="str">
        <f>G6</f>
        <v>估价对象所在区域基础设施水平</v>
      </c>
      <c r="H20" s="3043"/>
      <c r="I20" s="3044"/>
      <c r="J20" s="3043"/>
      <c r="K20" s="3043"/>
      <c r="L20" s="3044"/>
      <c r="M20" s="3043"/>
      <c r="N20" s="3043"/>
      <c r="O20" s="3044"/>
      <c r="P20" s="3043"/>
      <c r="Q20" s="3043"/>
      <c r="R20" s="3045"/>
      <c r="S20" s="3020"/>
      <c r="T20" s="3020"/>
      <c r="U20" s="3020"/>
      <c r="V20" s="3020"/>
      <c r="W20" s="3020"/>
      <c r="X20" s="3020"/>
      <c r="Y20" s="3020"/>
      <c r="Z20" s="3020"/>
      <c r="AA20" s="3020"/>
      <c r="AB20" s="3020"/>
      <c r="AC20" s="3020"/>
    </row>
    <row r="21" spans="1:29" s="2552" customFormat="1" ht="25.5">
      <c r="A21" s="3051"/>
      <c r="B21" s="3009" t="s">
        <v>2620</v>
      </c>
      <c r="C21" s="3054" t="str">
        <f>C7</f>
        <v>估价对象所在区域公共配套设施齐备情况</v>
      </c>
      <c r="D21" s="3024"/>
      <c r="E21" s="3053"/>
      <c r="F21" s="3010" t="s">
        <v>2636</v>
      </c>
      <c r="G21" s="3056"/>
      <c r="H21" s="3043"/>
      <c r="I21" s="3044"/>
      <c r="J21" s="3043"/>
      <c r="K21" s="3043"/>
      <c r="L21" s="3044"/>
      <c r="M21" s="3043"/>
      <c r="N21" s="3043"/>
      <c r="O21" s="3044"/>
      <c r="P21" s="3043"/>
      <c r="Q21" s="3043"/>
      <c r="R21" s="3045"/>
      <c r="S21" s="3020"/>
      <c r="T21" s="3020"/>
      <c r="U21" s="3020"/>
      <c r="V21" s="3020"/>
      <c r="W21" s="3020"/>
      <c r="X21" s="3020"/>
      <c r="Y21" s="3020"/>
      <c r="Z21" s="3020"/>
      <c r="AA21" s="3020"/>
      <c r="AB21" s="3020"/>
      <c r="AC21" s="3020"/>
    </row>
    <row r="22" spans="1:29" s="2552" customFormat="1" ht="12.75">
      <c r="A22" s="3051"/>
      <c r="B22" s="3009" t="s">
        <v>2623</v>
      </c>
      <c r="C22" s="3054" t="str">
        <f>C8</f>
        <v>估价对象所在区域基础设施水平</v>
      </c>
      <c r="D22" s="3024"/>
      <c r="E22" s="3053"/>
      <c r="F22" s="3010" t="s">
        <v>2629</v>
      </c>
      <c r="G22" s="3057"/>
      <c r="H22" s="3043"/>
      <c r="I22" s="3044"/>
      <c r="J22" s="3043"/>
      <c r="K22" s="3043"/>
      <c r="L22" s="3044"/>
      <c r="M22" s="3043"/>
      <c r="N22" s="3043"/>
      <c r="O22" s="3044"/>
      <c r="P22" s="3043"/>
      <c r="Q22" s="3043"/>
      <c r="R22" s="3045"/>
      <c r="S22" s="3020"/>
      <c r="T22" s="3020"/>
      <c r="U22" s="3020"/>
      <c r="V22" s="3020"/>
      <c r="W22" s="3020"/>
      <c r="X22" s="3020"/>
      <c r="Y22" s="3020"/>
      <c r="Z22" s="3020"/>
      <c r="AA22" s="3020"/>
      <c r="AB22" s="3020"/>
      <c r="AC22" s="3020"/>
    </row>
    <row r="23" spans="1:29" s="3020" customFormat="1" ht="13.5" thickBot="1">
      <c r="A23" s="3051"/>
      <c r="B23" s="3010" t="s">
        <v>2636</v>
      </c>
      <c r="C23" s="3056"/>
      <c r="D23" s="3043"/>
      <c r="E23" s="3058"/>
      <c r="F23" s="3012" t="s">
        <v>2637</v>
      </c>
      <c r="G23" s="3059"/>
      <c r="H23" s="3043"/>
      <c r="I23" s="3044"/>
      <c r="J23" s="3043"/>
      <c r="K23" s="3043"/>
      <c r="L23" s="3044"/>
      <c r="M23" s="3043"/>
      <c r="N23" s="3043"/>
      <c r="O23" s="3044"/>
      <c r="P23" s="3043"/>
      <c r="Q23" s="3043"/>
      <c r="R23" s="3045"/>
    </row>
    <row r="24" spans="1:29" s="3020" customFormat="1" ht="13.5" thickBot="1">
      <c r="A24" s="3060"/>
      <c r="B24" s="3012" t="s">
        <v>2638</v>
      </c>
      <c r="C24" s="3061">
        <f>C10</f>
        <v>0</v>
      </c>
      <c r="D24" s="3043"/>
      <c r="E24" s="3062"/>
      <c r="F24" s="3062"/>
      <c r="G24" s="3063"/>
      <c r="H24" s="3043"/>
      <c r="I24" s="3044"/>
      <c r="J24" s="3043"/>
      <c r="K24" s="3043"/>
      <c r="L24" s="3044"/>
      <c r="M24" s="3043"/>
      <c r="N24" s="3043"/>
      <c r="O24" s="3044"/>
      <c r="P24" s="3043"/>
      <c r="Q24" s="3043"/>
      <c r="R24" s="3045"/>
    </row>
    <row r="25" spans="1:29" s="2615" customFormat="1">
      <c r="B25" s="2625"/>
      <c r="C25" s="2625"/>
      <c r="D25" s="2625"/>
      <c r="H25" s="2625"/>
      <c r="I25" s="2626"/>
      <c r="J25" s="2625"/>
      <c r="K25" s="2625"/>
      <c r="L25" s="2626"/>
      <c r="M25" s="2625"/>
      <c r="N25" s="2625"/>
      <c r="O25" s="2626"/>
      <c r="P25" s="2625"/>
      <c r="Q25" s="2625"/>
      <c r="R25" s="2627"/>
    </row>
    <row r="26" spans="1:29" s="2615" customFormat="1">
      <c r="B26" s="2625"/>
      <c r="C26" s="2625"/>
      <c r="D26" s="2625"/>
      <c r="H26" s="2625"/>
      <c r="I26" s="2626"/>
      <c r="J26" s="2625"/>
      <c r="K26" s="2625"/>
      <c r="L26" s="2626"/>
      <c r="M26" s="2625"/>
      <c r="N26" s="2625"/>
      <c r="O26" s="2626"/>
      <c r="P26" s="2625"/>
      <c r="Q26" s="2625"/>
      <c r="R26" s="2627"/>
    </row>
    <row r="27" spans="1:29" s="2615" customFormat="1">
      <c r="B27" s="2625"/>
      <c r="C27" s="2625"/>
      <c r="D27" s="2625"/>
      <c r="H27" s="2625"/>
      <c r="I27" s="2626"/>
      <c r="J27" s="2625"/>
      <c r="K27" s="2625"/>
      <c r="L27" s="2626"/>
      <c r="M27" s="2625"/>
      <c r="N27" s="2625"/>
      <c r="O27" s="2626"/>
      <c r="P27" s="2625"/>
      <c r="Q27" s="2625"/>
      <c r="R27" s="2627"/>
    </row>
    <row r="28" spans="1:29" s="2615" customFormat="1">
      <c r="B28" s="2625"/>
      <c r="C28" s="2625"/>
      <c r="D28" s="2625"/>
      <c r="H28" s="2625"/>
      <c r="I28" s="2626"/>
      <c r="J28" s="2625"/>
      <c r="K28" s="2625"/>
      <c r="L28" s="2626"/>
      <c r="M28" s="2625"/>
      <c r="N28" s="2625"/>
      <c r="O28" s="2626"/>
      <c r="P28" s="2625"/>
      <c r="Q28" s="2625"/>
      <c r="R28" s="2627"/>
    </row>
    <row r="29" spans="1:29" s="2615" customFormat="1">
      <c r="B29" s="2625"/>
      <c r="C29" s="2625"/>
      <c r="D29" s="2625"/>
      <c r="H29" s="2625"/>
      <c r="I29" s="2626"/>
      <c r="J29" s="2625"/>
      <c r="K29" s="2625"/>
      <c r="L29" s="2626"/>
      <c r="M29" s="2625"/>
      <c r="N29" s="2625"/>
      <c r="O29" s="2626"/>
      <c r="P29" s="2625"/>
      <c r="Q29" s="2625"/>
      <c r="R29" s="2627"/>
    </row>
    <row r="30" spans="1:29" s="2615" customFormat="1">
      <c r="B30" s="2625"/>
      <c r="C30" s="2625"/>
      <c r="D30" s="2625"/>
      <c r="H30" s="2625"/>
      <c r="I30" s="2626"/>
      <c r="J30" s="2625"/>
      <c r="K30" s="2625"/>
      <c r="L30" s="2626"/>
      <c r="M30" s="2625"/>
      <c r="N30" s="2625"/>
      <c r="O30" s="2626"/>
      <c r="P30" s="2625"/>
      <c r="Q30" s="2625"/>
      <c r="R30" s="2627"/>
    </row>
    <row r="31" spans="1:29" s="2615" customFormat="1">
      <c r="B31" s="2625"/>
      <c r="C31" s="2625"/>
      <c r="D31" s="2625"/>
      <c r="H31" s="2625"/>
      <c r="I31" s="2626"/>
      <c r="J31" s="2625"/>
      <c r="K31" s="2625"/>
      <c r="L31" s="2626"/>
      <c r="M31" s="2625"/>
      <c r="N31" s="2625"/>
      <c r="O31" s="2626"/>
      <c r="P31" s="2625"/>
      <c r="Q31" s="2625"/>
      <c r="R31" s="2627"/>
    </row>
    <row r="32" spans="1:29" s="2615" customFormat="1">
      <c r="B32" s="2625"/>
      <c r="C32" s="2625"/>
      <c r="D32" s="2625"/>
      <c r="H32" s="2625"/>
      <c r="I32" s="2626"/>
      <c r="J32" s="2625"/>
      <c r="K32" s="2625"/>
      <c r="L32" s="2626"/>
      <c r="M32" s="2625"/>
      <c r="N32" s="2625"/>
      <c r="O32" s="2626"/>
      <c r="P32" s="2625"/>
      <c r="Q32" s="2625"/>
      <c r="R32" s="2627"/>
    </row>
    <row r="33" spans="2:18" s="2615" customFormat="1">
      <c r="B33" s="2625"/>
      <c r="C33" s="2625"/>
      <c r="D33" s="2625"/>
      <c r="H33" s="2625"/>
      <c r="I33" s="2626"/>
      <c r="J33" s="2625"/>
      <c r="K33" s="2625"/>
      <c r="L33" s="2626"/>
      <c r="M33" s="2625"/>
      <c r="N33" s="2625"/>
      <c r="O33" s="2626"/>
      <c r="P33" s="2625"/>
      <c r="Q33" s="2625"/>
      <c r="R33" s="2627"/>
    </row>
    <row r="34" spans="2:18" s="2615" customFormat="1">
      <c r="B34" s="2625"/>
      <c r="C34" s="2625"/>
      <c r="D34" s="2625"/>
      <c r="H34" s="2625"/>
      <c r="I34" s="2626"/>
      <c r="J34" s="2625"/>
      <c r="K34" s="2625"/>
      <c r="L34" s="2626"/>
      <c r="M34" s="2625"/>
      <c r="N34" s="2625"/>
      <c r="O34" s="2626"/>
      <c r="P34" s="2625"/>
      <c r="Q34" s="2625"/>
      <c r="R34" s="2627"/>
    </row>
    <row r="35" spans="2:18" s="2615" customFormat="1">
      <c r="B35" s="2625"/>
      <c r="C35" s="2625"/>
      <c r="D35" s="2625"/>
      <c r="H35" s="2625"/>
      <c r="I35" s="2626"/>
      <c r="J35" s="2625"/>
      <c r="K35" s="2625"/>
      <c r="L35" s="2626"/>
      <c r="M35" s="2625"/>
      <c r="N35" s="2625"/>
      <c r="O35" s="2626"/>
      <c r="P35" s="2625"/>
      <c r="Q35" s="2625"/>
      <c r="R35" s="2627"/>
    </row>
    <row r="36" spans="2:18" s="2615" customFormat="1">
      <c r="B36" s="2625"/>
      <c r="C36" s="2625"/>
      <c r="D36" s="2625"/>
      <c r="H36" s="2625"/>
      <c r="I36" s="2626"/>
      <c r="J36" s="2625"/>
      <c r="K36" s="2625"/>
      <c r="L36" s="2626"/>
      <c r="M36" s="2625"/>
      <c r="N36" s="2625"/>
      <c r="O36" s="2626"/>
      <c r="P36" s="2625"/>
      <c r="Q36" s="2625"/>
      <c r="R36" s="2627"/>
    </row>
    <row r="37" spans="2:18" s="2615" customFormat="1">
      <c r="B37" s="2625"/>
      <c r="C37" s="2625"/>
      <c r="D37" s="2625"/>
      <c r="H37" s="2625"/>
      <c r="I37" s="2626"/>
      <c r="J37" s="2625"/>
      <c r="K37" s="2625"/>
      <c r="L37" s="2626"/>
      <c r="M37" s="2625"/>
      <c r="N37" s="2625"/>
      <c r="O37" s="2626"/>
      <c r="P37" s="2625"/>
      <c r="Q37" s="2625"/>
      <c r="R37" s="2627"/>
    </row>
    <row r="38" spans="2:18" s="2615" customFormat="1">
      <c r="B38" s="2625"/>
      <c r="C38" s="2625"/>
      <c r="D38" s="2625"/>
      <c r="E38" s="2625"/>
      <c r="F38" s="2625"/>
      <c r="G38" s="2626"/>
      <c r="H38" s="2625"/>
      <c r="I38" s="2626"/>
      <c r="J38" s="2625"/>
      <c r="K38" s="2625"/>
      <c r="L38" s="2626"/>
      <c r="M38" s="2625"/>
      <c r="N38" s="2625"/>
      <c r="O38" s="2626"/>
      <c r="P38" s="2625"/>
      <c r="Q38" s="2625"/>
      <c r="R38" s="2627"/>
    </row>
    <row r="39" spans="2:18" s="2615" customFormat="1">
      <c r="B39" s="2625"/>
      <c r="C39" s="2625"/>
      <c r="D39" s="2625"/>
      <c r="E39" s="2625"/>
      <c r="F39" s="2625"/>
      <c r="G39" s="2626"/>
      <c r="H39" s="2625"/>
      <c r="I39" s="2626"/>
      <c r="J39" s="2625"/>
      <c r="K39" s="2625"/>
      <c r="L39" s="2626"/>
      <c r="M39" s="2625"/>
      <c r="N39" s="2625"/>
      <c r="O39" s="2626"/>
      <c r="P39" s="2625"/>
      <c r="Q39" s="2625"/>
      <c r="R39" s="2627"/>
    </row>
    <row r="40" spans="2:18" s="2615" customFormat="1">
      <c r="B40" s="2625"/>
      <c r="C40" s="2625"/>
      <c r="D40" s="2625"/>
      <c r="E40" s="2625"/>
      <c r="F40" s="2625"/>
      <c r="G40" s="2626"/>
      <c r="H40" s="2625"/>
      <c r="I40" s="2626"/>
      <c r="J40" s="2625"/>
      <c r="K40" s="2625"/>
      <c r="L40" s="2626"/>
      <c r="M40" s="2625"/>
      <c r="N40" s="2625"/>
      <c r="O40" s="2626"/>
      <c r="P40" s="2625"/>
      <c r="Q40" s="2625"/>
      <c r="R40" s="2627"/>
    </row>
    <row r="41" spans="2:18" s="2615" customFormat="1">
      <c r="B41" s="2625"/>
      <c r="C41" s="2625"/>
      <c r="D41" s="2625"/>
      <c r="E41" s="2625"/>
      <c r="F41" s="2625"/>
      <c r="G41" s="2626"/>
      <c r="H41" s="2625"/>
      <c r="I41" s="2626"/>
      <c r="J41" s="2625"/>
      <c r="K41" s="2625"/>
      <c r="L41" s="2626"/>
      <c r="M41" s="2625"/>
      <c r="N41" s="2625"/>
      <c r="O41" s="2626"/>
      <c r="P41" s="2625"/>
      <c r="Q41" s="2625"/>
      <c r="R41" s="2627"/>
    </row>
    <row r="42" spans="2:18" s="2615" customFormat="1">
      <c r="B42" s="2625"/>
      <c r="C42" s="2625"/>
      <c r="D42" s="2625"/>
      <c r="E42" s="2625"/>
      <c r="F42" s="2625"/>
      <c r="G42" s="2626"/>
      <c r="H42" s="2625"/>
      <c r="I42" s="2626"/>
      <c r="J42" s="2625"/>
      <c r="K42" s="2625"/>
      <c r="L42" s="2626"/>
      <c r="M42" s="2625"/>
      <c r="N42" s="2625"/>
      <c r="O42" s="2626"/>
      <c r="P42" s="2625"/>
      <c r="Q42" s="2625"/>
      <c r="R42" s="2627"/>
    </row>
    <row r="43" spans="2:18" s="2615" customFormat="1">
      <c r="B43" s="2625"/>
      <c r="C43" s="2625"/>
      <c r="D43" s="2625"/>
      <c r="E43" s="2625"/>
      <c r="F43" s="2625"/>
      <c r="G43" s="2626"/>
      <c r="H43" s="2625"/>
      <c r="I43" s="2626"/>
      <c r="J43" s="2625"/>
      <c r="K43" s="2625"/>
      <c r="L43" s="2626"/>
      <c r="M43" s="2625"/>
      <c r="N43" s="2625"/>
      <c r="O43" s="2626"/>
      <c r="P43" s="2625"/>
      <c r="Q43" s="2625"/>
      <c r="R43" s="2627"/>
    </row>
    <row r="44" spans="2:18" s="2615" customFormat="1">
      <c r="B44" s="2625"/>
      <c r="C44" s="2625"/>
      <c r="D44" s="2625"/>
      <c r="E44" s="2625"/>
      <c r="F44" s="2625"/>
      <c r="G44" s="2626"/>
      <c r="H44" s="2625"/>
      <c r="I44" s="2626"/>
      <c r="J44" s="2625"/>
      <c r="K44" s="2625"/>
      <c r="L44" s="2626"/>
      <c r="M44" s="2625"/>
      <c r="N44" s="2625"/>
      <c r="O44" s="2626"/>
      <c r="P44" s="2625"/>
      <c r="Q44" s="2625"/>
      <c r="R44" s="2627"/>
    </row>
    <row r="45" spans="2:18" s="2615" customFormat="1">
      <c r="B45" s="2625"/>
      <c r="C45" s="2625"/>
      <c r="D45" s="2625"/>
      <c r="E45" s="2625"/>
      <c r="F45" s="2625"/>
      <c r="G45" s="2626"/>
      <c r="H45" s="2625"/>
      <c r="I45" s="2626"/>
      <c r="J45" s="2625"/>
      <c r="K45" s="2625"/>
      <c r="L45" s="2626"/>
      <c r="M45" s="2625"/>
      <c r="N45" s="2625"/>
      <c r="O45" s="2626"/>
      <c r="P45" s="2625"/>
      <c r="Q45" s="2625"/>
      <c r="R45" s="2627"/>
    </row>
    <row r="46" spans="2:18" s="2615" customFormat="1">
      <c r="B46" s="2625"/>
      <c r="C46" s="2625"/>
      <c r="D46" s="2625"/>
      <c r="E46" s="2625"/>
      <c r="F46" s="2625"/>
      <c r="G46" s="2626"/>
      <c r="H46" s="2625"/>
      <c r="I46" s="2626"/>
      <c r="J46" s="2625"/>
      <c r="K46" s="2625"/>
      <c r="L46" s="2626"/>
      <c r="M46" s="2625"/>
      <c r="N46" s="2625"/>
      <c r="O46" s="2626"/>
      <c r="P46" s="2625"/>
      <c r="Q46" s="2625"/>
      <c r="R46" s="2627"/>
    </row>
    <row r="47" spans="2:18" s="2615" customFormat="1">
      <c r="B47" s="2625"/>
      <c r="C47" s="2625"/>
      <c r="D47" s="2625"/>
      <c r="E47" s="2625"/>
      <c r="F47" s="2625"/>
      <c r="G47" s="2626"/>
      <c r="H47" s="2625"/>
      <c r="I47" s="2626"/>
      <c r="J47" s="2625"/>
      <c r="K47" s="2625"/>
      <c r="L47" s="2626"/>
      <c r="M47" s="2625"/>
      <c r="N47" s="2625"/>
      <c r="O47" s="2626"/>
      <c r="P47" s="2625"/>
      <c r="Q47" s="2625"/>
      <c r="R47" s="2627"/>
    </row>
    <row r="48" spans="2:18" s="2615" customFormat="1">
      <c r="B48" s="2625"/>
      <c r="C48" s="2625"/>
      <c r="D48" s="2625"/>
      <c r="E48" s="2625"/>
      <c r="F48" s="2625"/>
      <c r="G48" s="2626"/>
      <c r="H48" s="2625"/>
      <c r="I48" s="2626"/>
      <c r="J48" s="2625"/>
      <c r="K48" s="2625"/>
      <c r="L48" s="2626"/>
      <c r="M48" s="2625"/>
      <c r="N48" s="2625"/>
      <c r="O48" s="2626"/>
      <c r="P48" s="2625"/>
      <c r="Q48" s="2625"/>
      <c r="R48" s="2627"/>
    </row>
    <row r="49" spans="2:18" s="2615" customFormat="1">
      <c r="B49" s="2625"/>
      <c r="C49" s="2625"/>
      <c r="D49" s="2625"/>
      <c r="E49" s="2625"/>
      <c r="F49" s="2625"/>
      <c r="G49" s="2626"/>
      <c r="H49" s="2625"/>
      <c r="I49" s="2626"/>
      <c r="J49" s="2625"/>
      <c r="K49" s="2625"/>
      <c r="L49" s="2626"/>
      <c r="M49" s="2625"/>
      <c r="N49" s="2625"/>
      <c r="O49" s="2626"/>
      <c r="P49" s="2625"/>
      <c r="Q49" s="2625"/>
      <c r="R49" s="2627"/>
    </row>
    <row r="50" spans="2:18" s="2615" customFormat="1">
      <c r="B50" s="2625"/>
      <c r="C50" s="2625"/>
      <c r="D50" s="2625"/>
      <c r="E50" s="2625"/>
      <c r="F50" s="2625"/>
      <c r="G50" s="2626"/>
      <c r="H50" s="2625"/>
      <c r="I50" s="2626"/>
      <c r="J50" s="2625"/>
      <c r="K50" s="2625"/>
      <c r="L50" s="2626"/>
      <c r="M50" s="2625"/>
      <c r="N50" s="2625"/>
      <c r="O50" s="2626"/>
      <c r="P50" s="2625"/>
      <c r="Q50" s="2625"/>
      <c r="R50" s="2627"/>
    </row>
    <row r="51" spans="2:18" s="2615" customFormat="1">
      <c r="B51" s="2625"/>
      <c r="C51" s="2625"/>
      <c r="D51" s="2625"/>
      <c r="E51" s="2625"/>
      <c r="F51" s="2625"/>
      <c r="G51" s="2626"/>
      <c r="H51" s="2625"/>
      <c r="I51" s="2626"/>
      <c r="J51" s="2625"/>
      <c r="K51" s="2625"/>
      <c r="L51" s="2626"/>
      <c r="M51" s="2625"/>
      <c r="N51" s="2625"/>
      <c r="O51" s="2626"/>
      <c r="P51" s="2625"/>
      <c r="Q51" s="2625"/>
      <c r="R51" s="2627"/>
    </row>
    <row r="52" spans="2:18" s="2615" customFormat="1">
      <c r="B52" s="2625"/>
      <c r="C52" s="2625"/>
      <c r="D52" s="2625"/>
      <c r="E52" s="2625"/>
      <c r="F52" s="2625"/>
      <c r="G52" s="2626"/>
      <c r="H52" s="2625"/>
      <c r="I52" s="2626"/>
      <c r="J52" s="2625"/>
      <c r="K52" s="2625"/>
      <c r="L52" s="2626"/>
      <c r="M52" s="2625"/>
      <c r="N52" s="2625"/>
      <c r="O52" s="2626"/>
      <c r="P52" s="2625"/>
      <c r="Q52" s="2625"/>
      <c r="R52" s="2627"/>
    </row>
    <row r="53" spans="2:18" s="2615" customFormat="1">
      <c r="B53" s="2625"/>
      <c r="C53" s="2625"/>
      <c r="D53" s="2625"/>
      <c r="E53" s="2625"/>
      <c r="F53" s="2625"/>
      <c r="G53" s="2626"/>
      <c r="H53" s="2625"/>
      <c r="I53" s="2626"/>
      <c r="J53" s="2625"/>
      <c r="K53" s="2625"/>
      <c r="L53" s="2626"/>
      <c r="M53" s="2625"/>
      <c r="N53" s="2625"/>
      <c r="O53" s="2626"/>
      <c r="P53" s="2625"/>
      <c r="Q53" s="2625"/>
      <c r="R53" s="2627"/>
    </row>
    <row r="54" spans="2:18" s="2615" customFormat="1">
      <c r="B54" s="2625"/>
      <c r="C54" s="2625"/>
      <c r="D54" s="2625"/>
      <c r="E54" s="2625"/>
      <c r="F54" s="2625"/>
      <c r="G54" s="2626"/>
      <c r="H54" s="2625"/>
      <c r="I54" s="2626"/>
      <c r="J54" s="2625"/>
      <c r="K54" s="2625"/>
      <c r="L54" s="2626"/>
      <c r="M54" s="2625"/>
      <c r="N54" s="2625"/>
      <c r="O54" s="2626"/>
      <c r="P54" s="2625"/>
      <c r="Q54" s="2625"/>
      <c r="R54" s="2627"/>
    </row>
    <row r="55" spans="2:18" s="2615" customFormat="1">
      <c r="B55" s="2625"/>
      <c r="C55" s="2625"/>
      <c r="D55" s="2625"/>
      <c r="E55" s="2625"/>
      <c r="F55" s="2625"/>
      <c r="G55" s="2626"/>
      <c r="H55" s="2625"/>
      <c r="I55" s="2626"/>
      <c r="J55" s="2625"/>
      <c r="K55" s="2625"/>
      <c r="L55" s="2626"/>
      <c r="M55" s="2625"/>
      <c r="N55" s="2625"/>
      <c r="O55" s="2626"/>
      <c r="P55" s="2625"/>
      <c r="Q55" s="2625"/>
      <c r="R55" s="2627"/>
    </row>
    <row r="56" spans="2:18" s="2615" customFormat="1">
      <c r="B56" s="2625"/>
      <c r="C56" s="2625"/>
      <c r="D56" s="2625"/>
      <c r="E56" s="2625"/>
      <c r="F56" s="2625"/>
      <c r="G56" s="2626"/>
      <c r="H56" s="2625"/>
      <c r="I56" s="2626"/>
      <c r="J56" s="2625"/>
      <c r="K56" s="2625"/>
      <c r="L56" s="2626"/>
      <c r="M56" s="2625"/>
      <c r="N56" s="2625"/>
      <c r="O56" s="2626"/>
      <c r="P56" s="2625"/>
      <c r="Q56" s="2625"/>
      <c r="R56" s="2627"/>
    </row>
    <row r="57" spans="2:18" s="2615" customFormat="1">
      <c r="B57" s="2625"/>
      <c r="C57" s="2625"/>
      <c r="D57" s="2625"/>
      <c r="E57" s="2625"/>
      <c r="F57" s="2625"/>
      <c r="G57" s="2626"/>
      <c r="H57" s="2625"/>
      <c r="I57" s="2626"/>
      <c r="J57" s="2625"/>
      <c r="K57" s="2625"/>
      <c r="L57" s="2626"/>
      <c r="M57" s="2625"/>
      <c r="N57" s="2625"/>
      <c r="O57" s="2626"/>
      <c r="P57" s="2625"/>
      <c r="Q57" s="2625"/>
      <c r="R57" s="2627"/>
    </row>
    <row r="58" spans="2:18" s="2615" customFormat="1">
      <c r="B58" s="2625"/>
      <c r="C58" s="2625"/>
      <c r="D58" s="2625"/>
      <c r="E58" s="2625"/>
      <c r="F58" s="2625"/>
      <c r="G58" s="2626"/>
      <c r="H58" s="2625"/>
      <c r="I58" s="2626"/>
      <c r="J58" s="2625"/>
      <c r="K58" s="2625"/>
      <c r="L58" s="2626"/>
      <c r="M58" s="2625"/>
      <c r="N58" s="2625"/>
      <c r="O58" s="2626"/>
      <c r="P58" s="2625"/>
      <c r="Q58" s="2625"/>
      <c r="R58" s="2627"/>
    </row>
    <row r="59" spans="2:18" s="2615" customFormat="1">
      <c r="B59" s="2625"/>
      <c r="C59" s="2625"/>
      <c r="D59" s="2625"/>
      <c r="E59" s="2625"/>
      <c r="F59" s="2625"/>
      <c r="G59" s="2626"/>
      <c r="H59" s="2625"/>
      <c r="I59" s="2626"/>
      <c r="J59" s="2625"/>
      <c r="K59" s="2625"/>
      <c r="L59" s="2626"/>
      <c r="M59" s="2625"/>
      <c r="N59" s="2625"/>
      <c r="O59" s="2626"/>
      <c r="P59" s="2625"/>
      <c r="Q59" s="2625"/>
      <c r="R59" s="2627"/>
    </row>
    <row r="60" spans="2:18" s="2615" customFormat="1">
      <c r="B60" s="2625"/>
      <c r="C60" s="2625"/>
      <c r="D60" s="2625"/>
      <c r="E60" s="2625"/>
      <c r="F60" s="2625"/>
      <c r="G60" s="2626"/>
      <c r="H60" s="2625"/>
      <c r="I60" s="2626"/>
      <c r="J60" s="2625"/>
      <c r="K60" s="2625"/>
      <c r="L60" s="2626"/>
      <c r="M60" s="2625"/>
      <c r="N60" s="2625"/>
      <c r="O60" s="2626"/>
      <c r="P60" s="2625"/>
      <c r="Q60" s="2625"/>
      <c r="R60" s="2627"/>
    </row>
    <row r="61" spans="2:18" s="2615" customFormat="1">
      <c r="B61" s="2625"/>
      <c r="C61" s="2625"/>
      <c r="D61" s="2625"/>
      <c r="E61" s="2625"/>
      <c r="F61" s="2625"/>
      <c r="G61" s="2626"/>
      <c r="H61" s="2625"/>
      <c r="I61" s="2626"/>
      <c r="J61" s="2625"/>
      <c r="K61" s="2625"/>
      <c r="L61" s="2626"/>
      <c r="M61" s="2625"/>
      <c r="N61" s="2625"/>
      <c r="O61" s="2626"/>
      <c r="P61" s="2625"/>
      <c r="Q61" s="2625"/>
      <c r="R61" s="2627"/>
    </row>
    <row r="62" spans="2:18" s="2615" customFormat="1">
      <c r="B62" s="2625"/>
      <c r="C62" s="2625"/>
      <c r="D62" s="2625"/>
      <c r="E62" s="2625"/>
      <c r="F62" s="2625"/>
      <c r="G62" s="2626"/>
      <c r="H62" s="2625"/>
      <c r="I62" s="2626"/>
      <c r="J62" s="2625"/>
      <c r="K62" s="2625"/>
      <c r="L62" s="2626"/>
      <c r="M62" s="2625"/>
      <c r="N62" s="2625"/>
      <c r="O62" s="2626"/>
      <c r="P62" s="2625"/>
      <c r="Q62" s="2625"/>
      <c r="R62" s="2627"/>
    </row>
    <row r="63" spans="2:18" s="2615" customFormat="1">
      <c r="B63" s="2625"/>
      <c r="C63" s="2625"/>
      <c r="D63" s="2625"/>
      <c r="E63" s="2625"/>
      <c r="F63" s="2625"/>
      <c r="G63" s="2626"/>
      <c r="H63" s="2625"/>
      <c r="I63" s="2626"/>
      <c r="J63" s="2625"/>
      <c r="K63" s="2625"/>
      <c r="L63" s="2626"/>
      <c r="M63" s="2625"/>
      <c r="N63" s="2625"/>
      <c r="O63" s="2626"/>
      <c r="P63" s="2625"/>
      <c r="Q63" s="2625"/>
      <c r="R63" s="2627"/>
    </row>
    <row r="64" spans="2:18" s="2615" customFormat="1">
      <c r="B64" s="2625"/>
      <c r="C64" s="2625"/>
      <c r="D64" s="2625"/>
      <c r="E64" s="2625"/>
      <c r="F64" s="2625"/>
      <c r="G64" s="2626"/>
      <c r="H64" s="2625"/>
      <c r="I64" s="2626"/>
      <c r="J64" s="2625"/>
      <c r="K64" s="2625"/>
      <c r="L64" s="2626"/>
      <c r="M64" s="2625"/>
      <c r="N64" s="2625"/>
      <c r="O64" s="2626"/>
      <c r="P64" s="2625"/>
      <c r="Q64" s="2625"/>
      <c r="R64" s="2627"/>
    </row>
    <row r="65" spans="2:18" s="2615" customFormat="1">
      <c r="B65" s="2625"/>
      <c r="C65" s="2625"/>
      <c r="D65" s="2625"/>
      <c r="E65" s="2625"/>
      <c r="F65" s="2625"/>
      <c r="G65" s="2626"/>
      <c r="H65" s="2625"/>
      <c r="I65" s="2626"/>
      <c r="J65" s="2625"/>
      <c r="K65" s="2625"/>
      <c r="L65" s="2626"/>
      <c r="M65" s="2625"/>
      <c r="N65" s="2625"/>
      <c r="O65" s="2626"/>
      <c r="P65" s="2625"/>
      <c r="Q65" s="2625"/>
      <c r="R65" s="2627"/>
    </row>
    <row r="66" spans="2:18" s="2615" customFormat="1">
      <c r="B66" s="2625"/>
      <c r="C66" s="2625"/>
      <c r="D66" s="2625"/>
      <c r="E66" s="2625"/>
      <c r="F66" s="2625"/>
      <c r="G66" s="2626"/>
      <c r="H66" s="2625"/>
      <c r="I66" s="2626"/>
      <c r="J66" s="2625"/>
      <c r="K66" s="2625"/>
      <c r="L66" s="2626"/>
      <c r="M66" s="2625"/>
      <c r="N66" s="2625"/>
      <c r="O66" s="2626"/>
      <c r="P66" s="2625"/>
      <c r="Q66" s="2625"/>
      <c r="R66" s="2627"/>
    </row>
    <row r="67" spans="2:18" s="2615" customFormat="1">
      <c r="B67" s="2625"/>
      <c r="C67" s="2625"/>
      <c r="D67" s="2625"/>
      <c r="E67" s="2625"/>
      <c r="F67" s="2625"/>
      <c r="G67" s="2626"/>
      <c r="H67" s="2625"/>
      <c r="I67" s="2626"/>
      <c r="J67" s="2625"/>
      <c r="K67" s="2625"/>
      <c r="L67" s="2626"/>
      <c r="M67" s="2625"/>
      <c r="N67" s="2625"/>
      <c r="O67" s="2626"/>
      <c r="P67" s="2625"/>
      <c r="Q67" s="2625"/>
      <c r="R67" s="2627"/>
    </row>
    <row r="68" spans="2:18" s="2615" customFormat="1">
      <c r="B68" s="2625"/>
      <c r="C68" s="2625"/>
      <c r="D68" s="2625"/>
      <c r="E68" s="2625"/>
      <c r="F68" s="2625"/>
      <c r="G68" s="2626"/>
      <c r="H68" s="2625"/>
      <c r="I68" s="2626"/>
      <c r="J68" s="2625"/>
      <c r="K68" s="2625"/>
      <c r="L68" s="2626"/>
      <c r="M68" s="2625"/>
      <c r="N68" s="2625"/>
      <c r="O68" s="2626"/>
      <c r="P68" s="2625"/>
      <c r="Q68" s="2625"/>
      <c r="R68" s="2627"/>
    </row>
    <row r="69" spans="2:18" s="2615" customFormat="1">
      <c r="B69" s="2625"/>
      <c r="C69" s="2625"/>
      <c r="D69" s="2625"/>
      <c r="E69" s="2625"/>
      <c r="F69" s="2625"/>
      <c r="G69" s="2626"/>
      <c r="H69" s="2625"/>
      <c r="I69" s="2626"/>
      <c r="J69" s="2625"/>
      <c r="K69" s="2625"/>
      <c r="L69" s="2626"/>
      <c r="M69" s="2625"/>
      <c r="N69" s="2625"/>
      <c r="O69" s="2626"/>
      <c r="P69" s="2625"/>
      <c r="Q69" s="2625"/>
      <c r="R69" s="2627"/>
    </row>
    <row r="70" spans="2:18" s="2615" customFormat="1">
      <c r="B70" s="2625"/>
      <c r="C70" s="2625"/>
      <c r="D70" s="2625"/>
      <c r="E70" s="2625"/>
      <c r="F70" s="2625"/>
      <c r="G70" s="2626"/>
      <c r="H70" s="2625"/>
      <c r="I70" s="2626"/>
      <c r="J70" s="2625"/>
      <c r="K70" s="2625"/>
      <c r="L70" s="2626"/>
      <c r="M70" s="2625"/>
      <c r="N70" s="2625"/>
      <c r="O70" s="2626"/>
      <c r="P70" s="2625"/>
      <c r="Q70" s="2625"/>
      <c r="R70" s="2627"/>
    </row>
    <row r="71" spans="2:18" s="2615" customFormat="1">
      <c r="B71" s="2625"/>
      <c r="C71" s="2625"/>
      <c r="D71" s="2625"/>
      <c r="E71" s="2625"/>
      <c r="F71" s="2625"/>
      <c r="G71" s="2626"/>
      <c r="H71" s="2625"/>
      <c r="I71" s="2626"/>
      <c r="J71" s="2625"/>
      <c r="K71" s="2625"/>
      <c r="L71" s="2626"/>
      <c r="M71" s="2625"/>
      <c r="N71" s="2625"/>
      <c r="O71" s="2626"/>
      <c r="P71" s="2625"/>
      <c r="Q71" s="2625"/>
      <c r="R71" s="2627"/>
    </row>
    <row r="72" spans="2:18" s="2615" customFormat="1">
      <c r="B72" s="2625"/>
      <c r="C72" s="2625"/>
      <c r="D72" s="2625"/>
      <c r="E72" s="2625"/>
      <c r="F72" s="2625"/>
      <c r="G72" s="2626"/>
      <c r="H72" s="2625"/>
      <c r="I72" s="2626"/>
      <c r="J72" s="2625"/>
      <c r="K72" s="2625"/>
      <c r="L72" s="2626"/>
      <c r="M72" s="2625"/>
      <c r="N72" s="2625"/>
      <c r="O72" s="2626"/>
      <c r="P72" s="2625"/>
      <c r="Q72" s="2625"/>
      <c r="R72" s="2627"/>
    </row>
    <row r="73" spans="2:18" s="2615" customFormat="1">
      <c r="B73" s="2625"/>
      <c r="C73" s="2625"/>
      <c r="D73" s="2625"/>
      <c r="E73" s="2625"/>
      <c r="F73" s="2625"/>
      <c r="G73" s="2626"/>
      <c r="H73" s="2625"/>
      <c r="I73" s="2626"/>
      <c r="J73" s="2625"/>
      <c r="K73" s="2625"/>
      <c r="L73" s="2626"/>
      <c r="M73" s="2625"/>
      <c r="N73" s="2625"/>
      <c r="O73" s="2626"/>
      <c r="P73" s="2625"/>
      <c r="Q73" s="2625"/>
      <c r="R73" s="2627"/>
    </row>
    <row r="74" spans="2:18" s="2615" customFormat="1">
      <c r="B74" s="2625"/>
      <c r="C74" s="2625"/>
      <c r="D74" s="2625"/>
      <c r="E74" s="2625"/>
      <c r="F74" s="2625"/>
      <c r="G74" s="2626"/>
      <c r="H74" s="2625"/>
      <c r="I74" s="2626"/>
      <c r="J74" s="2625"/>
      <c r="K74" s="2625"/>
      <c r="L74" s="2626"/>
      <c r="M74" s="2625"/>
      <c r="N74" s="2625"/>
      <c r="O74" s="2626"/>
      <c r="P74" s="2625"/>
      <c r="Q74" s="2625"/>
      <c r="R74" s="2627"/>
    </row>
    <row r="75" spans="2:18" s="2615" customFormat="1">
      <c r="B75" s="2625"/>
      <c r="C75" s="2625"/>
      <c r="D75" s="2625"/>
      <c r="E75" s="2625"/>
      <c r="F75" s="2625"/>
      <c r="G75" s="2626"/>
      <c r="H75" s="2625"/>
      <c r="I75" s="2626"/>
      <c r="J75" s="2625"/>
      <c r="K75" s="2625"/>
      <c r="L75" s="2626"/>
      <c r="M75" s="2625"/>
      <c r="N75" s="2625"/>
      <c r="O75" s="2626"/>
      <c r="P75" s="2625"/>
      <c r="Q75" s="2625"/>
      <c r="R75" s="2627"/>
    </row>
    <row r="76" spans="2:18" s="2615" customFormat="1">
      <c r="B76" s="2625"/>
      <c r="C76" s="2625"/>
      <c r="D76" s="2625"/>
      <c r="E76" s="2625"/>
      <c r="F76" s="2625"/>
      <c r="G76" s="2626"/>
      <c r="H76" s="2625"/>
      <c r="I76" s="2626"/>
      <c r="J76" s="2625"/>
      <c r="K76" s="2625"/>
      <c r="L76" s="2626"/>
      <c r="M76" s="2625"/>
      <c r="N76" s="2625"/>
      <c r="O76" s="2626"/>
      <c r="P76" s="2625"/>
      <c r="Q76" s="2625"/>
      <c r="R76" s="2627"/>
    </row>
    <row r="77" spans="2:18" s="2615" customFormat="1">
      <c r="B77" s="2625"/>
      <c r="C77" s="2625"/>
      <c r="D77" s="2625"/>
      <c r="E77" s="2625"/>
      <c r="F77" s="2625"/>
      <c r="G77" s="2626"/>
      <c r="H77" s="2625"/>
      <c r="I77" s="2626"/>
      <c r="J77" s="2625"/>
      <c r="K77" s="2625"/>
      <c r="L77" s="2626"/>
      <c r="M77" s="2625"/>
      <c r="N77" s="2625"/>
      <c r="O77" s="2626"/>
      <c r="P77" s="2625"/>
      <c r="Q77" s="2625"/>
      <c r="R77" s="2627"/>
    </row>
    <row r="78" spans="2:18" s="2615" customFormat="1">
      <c r="B78" s="2625"/>
      <c r="C78" s="2625"/>
      <c r="D78" s="2625"/>
      <c r="E78" s="2625"/>
      <c r="F78" s="2625"/>
      <c r="G78" s="2626"/>
      <c r="H78" s="2625"/>
      <c r="I78" s="2626"/>
      <c r="J78" s="2625"/>
      <c r="K78" s="2625"/>
      <c r="L78" s="2626"/>
      <c r="M78" s="2625"/>
      <c r="N78" s="2625"/>
      <c r="O78" s="2626"/>
      <c r="P78" s="2625"/>
      <c r="Q78" s="2625"/>
      <c r="R78" s="2627"/>
    </row>
    <row r="79" spans="2:18" s="2615" customFormat="1">
      <c r="B79" s="2625"/>
      <c r="C79" s="2625"/>
      <c r="D79" s="2625"/>
      <c r="E79" s="2625"/>
      <c r="F79" s="2625"/>
      <c r="G79" s="2626"/>
      <c r="H79" s="2625"/>
      <c r="I79" s="2626"/>
      <c r="J79" s="2625"/>
      <c r="K79" s="2625"/>
      <c r="L79" s="2626"/>
      <c r="M79" s="2625"/>
      <c r="N79" s="2625"/>
      <c r="O79" s="2626"/>
      <c r="P79" s="2625"/>
      <c r="Q79" s="2625"/>
      <c r="R79" s="2627"/>
    </row>
    <row r="80" spans="2:18" s="2615" customFormat="1">
      <c r="B80" s="2625"/>
      <c r="C80" s="2625"/>
      <c r="D80" s="2625"/>
      <c r="E80" s="2625"/>
      <c r="F80" s="2625"/>
      <c r="G80" s="2626"/>
      <c r="H80" s="2625"/>
      <c r="I80" s="2626"/>
      <c r="J80" s="2625"/>
      <c r="K80" s="2625"/>
      <c r="L80" s="2626"/>
      <c r="M80" s="2625"/>
      <c r="N80" s="2625"/>
      <c r="O80" s="2626"/>
      <c r="P80" s="2625"/>
      <c r="Q80" s="2625"/>
      <c r="R80" s="2627"/>
    </row>
    <row r="81" spans="2:18" s="2615" customFormat="1">
      <c r="B81" s="2625"/>
      <c r="C81" s="2625"/>
      <c r="D81" s="2625"/>
      <c r="E81" s="2625"/>
      <c r="F81" s="2625"/>
      <c r="G81" s="2626"/>
      <c r="H81" s="2625"/>
      <c r="I81" s="2626"/>
      <c r="J81" s="2625"/>
      <c r="K81" s="2625"/>
      <c r="L81" s="2626"/>
      <c r="M81" s="2625"/>
      <c r="N81" s="2625"/>
      <c r="O81" s="2626"/>
      <c r="P81" s="2625"/>
      <c r="Q81" s="2625"/>
      <c r="R81" s="2627"/>
    </row>
    <row r="82" spans="2:18" s="2615" customFormat="1">
      <c r="B82" s="2625"/>
      <c r="C82" s="2625"/>
      <c r="D82" s="2625"/>
      <c r="E82" s="2625"/>
      <c r="F82" s="2625"/>
      <c r="G82" s="2626"/>
      <c r="H82" s="2625"/>
      <c r="I82" s="2626"/>
      <c r="J82" s="2625"/>
      <c r="K82" s="2625"/>
      <c r="L82" s="2626"/>
      <c r="M82" s="2625"/>
      <c r="N82" s="2625"/>
      <c r="O82" s="2626"/>
      <c r="P82" s="2625"/>
      <c r="Q82" s="2625"/>
      <c r="R82" s="2627"/>
    </row>
    <row r="83" spans="2:18" s="2615" customFormat="1">
      <c r="B83" s="2625"/>
      <c r="C83" s="2625"/>
      <c r="D83" s="2625"/>
      <c r="E83" s="2625"/>
      <c r="F83" s="2625"/>
      <c r="G83" s="2626"/>
      <c r="H83" s="2625"/>
      <c r="I83" s="2626"/>
      <c r="J83" s="2625"/>
      <c r="K83" s="2625"/>
      <c r="L83" s="2626"/>
      <c r="M83" s="2625"/>
      <c r="N83" s="2625"/>
      <c r="O83" s="2626"/>
      <c r="P83" s="2625"/>
      <c r="Q83" s="2625"/>
      <c r="R83" s="2627"/>
    </row>
    <row r="84" spans="2:18" s="2615" customFormat="1">
      <c r="B84" s="2625"/>
      <c r="C84" s="2625"/>
      <c r="D84" s="2625"/>
      <c r="E84" s="2625"/>
      <c r="F84" s="2625"/>
      <c r="G84" s="2626"/>
      <c r="H84" s="2625"/>
      <c r="I84" s="2626"/>
      <c r="J84" s="2625"/>
      <c r="K84" s="2625"/>
      <c r="L84" s="2626"/>
      <c r="M84" s="2625"/>
      <c r="N84" s="2625"/>
      <c r="O84" s="2626"/>
      <c r="P84" s="2625"/>
      <c r="Q84" s="2625"/>
      <c r="R84" s="2627"/>
    </row>
    <row r="85" spans="2:18" s="2615" customFormat="1">
      <c r="B85" s="2625"/>
      <c r="C85" s="2625"/>
      <c r="D85" s="2625"/>
      <c r="E85" s="2625"/>
      <c r="F85" s="2625"/>
      <c r="G85" s="2626"/>
      <c r="H85" s="2625"/>
      <c r="I85" s="2626"/>
      <c r="J85" s="2625"/>
      <c r="K85" s="2625"/>
      <c r="L85" s="2626"/>
      <c r="M85" s="2625"/>
      <c r="N85" s="2625"/>
      <c r="O85" s="2626"/>
      <c r="P85" s="2625"/>
      <c r="Q85" s="2625"/>
      <c r="R85" s="2627"/>
    </row>
    <row r="86" spans="2:18" s="2615" customFormat="1">
      <c r="B86" s="2625"/>
      <c r="C86" s="2625"/>
      <c r="D86" s="2625"/>
      <c r="E86" s="2625"/>
      <c r="F86" s="2625"/>
      <c r="G86" s="2626"/>
      <c r="H86" s="2625"/>
      <c r="I86" s="2626"/>
      <c r="J86" s="2625"/>
      <c r="K86" s="2625"/>
      <c r="L86" s="2626"/>
      <c r="M86" s="2625"/>
      <c r="N86" s="2625"/>
      <c r="O86" s="2626"/>
      <c r="P86" s="2625"/>
      <c r="Q86" s="2625"/>
      <c r="R86" s="2627"/>
    </row>
    <row r="87" spans="2:18" s="2615" customFormat="1">
      <c r="B87" s="2625"/>
      <c r="C87" s="2625"/>
      <c r="D87" s="2625"/>
      <c r="E87" s="2625"/>
      <c r="F87" s="2625"/>
      <c r="G87" s="2626"/>
      <c r="H87" s="2625"/>
      <c r="I87" s="2626"/>
      <c r="J87" s="2625"/>
      <c r="K87" s="2625"/>
      <c r="L87" s="2626"/>
      <c r="M87" s="2625"/>
      <c r="N87" s="2625"/>
      <c r="O87" s="2626"/>
      <c r="P87" s="2625"/>
      <c r="Q87" s="2625"/>
      <c r="R87" s="2627"/>
    </row>
    <row r="88" spans="2:18" s="2615" customFormat="1">
      <c r="B88" s="2625"/>
      <c r="C88" s="2625"/>
      <c r="D88" s="2625"/>
      <c r="E88" s="2625"/>
      <c r="F88" s="2625"/>
      <c r="G88" s="2626"/>
      <c r="H88" s="2625"/>
      <c r="I88" s="2626"/>
      <c r="J88" s="2625"/>
      <c r="K88" s="2625"/>
      <c r="L88" s="2626"/>
      <c r="M88" s="2625"/>
      <c r="N88" s="2625"/>
      <c r="O88" s="2626"/>
      <c r="P88" s="2625"/>
      <c r="Q88" s="2625"/>
      <c r="R88" s="2627"/>
    </row>
    <row r="89" spans="2:18" s="2615" customFormat="1">
      <c r="B89" s="2625"/>
      <c r="C89" s="2625"/>
      <c r="D89" s="2625"/>
      <c r="E89" s="2625"/>
      <c r="F89" s="2625"/>
      <c r="G89" s="2626"/>
      <c r="H89" s="2625"/>
      <c r="I89" s="2626"/>
      <c r="J89" s="2625"/>
      <c r="K89" s="2625"/>
      <c r="L89" s="2626"/>
      <c r="M89" s="2625"/>
      <c r="N89" s="2625"/>
      <c r="O89" s="2626"/>
      <c r="P89" s="2625"/>
      <c r="Q89" s="2625"/>
      <c r="R89" s="2627"/>
    </row>
    <row r="90" spans="2:18" s="2615" customFormat="1">
      <c r="B90" s="2625"/>
      <c r="C90" s="2625"/>
      <c r="D90" s="2625"/>
      <c r="E90" s="2625"/>
      <c r="F90" s="2625"/>
      <c r="G90" s="2626"/>
      <c r="H90" s="2625"/>
      <c r="I90" s="2626"/>
      <c r="J90" s="2625"/>
      <c r="K90" s="2625"/>
      <c r="L90" s="2626"/>
      <c r="M90" s="2625"/>
      <c r="N90" s="2625"/>
      <c r="O90" s="2626"/>
      <c r="P90" s="2625"/>
      <c r="Q90" s="2625"/>
      <c r="R90" s="2627"/>
    </row>
    <row r="91" spans="2:18" s="2615" customFormat="1">
      <c r="B91" s="2625"/>
      <c r="C91" s="2625"/>
      <c r="D91" s="2625"/>
      <c r="E91" s="2625"/>
      <c r="F91" s="2625"/>
      <c r="G91" s="2626"/>
      <c r="H91" s="2625"/>
      <c r="I91" s="2626"/>
      <c r="J91" s="2625"/>
      <c r="K91" s="2625"/>
      <c r="L91" s="2626"/>
      <c r="M91" s="2625"/>
      <c r="N91" s="2625"/>
      <c r="O91" s="2626"/>
      <c r="P91" s="2625"/>
      <c r="Q91" s="2625"/>
      <c r="R91" s="2627"/>
    </row>
    <row r="92" spans="2:18" s="2615" customFormat="1">
      <c r="B92" s="2625"/>
      <c r="C92" s="2625"/>
      <c r="D92" s="2625"/>
      <c r="E92" s="2625"/>
      <c r="F92" s="2625"/>
      <c r="G92" s="2626"/>
      <c r="H92" s="2625"/>
      <c r="I92" s="2626"/>
      <c r="J92" s="2625"/>
      <c r="K92" s="2625"/>
      <c r="L92" s="2626"/>
      <c r="M92" s="2625"/>
      <c r="N92" s="2625"/>
      <c r="O92" s="2626"/>
      <c r="P92" s="2625"/>
      <c r="Q92" s="2625"/>
      <c r="R92" s="2627"/>
    </row>
    <row r="93" spans="2:18" s="2615" customFormat="1">
      <c r="B93" s="2625"/>
      <c r="C93" s="2625"/>
      <c r="D93" s="2625"/>
      <c r="E93" s="2625"/>
      <c r="F93" s="2625"/>
      <c r="G93" s="2626"/>
      <c r="H93" s="2625"/>
      <c r="I93" s="2626"/>
      <c r="J93" s="2625"/>
      <c r="K93" s="2625"/>
      <c r="L93" s="2626"/>
      <c r="M93" s="2625"/>
      <c r="N93" s="2625"/>
      <c r="O93" s="2626"/>
      <c r="P93" s="2625"/>
      <c r="Q93" s="2625"/>
      <c r="R93" s="2627"/>
    </row>
    <row r="94" spans="2:18" s="2615" customFormat="1">
      <c r="B94" s="2625"/>
      <c r="C94" s="2625"/>
      <c r="D94" s="2625"/>
      <c r="E94" s="2625"/>
      <c r="F94" s="2625"/>
      <c r="G94" s="2626"/>
      <c r="H94" s="2625"/>
      <c r="I94" s="2626"/>
      <c r="J94" s="2625"/>
      <c r="K94" s="2625"/>
      <c r="L94" s="2626"/>
      <c r="M94" s="2625"/>
      <c r="N94" s="2625"/>
      <c r="O94" s="2626"/>
      <c r="P94" s="2625"/>
      <c r="Q94" s="2625"/>
      <c r="R94" s="2627"/>
    </row>
    <row r="95" spans="2:18" s="2615" customFormat="1">
      <c r="B95" s="2625"/>
      <c r="C95" s="2625"/>
      <c r="D95" s="2625"/>
      <c r="E95" s="2625"/>
      <c r="F95" s="2625"/>
      <c r="G95" s="2626"/>
      <c r="H95" s="2625"/>
      <c r="I95" s="2626"/>
      <c r="J95" s="2625"/>
      <c r="K95" s="2625"/>
      <c r="L95" s="2626"/>
      <c r="M95" s="2625"/>
      <c r="N95" s="2625"/>
      <c r="O95" s="2626"/>
      <c r="P95" s="2625"/>
      <c r="Q95" s="2625"/>
      <c r="R95" s="2627"/>
    </row>
    <row r="96" spans="2:18" s="2615" customFormat="1">
      <c r="B96" s="2625"/>
      <c r="C96" s="2625"/>
      <c r="D96" s="2625"/>
      <c r="E96" s="2625"/>
      <c r="F96" s="2625"/>
      <c r="G96" s="2626"/>
      <c r="H96" s="2625"/>
      <c r="I96" s="2626"/>
      <c r="J96" s="2625"/>
      <c r="K96" s="2625"/>
      <c r="L96" s="2626"/>
      <c r="M96" s="2625"/>
      <c r="N96" s="2625"/>
      <c r="O96" s="2626"/>
      <c r="P96" s="2625"/>
      <c r="Q96" s="2625"/>
      <c r="R96" s="2627"/>
    </row>
    <row r="97" spans="2:18" s="2615" customFormat="1">
      <c r="B97" s="2625"/>
      <c r="C97" s="2625"/>
      <c r="D97" s="2625"/>
      <c r="E97" s="2625"/>
      <c r="F97" s="2625"/>
      <c r="G97" s="2626"/>
      <c r="H97" s="2625"/>
      <c r="I97" s="2626"/>
      <c r="J97" s="2625"/>
      <c r="K97" s="2625"/>
      <c r="L97" s="2626"/>
      <c r="M97" s="2625"/>
      <c r="N97" s="2625"/>
      <c r="O97" s="2626"/>
      <c r="P97" s="2625"/>
      <c r="Q97" s="2625"/>
      <c r="R97" s="2627"/>
    </row>
    <row r="98" spans="2:18" s="2615" customFormat="1">
      <c r="B98" s="2625"/>
      <c r="C98" s="2625"/>
      <c r="D98" s="2625"/>
      <c r="E98" s="2625"/>
      <c r="F98" s="2625"/>
      <c r="G98" s="2626"/>
      <c r="H98" s="2625"/>
      <c r="I98" s="2626"/>
      <c r="J98" s="2625"/>
      <c r="K98" s="2625"/>
      <c r="L98" s="2626"/>
      <c r="M98" s="2625"/>
      <c r="N98" s="2625"/>
      <c r="O98" s="2626"/>
      <c r="P98" s="2625"/>
      <c r="Q98" s="2625"/>
      <c r="R98" s="2627"/>
    </row>
    <row r="99" spans="2:18" s="2615" customFormat="1">
      <c r="B99" s="2625"/>
      <c r="C99" s="2625"/>
      <c r="D99" s="2625"/>
      <c r="E99" s="2625"/>
      <c r="F99" s="2625"/>
      <c r="G99" s="2626"/>
      <c r="H99" s="2625"/>
      <c r="I99" s="2626"/>
      <c r="J99" s="2625"/>
      <c r="K99" s="2625"/>
      <c r="L99" s="2626"/>
      <c r="M99" s="2625"/>
      <c r="N99" s="2625"/>
      <c r="O99" s="2626"/>
      <c r="P99" s="2625"/>
      <c r="Q99" s="2625"/>
      <c r="R99" s="2627"/>
    </row>
    <row r="100" spans="2:18" s="2615" customFormat="1">
      <c r="B100" s="2625"/>
      <c r="C100" s="2625"/>
      <c r="D100" s="2625"/>
      <c r="E100" s="2625"/>
      <c r="F100" s="2625"/>
      <c r="G100" s="2626"/>
      <c r="H100" s="2625"/>
      <c r="I100" s="2626"/>
      <c r="J100" s="2625"/>
      <c r="K100" s="2625"/>
      <c r="L100" s="2626"/>
      <c r="M100" s="2625"/>
      <c r="N100" s="2625"/>
      <c r="O100" s="2626"/>
      <c r="P100" s="2625"/>
      <c r="Q100" s="2625"/>
      <c r="R100" s="2627"/>
    </row>
    <row r="101" spans="2:18" s="2615" customFormat="1">
      <c r="B101" s="2625"/>
      <c r="C101" s="2625"/>
      <c r="D101" s="2625"/>
      <c r="E101" s="2625"/>
      <c r="F101" s="2625"/>
      <c r="G101" s="2626"/>
      <c r="H101" s="2625"/>
      <c r="I101" s="2626"/>
      <c r="J101" s="2625"/>
      <c r="K101" s="2625"/>
      <c r="L101" s="2626"/>
      <c r="M101" s="2625"/>
      <c r="N101" s="2625"/>
      <c r="O101" s="2626"/>
      <c r="P101" s="2625"/>
      <c r="Q101" s="2625"/>
      <c r="R101" s="2627"/>
    </row>
    <row r="102" spans="2:18" s="2615" customFormat="1">
      <c r="B102" s="2625"/>
      <c r="C102" s="2625"/>
      <c r="D102" s="2625"/>
      <c r="E102" s="2625"/>
      <c r="F102" s="2625"/>
      <c r="G102" s="2626"/>
      <c r="H102" s="2625"/>
      <c r="I102" s="2626"/>
      <c r="J102" s="2625"/>
      <c r="K102" s="2625"/>
      <c r="L102" s="2626"/>
      <c r="M102" s="2625"/>
      <c r="N102" s="2625"/>
      <c r="O102" s="2626"/>
      <c r="P102" s="2625"/>
      <c r="Q102" s="2625"/>
      <c r="R102" s="2627"/>
    </row>
    <row r="103" spans="2:18" s="2615" customFormat="1">
      <c r="B103" s="2625"/>
      <c r="C103" s="2625"/>
      <c r="D103" s="2625"/>
      <c r="E103" s="2625"/>
      <c r="F103" s="2625"/>
      <c r="G103" s="2626"/>
      <c r="H103" s="2625"/>
      <c r="I103" s="2626"/>
      <c r="J103" s="2625"/>
      <c r="K103" s="2625"/>
      <c r="L103" s="2626"/>
      <c r="M103" s="2625"/>
      <c r="N103" s="2625"/>
      <c r="O103" s="2626"/>
      <c r="P103" s="2625"/>
      <c r="Q103" s="2625"/>
      <c r="R103" s="2627"/>
    </row>
    <row r="104" spans="2:18" s="2615" customFormat="1">
      <c r="B104" s="2625"/>
      <c r="C104" s="2625"/>
      <c r="D104" s="2625"/>
      <c r="E104" s="2625"/>
      <c r="F104" s="2625"/>
      <c r="G104" s="2626"/>
      <c r="H104" s="2625"/>
      <c r="I104" s="2626"/>
      <c r="J104" s="2625"/>
      <c r="K104" s="2625"/>
      <c r="L104" s="2626"/>
      <c r="M104" s="2625"/>
      <c r="N104" s="2625"/>
      <c r="O104" s="2626"/>
      <c r="P104" s="2625"/>
      <c r="Q104" s="2625"/>
      <c r="R104" s="2627"/>
    </row>
    <row r="105" spans="2:18" s="2615" customFormat="1">
      <c r="B105" s="2625"/>
      <c r="C105" s="2625"/>
      <c r="D105" s="2625"/>
      <c r="E105" s="2625"/>
      <c r="F105" s="2625"/>
      <c r="G105" s="2626"/>
      <c r="H105" s="2625"/>
      <c r="I105" s="2626"/>
      <c r="J105" s="2625"/>
      <c r="K105" s="2625"/>
      <c r="L105" s="2626"/>
      <c r="M105" s="2625"/>
      <c r="N105" s="2625"/>
      <c r="O105" s="2626"/>
      <c r="P105" s="2625"/>
      <c r="Q105" s="2625"/>
      <c r="R105" s="2627"/>
    </row>
    <row r="106" spans="2:18" s="2615" customFormat="1">
      <c r="B106" s="2625"/>
      <c r="C106" s="2625"/>
      <c r="D106" s="2625"/>
      <c r="E106" s="2625"/>
      <c r="F106" s="2625"/>
      <c r="G106" s="2626"/>
      <c r="H106" s="2625"/>
      <c r="I106" s="2626"/>
      <c r="J106" s="2625"/>
      <c r="K106" s="2625"/>
      <c r="L106" s="2626"/>
      <c r="M106" s="2625"/>
      <c r="N106" s="2625"/>
      <c r="O106" s="2626"/>
      <c r="P106" s="2625"/>
      <c r="Q106" s="2625"/>
      <c r="R106" s="2627"/>
    </row>
    <row r="107" spans="2:18" s="2615" customFormat="1">
      <c r="B107" s="2625"/>
      <c r="C107" s="2625"/>
      <c r="D107" s="2625"/>
      <c r="E107" s="2625"/>
      <c r="F107" s="2625"/>
      <c r="G107" s="2626"/>
      <c r="H107" s="2625"/>
      <c r="I107" s="2626"/>
      <c r="J107" s="2625"/>
      <c r="K107" s="2625"/>
      <c r="L107" s="2626"/>
      <c r="M107" s="2625"/>
      <c r="N107" s="2625"/>
      <c r="O107" s="2626"/>
      <c r="P107" s="2625"/>
      <c r="Q107" s="2625"/>
      <c r="R107" s="2627"/>
    </row>
    <row r="108" spans="2:18" s="2615" customFormat="1">
      <c r="B108" s="2625"/>
      <c r="C108" s="2625"/>
      <c r="D108" s="2625"/>
      <c r="E108" s="2625"/>
      <c r="F108" s="2625"/>
      <c r="G108" s="2626"/>
      <c r="H108" s="2625"/>
      <c r="I108" s="2626"/>
      <c r="J108" s="2625"/>
      <c r="K108" s="2625"/>
      <c r="L108" s="2626"/>
      <c r="M108" s="2625"/>
      <c r="N108" s="2625"/>
      <c r="O108" s="2626"/>
      <c r="P108" s="2625"/>
      <c r="Q108" s="2625"/>
      <c r="R108" s="2627"/>
    </row>
    <row r="109" spans="2:18" s="2615" customFormat="1">
      <c r="B109" s="2625"/>
      <c r="C109" s="2625"/>
      <c r="D109" s="2625"/>
      <c r="E109" s="2625"/>
      <c r="F109" s="2625"/>
      <c r="G109" s="2626"/>
      <c r="H109" s="2625"/>
      <c r="I109" s="2626"/>
      <c r="J109" s="2625"/>
      <c r="K109" s="2625"/>
      <c r="L109" s="2626"/>
      <c r="M109" s="2625"/>
      <c r="N109" s="2625"/>
      <c r="O109" s="2626"/>
      <c r="P109" s="2625"/>
      <c r="Q109" s="2625"/>
      <c r="R109" s="2627"/>
    </row>
    <row r="110" spans="2:18" s="2615" customFormat="1">
      <c r="B110" s="2625"/>
      <c r="C110" s="2625"/>
      <c r="D110" s="2625"/>
      <c r="E110" s="2625"/>
      <c r="F110" s="2625"/>
      <c r="G110" s="2626"/>
      <c r="H110" s="2625"/>
      <c r="I110" s="2626"/>
      <c r="J110" s="2625"/>
      <c r="K110" s="2625"/>
      <c r="L110" s="2626"/>
      <c r="M110" s="2625"/>
      <c r="N110" s="2625"/>
      <c r="O110" s="2626"/>
      <c r="P110" s="2625"/>
      <c r="Q110" s="2625"/>
      <c r="R110" s="2627"/>
    </row>
    <row r="111" spans="2:18" s="2615" customFormat="1">
      <c r="B111" s="2625"/>
      <c r="C111" s="2625"/>
      <c r="D111" s="2625"/>
      <c r="E111" s="2625"/>
      <c r="F111" s="2625"/>
      <c r="G111" s="2626"/>
      <c r="H111" s="2625"/>
      <c r="I111" s="2626"/>
      <c r="J111" s="2625"/>
      <c r="K111" s="2625"/>
      <c r="L111" s="2626"/>
      <c r="M111" s="2625"/>
      <c r="N111" s="2625"/>
      <c r="O111" s="2626"/>
      <c r="P111" s="2625"/>
      <c r="Q111" s="2625"/>
      <c r="R111" s="2627"/>
    </row>
    <row r="112" spans="2:18" s="2615" customFormat="1">
      <c r="B112" s="2625"/>
      <c r="C112" s="2625"/>
      <c r="D112" s="2625"/>
      <c r="E112" s="2625"/>
      <c r="F112" s="2625"/>
      <c r="G112" s="2626"/>
      <c r="H112" s="2625"/>
      <c r="I112" s="2626"/>
      <c r="J112" s="2625"/>
      <c r="K112" s="2625"/>
      <c r="L112" s="2626"/>
      <c r="M112" s="2625"/>
      <c r="N112" s="2625"/>
      <c r="O112" s="2626"/>
      <c r="P112" s="2625"/>
      <c r="Q112" s="2625"/>
      <c r="R112" s="2627"/>
    </row>
    <row r="113" spans="2:18" s="2615" customFormat="1">
      <c r="B113" s="2625"/>
      <c r="C113" s="2625"/>
      <c r="D113" s="2625"/>
      <c r="E113" s="2625"/>
      <c r="F113" s="2625"/>
      <c r="G113" s="2626"/>
      <c r="H113" s="2625"/>
      <c r="I113" s="2626"/>
      <c r="J113" s="2625"/>
      <c r="K113" s="2625"/>
      <c r="L113" s="2626"/>
      <c r="M113" s="2625"/>
      <c r="N113" s="2625"/>
      <c r="O113" s="2626"/>
      <c r="P113" s="2625"/>
      <c r="Q113" s="2625"/>
      <c r="R113" s="2627"/>
    </row>
    <row r="114" spans="2:18" s="2615" customFormat="1">
      <c r="B114" s="2625"/>
      <c r="C114" s="2625"/>
      <c r="D114" s="2625"/>
      <c r="E114" s="2625"/>
      <c r="F114" s="2625"/>
      <c r="G114" s="2626"/>
      <c r="H114" s="2625"/>
      <c r="I114" s="2626"/>
      <c r="J114" s="2625"/>
      <c r="K114" s="2625"/>
      <c r="L114" s="2626"/>
      <c r="M114" s="2625"/>
      <c r="N114" s="2625"/>
      <c r="O114" s="2626"/>
      <c r="P114" s="2625"/>
      <c r="Q114" s="2625"/>
      <c r="R114" s="2627"/>
    </row>
    <row r="115" spans="2:18" s="2615" customFormat="1">
      <c r="B115" s="2625"/>
      <c r="C115" s="2625"/>
      <c r="D115" s="2625"/>
      <c r="E115" s="2625"/>
      <c r="F115" s="2625"/>
      <c r="G115" s="2626"/>
      <c r="H115" s="2625"/>
      <c r="I115" s="2626"/>
      <c r="J115" s="2625"/>
      <c r="K115" s="2625"/>
      <c r="L115" s="2626"/>
      <c r="M115" s="2625"/>
      <c r="N115" s="2625"/>
      <c r="O115" s="2626"/>
      <c r="P115" s="2625"/>
      <c r="Q115" s="2625"/>
      <c r="R115" s="2627"/>
    </row>
    <row r="116" spans="2:18" s="2615" customFormat="1">
      <c r="B116" s="2625"/>
      <c r="C116" s="2625"/>
      <c r="D116" s="2625"/>
      <c r="E116" s="2625"/>
      <c r="F116" s="2625"/>
      <c r="G116" s="2626"/>
      <c r="H116" s="2625"/>
      <c r="I116" s="2626"/>
      <c r="J116" s="2625"/>
      <c r="K116" s="2625"/>
      <c r="L116" s="2626"/>
      <c r="M116" s="2625"/>
      <c r="N116" s="2625"/>
      <c r="O116" s="2626"/>
      <c r="P116" s="2625"/>
      <c r="Q116" s="2625"/>
      <c r="R116" s="2627"/>
    </row>
    <row r="117" spans="2:18" s="2615" customFormat="1">
      <c r="B117" s="2625"/>
      <c r="C117" s="2625"/>
      <c r="D117" s="2625"/>
      <c r="E117" s="2625"/>
      <c r="F117" s="2625"/>
      <c r="G117" s="2626"/>
      <c r="H117" s="2625"/>
      <c r="I117" s="2626"/>
      <c r="J117" s="2625"/>
      <c r="K117" s="2625"/>
      <c r="L117" s="2626"/>
      <c r="M117" s="2625"/>
      <c r="N117" s="2625"/>
      <c r="O117" s="2626"/>
      <c r="P117" s="2625"/>
      <c r="Q117" s="2625"/>
      <c r="R117" s="2627"/>
    </row>
    <row r="118" spans="2:18" s="2615" customFormat="1">
      <c r="B118" s="2625"/>
      <c r="C118" s="2625"/>
      <c r="D118" s="2625"/>
      <c r="E118" s="2625"/>
      <c r="F118" s="2625"/>
      <c r="G118" s="2626"/>
      <c r="H118" s="2625"/>
      <c r="I118" s="2626"/>
      <c r="J118" s="2625"/>
      <c r="K118" s="2625"/>
      <c r="L118" s="2626"/>
      <c r="M118" s="2625"/>
      <c r="N118" s="2625"/>
      <c r="O118" s="2626"/>
      <c r="P118" s="2625"/>
      <c r="Q118" s="2625"/>
      <c r="R118" s="2627"/>
    </row>
    <row r="119" spans="2:18" s="2615" customFormat="1">
      <c r="B119" s="2625"/>
      <c r="C119" s="2625"/>
      <c r="D119" s="2625"/>
      <c r="E119" s="2625"/>
      <c r="F119" s="2625"/>
      <c r="G119" s="2626"/>
      <c r="H119" s="2625"/>
      <c r="I119" s="2626"/>
      <c r="J119" s="2625"/>
      <c r="K119" s="2625"/>
      <c r="L119" s="2626"/>
      <c r="M119" s="2625"/>
      <c r="N119" s="2625"/>
      <c r="O119" s="2626"/>
      <c r="P119" s="2625"/>
      <c r="Q119" s="2625"/>
      <c r="R119" s="2627"/>
    </row>
    <row r="120" spans="2:18" s="2615" customFormat="1">
      <c r="B120" s="2625"/>
      <c r="C120" s="2625"/>
      <c r="D120" s="2625"/>
      <c r="E120" s="2625"/>
      <c r="F120" s="2625"/>
      <c r="G120" s="2626"/>
      <c r="H120" s="2625"/>
      <c r="I120" s="2626"/>
      <c r="J120" s="2625"/>
      <c r="K120" s="2625"/>
      <c r="L120" s="2626"/>
      <c r="M120" s="2625"/>
      <c r="N120" s="2625"/>
      <c r="O120" s="2626"/>
      <c r="P120" s="2625"/>
      <c r="Q120" s="2625"/>
      <c r="R120" s="2627"/>
    </row>
    <row r="121" spans="2:18" s="2615" customFormat="1">
      <c r="B121" s="2625"/>
      <c r="C121" s="2625"/>
      <c r="D121" s="2625"/>
      <c r="E121" s="2625"/>
      <c r="F121" s="2625"/>
      <c r="G121" s="2626"/>
      <c r="H121" s="2625"/>
      <c r="I121" s="2626"/>
      <c r="J121" s="2625"/>
      <c r="K121" s="2625"/>
      <c r="L121" s="2626"/>
      <c r="M121" s="2625"/>
      <c r="N121" s="2625"/>
      <c r="O121" s="2626"/>
      <c r="P121" s="2625"/>
      <c r="Q121" s="2625"/>
      <c r="R121" s="2627"/>
    </row>
    <row r="122" spans="2:18" s="2615" customFormat="1">
      <c r="B122" s="2625"/>
      <c r="C122" s="2625"/>
      <c r="D122" s="2625"/>
      <c r="E122" s="2625"/>
      <c r="F122" s="2625"/>
      <c r="G122" s="2626"/>
      <c r="H122" s="2625"/>
      <c r="I122" s="2626"/>
      <c r="J122" s="2625"/>
      <c r="K122" s="2625"/>
      <c r="L122" s="2626"/>
      <c r="M122" s="2625"/>
      <c r="N122" s="2625"/>
      <c r="O122" s="2626"/>
      <c r="P122" s="2625"/>
      <c r="Q122" s="2625"/>
      <c r="R122" s="2627"/>
    </row>
    <row r="123" spans="2:18" s="2615" customFormat="1">
      <c r="B123" s="2625"/>
      <c r="C123" s="2625"/>
      <c r="D123" s="2625"/>
      <c r="E123" s="2625"/>
      <c r="F123" s="2625"/>
      <c r="G123" s="2626"/>
      <c r="H123" s="2625"/>
      <c r="I123" s="2626"/>
      <c r="J123" s="2625"/>
      <c r="K123" s="2625"/>
      <c r="L123" s="2626"/>
      <c r="M123" s="2625"/>
      <c r="N123" s="2625"/>
      <c r="O123" s="2626"/>
      <c r="P123" s="2625"/>
      <c r="Q123" s="2625"/>
      <c r="R123" s="2627"/>
    </row>
    <row r="124" spans="2:18" s="2615" customFormat="1">
      <c r="B124" s="2625"/>
      <c r="C124" s="2625"/>
      <c r="D124" s="2625"/>
      <c r="E124" s="2625"/>
      <c r="F124" s="2625"/>
      <c r="G124" s="2626"/>
      <c r="H124" s="2625"/>
      <c r="I124" s="2626"/>
      <c r="J124" s="2625"/>
      <c r="K124" s="2625"/>
      <c r="L124" s="2626"/>
      <c r="M124" s="2625"/>
      <c r="N124" s="2625"/>
      <c r="O124" s="2626"/>
      <c r="P124" s="2625"/>
      <c r="Q124" s="2625"/>
      <c r="R124" s="2627"/>
    </row>
    <row r="125" spans="2:18" s="2615" customFormat="1">
      <c r="B125" s="2625"/>
      <c r="C125" s="2625"/>
      <c r="D125" s="2625"/>
      <c r="E125" s="2625"/>
      <c r="F125" s="2625"/>
      <c r="G125" s="2626"/>
      <c r="H125" s="2625"/>
      <c r="I125" s="2626"/>
      <c r="J125" s="2625"/>
      <c r="K125" s="2625"/>
      <c r="L125" s="2626"/>
      <c r="M125" s="2625"/>
      <c r="N125" s="2625"/>
      <c r="O125" s="2626"/>
      <c r="P125" s="2625"/>
      <c r="Q125" s="2625"/>
      <c r="R125" s="2627"/>
    </row>
    <row r="126" spans="2:18" s="2615" customFormat="1">
      <c r="B126" s="2625"/>
      <c r="C126" s="2625"/>
      <c r="D126" s="2625"/>
      <c r="E126" s="2625"/>
      <c r="F126" s="2625"/>
      <c r="G126" s="2626"/>
      <c r="H126" s="2625"/>
      <c r="I126" s="2626"/>
      <c r="J126" s="2625"/>
      <c r="K126" s="2625"/>
      <c r="L126" s="2626"/>
      <c r="M126" s="2625"/>
      <c r="N126" s="2625"/>
      <c r="O126" s="2626"/>
      <c r="P126" s="2625"/>
      <c r="Q126" s="2625"/>
      <c r="R126" s="2627"/>
    </row>
    <row r="127" spans="2:18" s="2615" customFormat="1">
      <c r="B127" s="2625"/>
      <c r="C127" s="2625"/>
      <c r="D127" s="2625"/>
      <c r="E127" s="2625"/>
      <c r="F127" s="2625"/>
      <c r="G127" s="2626"/>
      <c r="H127" s="2625"/>
      <c r="I127" s="2626"/>
      <c r="J127" s="2625"/>
      <c r="K127" s="2625"/>
      <c r="L127" s="2626"/>
      <c r="M127" s="2625"/>
      <c r="N127" s="2625"/>
      <c r="O127" s="2626"/>
      <c r="P127" s="2625"/>
      <c r="Q127" s="2625"/>
      <c r="R127" s="2627"/>
    </row>
    <row r="128" spans="2:18" s="2615" customFormat="1">
      <c r="B128" s="2625"/>
      <c r="C128" s="2625"/>
      <c r="D128" s="2625"/>
      <c r="E128" s="2625"/>
      <c r="F128" s="2625"/>
      <c r="G128" s="2626"/>
      <c r="H128" s="2625"/>
      <c r="I128" s="2626"/>
      <c r="J128" s="2625"/>
      <c r="K128" s="2625"/>
      <c r="L128" s="2626"/>
      <c r="M128" s="2625"/>
      <c r="N128" s="2625"/>
      <c r="O128" s="2626"/>
      <c r="P128" s="2625"/>
      <c r="Q128" s="2625"/>
      <c r="R128" s="2627"/>
    </row>
    <row r="129" spans="2:18" s="2615" customFormat="1">
      <c r="B129" s="2625"/>
      <c r="C129" s="2625"/>
      <c r="D129" s="2625"/>
      <c r="E129" s="2625"/>
      <c r="F129" s="2625"/>
      <c r="G129" s="2626"/>
      <c r="H129" s="2625"/>
      <c r="I129" s="2626"/>
      <c r="J129" s="2625"/>
      <c r="K129" s="2625"/>
      <c r="L129" s="2626"/>
      <c r="M129" s="2625"/>
      <c r="N129" s="2625"/>
      <c r="O129" s="2626"/>
      <c r="P129" s="2625"/>
      <c r="Q129" s="2625"/>
      <c r="R129" s="2627"/>
    </row>
    <row r="130" spans="2:18" s="2615" customFormat="1">
      <c r="B130" s="2625"/>
      <c r="C130" s="2625"/>
      <c r="D130" s="2625"/>
      <c r="E130" s="2625"/>
      <c r="F130" s="2625"/>
      <c r="G130" s="2626"/>
      <c r="H130" s="2625"/>
      <c r="I130" s="2626"/>
      <c r="J130" s="2625"/>
      <c r="K130" s="2625"/>
      <c r="L130" s="2626"/>
      <c r="M130" s="2625"/>
      <c r="N130" s="2625"/>
      <c r="O130" s="2626"/>
      <c r="P130" s="2625"/>
      <c r="Q130" s="2625"/>
      <c r="R130" s="2627"/>
    </row>
    <row r="131" spans="2:18" s="2615" customFormat="1">
      <c r="B131" s="2625"/>
      <c r="C131" s="2625"/>
      <c r="D131" s="2625"/>
      <c r="E131" s="2625"/>
      <c r="F131" s="2625"/>
      <c r="G131" s="2626"/>
      <c r="H131" s="2625"/>
      <c r="I131" s="2626"/>
      <c r="J131" s="2625"/>
      <c r="K131" s="2625"/>
      <c r="L131" s="2626"/>
      <c r="M131" s="2625"/>
      <c r="N131" s="2625"/>
      <c r="O131" s="2626"/>
      <c r="P131" s="2625"/>
      <c r="Q131" s="2625"/>
      <c r="R131" s="2627"/>
    </row>
    <row r="132" spans="2:18" s="2615" customFormat="1">
      <c r="B132" s="2625"/>
      <c r="C132" s="2625"/>
      <c r="D132" s="2625"/>
      <c r="E132" s="2625"/>
      <c r="F132" s="2625"/>
      <c r="G132" s="2626"/>
      <c r="H132" s="2625"/>
      <c r="I132" s="2626"/>
      <c r="J132" s="2625"/>
      <c r="K132" s="2625"/>
      <c r="L132" s="2626"/>
      <c r="M132" s="2625"/>
      <c r="N132" s="2625"/>
      <c r="O132" s="2626"/>
      <c r="P132" s="2625"/>
      <c r="Q132" s="2625"/>
      <c r="R132" s="2627"/>
    </row>
    <row r="133" spans="2:18" s="2615" customFormat="1">
      <c r="B133" s="2625"/>
      <c r="C133" s="2625"/>
      <c r="D133" s="2625"/>
      <c r="E133" s="2625"/>
      <c r="F133" s="2625"/>
      <c r="G133" s="2626"/>
      <c r="H133" s="2625"/>
      <c r="I133" s="2626"/>
      <c r="J133" s="2625"/>
      <c r="K133" s="2625"/>
      <c r="L133" s="2626"/>
      <c r="M133" s="2625"/>
      <c r="N133" s="2625"/>
      <c r="O133" s="2626"/>
      <c r="P133" s="2625"/>
      <c r="Q133" s="2625"/>
      <c r="R133" s="2627"/>
    </row>
    <row r="134" spans="2:18" s="2615" customFormat="1">
      <c r="B134" s="2625"/>
      <c r="C134" s="2625"/>
      <c r="D134" s="2625"/>
      <c r="E134" s="2625"/>
      <c r="F134" s="2625"/>
      <c r="G134" s="2626"/>
      <c r="H134" s="2625"/>
      <c r="I134" s="2626"/>
      <c r="J134" s="2625"/>
      <c r="K134" s="2625"/>
      <c r="L134" s="2626"/>
      <c r="M134" s="2625"/>
      <c r="N134" s="2625"/>
      <c r="O134" s="2626"/>
      <c r="P134" s="2625"/>
      <c r="Q134" s="2625"/>
      <c r="R134" s="2627"/>
    </row>
    <row r="135" spans="2:18" s="2615" customFormat="1">
      <c r="B135" s="2625"/>
      <c r="C135" s="2625"/>
      <c r="D135" s="2625"/>
      <c r="E135" s="2625"/>
      <c r="F135" s="2625"/>
      <c r="G135" s="2626"/>
      <c r="H135" s="2625"/>
      <c r="I135" s="2626"/>
      <c r="J135" s="2625"/>
      <c r="K135" s="2625"/>
      <c r="L135" s="2626"/>
      <c r="M135" s="2625"/>
      <c r="N135" s="2625"/>
      <c r="O135" s="2626"/>
      <c r="P135" s="2625"/>
      <c r="Q135" s="2625"/>
      <c r="R135" s="2627"/>
    </row>
    <row r="136" spans="2:18" s="2615" customFormat="1">
      <c r="B136" s="2625"/>
      <c r="C136" s="2625"/>
      <c r="D136" s="2625"/>
      <c r="E136" s="2625"/>
      <c r="F136" s="2625"/>
      <c r="G136" s="2626"/>
      <c r="H136" s="2625"/>
      <c r="I136" s="2626"/>
      <c r="J136" s="2625"/>
      <c r="K136" s="2625"/>
      <c r="L136" s="2626"/>
      <c r="M136" s="2625"/>
      <c r="N136" s="2625"/>
      <c r="O136" s="2626"/>
      <c r="P136" s="2625"/>
      <c r="Q136" s="2625"/>
      <c r="R136" s="2627"/>
    </row>
    <row r="137" spans="2:18" s="2615" customFormat="1">
      <c r="B137" s="2625"/>
      <c r="C137" s="2625"/>
      <c r="D137" s="2625"/>
      <c r="E137" s="2625"/>
      <c r="F137" s="2625"/>
      <c r="G137" s="2626"/>
      <c r="H137" s="2625"/>
      <c r="I137" s="2626"/>
      <c r="J137" s="2625"/>
      <c r="K137" s="2625"/>
      <c r="L137" s="2626"/>
      <c r="M137" s="2625"/>
      <c r="N137" s="2625"/>
      <c r="O137" s="2626"/>
      <c r="P137" s="2625"/>
      <c r="Q137" s="2625"/>
      <c r="R137" s="2627"/>
    </row>
    <row r="138" spans="2:18" s="2615" customFormat="1">
      <c r="B138" s="2625"/>
      <c r="C138" s="2625"/>
      <c r="D138" s="2625"/>
      <c r="E138" s="2625"/>
      <c r="F138" s="2625"/>
      <c r="G138" s="2626"/>
      <c r="H138" s="2625"/>
      <c r="I138" s="2626"/>
      <c r="J138" s="2625"/>
      <c r="K138" s="2625"/>
      <c r="L138" s="2626"/>
      <c r="M138" s="2625"/>
      <c r="N138" s="2625"/>
      <c r="O138" s="2626"/>
      <c r="P138" s="2625"/>
      <c r="Q138" s="2625"/>
      <c r="R138" s="2627"/>
    </row>
    <row r="139" spans="2:18" s="2615" customFormat="1">
      <c r="B139" s="2625"/>
      <c r="C139" s="2625"/>
      <c r="D139" s="2625"/>
      <c r="E139" s="2625"/>
      <c r="F139" s="2625"/>
      <c r="G139" s="2626"/>
      <c r="H139" s="2625"/>
      <c r="I139" s="2626"/>
      <c r="J139" s="2625"/>
      <c r="K139" s="2625"/>
      <c r="L139" s="2626"/>
      <c r="M139" s="2625"/>
      <c r="N139" s="2625"/>
      <c r="O139" s="2626"/>
      <c r="P139" s="2625"/>
      <c r="Q139" s="2625"/>
      <c r="R139" s="2627"/>
    </row>
    <row r="140" spans="2:18" s="2615" customFormat="1">
      <c r="B140" s="2625"/>
      <c r="C140" s="2625"/>
      <c r="D140" s="2625"/>
      <c r="E140" s="2625"/>
      <c r="F140" s="2625"/>
      <c r="G140" s="2626"/>
      <c r="H140" s="2625"/>
      <c r="I140" s="2626"/>
      <c r="J140" s="2625"/>
      <c r="K140" s="2625"/>
      <c r="L140" s="2626"/>
      <c r="M140" s="2625"/>
      <c r="N140" s="2625"/>
      <c r="O140" s="2626"/>
      <c r="P140" s="2625"/>
      <c r="Q140" s="2625"/>
      <c r="R140" s="2627"/>
    </row>
    <row r="141" spans="2:18" s="2615" customFormat="1">
      <c r="B141" s="2625"/>
      <c r="C141" s="2625"/>
      <c r="D141" s="2625"/>
      <c r="E141" s="2625"/>
      <c r="F141" s="2625"/>
      <c r="G141" s="2626"/>
      <c r="H141" s="2625"/>
      <c r="I141" s="2626"/>
      <c r="J141" s="2625"/>
      <c r="K141" s="2625"/>
      <c r="L141" s="2626"/>
      <c r="M141" s="2625"/>
      <c r="N141" s="2625"/>
      <c r="O141" s="2626"/>
      <c r="P141" s="2625"/>
      <c r="Q141" s="2625"/>
      <c r="R141" s="2627"/>
    </row>
    <row r="142" spans="2:18" s="2615" customFormat="1">
      <c r="B142" s="2625"/>
      <c r="C142" s="2625"/>
      <c r="D142" s="2625"/>
      <c r="E142" s="2625"/>
      <c r="F142" s="2625"/>
      <c r="G142" s="2626"/>
      <c r="H142" s="2625"/>
      <c r="I142" s="2626"/>
      <c r="J142" s="2625"/>
      <c r="K142" s="2625"/>
      <c r="L142" s="2626"/>
      <c r="M142" s="2625"/>
      <c r="N142" s="2625"/>
      <c r="O142" s="2626"/>
      <c r="P142" s="2625"/>
      <c r="Q142" s="2625"/>
      <c r="R142" s="2627"/>
    </row>
    <row r="143" spans="2:18" s="2615" customFormat="1">
      <c r="B143" s="2625"/>
      <c r="C143" s="2625"/>
      <c r="D143" s="2625"/>
      <c r="E143" s="2625"/>
      <c r="F143" s="2625"/>
      <c r="G143" s="2626"/>
      <c r="H143" s="2625"/>
      <c r="I143" s="2626"/>
      <c r="J143" s="2625"/>
      <c r="K143" s="2625"/>
      <c r="L143" s="2626"/>
      <c r="M143" s="2625"/>
      <c r="N143" s="2625"/>
      <c r="O143" s="2626"/>
      <c r="P143" s="2625"/>
      <c r="Q143" s="2625"/>
      <c r="R143" s="2627"/>
    </row>
    <row r="144" spans="2:18" s="2615" customFormat="1">
      <c r="B144" s="2625"/>
      <c r="C144" s="2625"/>
      <c r="D144" s="2625"/>
      <c r="E144" s="2625"/>
      <c r="F144" s="2625"/>
      <c r="G144" s="2626"/>
      <c r="H144" s="2625"/>
      <c r="I144" s="2626"/>
      <c r="J144" s="2625"/>
      <c r="K144" s="2625"/>
      <c r="L144" s="2626"/>
      <c r="M144" s="2625"/>
      <c r="N144" s="2625"/>
      <c r="O144" s="2626"/>
      <c r="P144" s="2625"/>
      <c r="Q144" s="2625"/>
      <c r="R144" s="2627"/>
    </row>
    <row r="145" spans="2:18" s="2615" customFormat="1">
      <c r="B145" s="2625"/>
      <c r="C145" s="2625"/>
      <c r="D145" s="2625"/>
      <c r="E145" s="2625"/>
      <c r="F145" s="2625"/>
      <c r="G145" s="2626"/>
      <c r="H145" s="2625"/>
      <c r="I145" s="2626"/>
      <c r="J145" s="2625"/>
      <c r="K145" s="2625"/>
      <c r="L145" s="2626"/>
      <c r="M145" s="2625"/>
      <c r="N145" s="2625"/>
      <c r="O145" s="2626"/>
      <c r="P145" s="2625"/>
      <c r="Q145" s="2625"/>
      <c r="R145" s="2627"/>
    </row>
    <row r="146" spans="2:18" s="2615" customFormat="1">
      <c r="B146" s="2625"/>
      <c r="C146" s="2625"/>
      <c r="D146" s="2625"/>
      <c r="E146" s="2625"/>
      <c r="F146" s="2625"/>
      <c r="G146" s="2626"/>
      <c r="H146" s="2625"/>
      <c r="I146" s="2626"/>
      <c r="J146" s="2625"/>
      <c r="K146" s="2625"/>
      <c r="L146" s="2626"/>
      <c r="M146" s="2625"/>
      <c r="N146" s="2625"/>
      <c r="O146" s="2626"/>
      <c r="P146" s="2625"/>
      <c r="Q146" s="2625"/>
      <c r="R146" s="2627"/>
    </row>
    <row r="147" spans="2:18" s="2615" customFormat="1">
      <c r="B147" s="2625"/>
      <c r="C147" s="2625"/>
      <c r="D147" s="2625"/>
      <c r="E147" s="2625"/>
      <c r="F147" s="2625"/>
      <c r="G147" s="2626"/>
      <c r="H147" s="2625"/>
      <c r="I147" s="2626"/>
      <c r="J147" s="2625"/>
      <c r="K147" s="2625"/>
      <c r="L147" s="2626"/>
      <c r="M147" s="2625"/>
      <c r="N147" s="2625"/>
      <c r="O147" s="2626"/>
      <c r="P147" s="2625"/>
      <c r="Q147" s="2625"/>
      <c r="R147" s="2627"/>
    </row>
    <row r="148" spans="2:18" s="2615" customFormat="1">
      <c r="B148" s="2625"/>
      <c r="C148" s="2625"/>
      <c r="D148" s="2625"/>
      <c r="E148" s="2625"/>
      <c r="F148" s="2625"/>
      <c r="G148" s="2626"/>
      <c r="H148" s="2625"/>
      <c r="I148" s="2626"/>
      <c r="J148" s="2625"/>
      <c r="K148" s="2625"/>
      <c r="L148" s="2626"/>
      <c r="M148" s="2625"/>
      <c r="N148" s="2625"/>
      <c r="O148" s="2626"/>
      <c r="P148" s="2625"/>
      <c r="Q148" s="2625"/>
      <c r="R148" s="2627"/>
    </row>
    <row r="149" spans="2:18" s="2615" customFormat="1">
      <c r="B149" s="2625"/>
      <c r="C149" s="2625"/>
      <c r="D149" s="2625"/>
      <c r="E149" s="2625"/>
      <c r="F149" s="2625"/>
      <c r="G149" s="2626"/>
      <c r="H149" s="2625"/>
      <c r="I149" s="2626"/>
      <c r="J149" s="2625"/>
      <c r="K149" s="2625"/>
      <c r="L149" s="2626"/>
      <c r="M149" s="2625"/>
      <c r="N149" s="2625"/>
      <c r="O149" s="2626"/>
      <c r="P149" s="2625"/>
      <c r="Q149" s="2625"/>
      <c r="R149" s="2627"/>
    </row>
    <row r="150" spans="2:18" s="2615" customFormat="1">
      <c r="B150" s="2625"/>
      <c r="C150" s="2625"/>
      <c r="D150" s="2625"/>
      <c r="E150" s="2625"/>
      <c r="F150" s="2625"/>
      <c r="G150" s="2626"/>
      <c r="H150" s="2625"/>
      <c r="I150" s="2626"/>
      <c r="J150" s="2625"/>
      <c r="K150" s="2625"/>
      <c r="L150" s="2626"/>
      <c r="M150" s="2625"/>
      <c r="N150" s="2625"/>
      <c r="O150" s="2626"/>
      <c r="P150" s="2625"/>
      <c r="Q150" s="2625"/>
      <c r="R150" s="2627"/>
    </row>
    <row r="151" spans="2:18" s="2615" customFormat="1">
      <c r="B151" s="2625"/>
      <c r="C151" s="2625"/>
      <c r="D151" s="2625"/>
      <c r="E151" s="2625"/>
      <c r="F151" s="2625"/>
      <c r="G151" s="2626"/>
      <c r="H151" s="2625"/>
      <c r="I151" s="2626"/>
      <c r="J151" s="2625"/>
      <c r="K151" s="2625"/>
      <c r="L151" s="2626"/>
      <c r="M151" s="2625"/>
      <c r="N151" s="2625"/>
      <c r="O151" s="2626"/>
      <c r="P151" s="2625"/>
      <c r="Q151" s="2625"/>
      <c r="R151" s="2627"/>
    </row>
    <row r="152" spans="2:18" s="2615" customFormat="1">
      <c r="B152" s="2625"/>
      <c r="C152" s="2625"/>
      <c r="D152" s="2625"/>
      <c r="E152" s="2625"/>
      <c r="F152" s="2625"/>
      <c r="G152" s="2626"/>
      <c r="H152" s="2625"/>
      <c r="I152" s="2626"/>
      <c r="J152" s="2625"/>
      <c r="K152" s="2625"/>
      <c r="L152" s="2626"/>
      <c r="M152" s="2625"/>
      <c r="N152" s="2625"/>
      <c r="O152" s="2626"/>
      <c r="P152" s="2625"/>
      <c r="Q152" s="2625"/>
      <c r="R152" s="2627"/>
    </row>
    <row r="153" spans="2:18" s="2615" customFormat="1">
      <c r="B153" s="2625"/>
      <c r="C153" s="2625"/>
      <c r="D153" s="2625"/>
      <c r="E153" s="2625"/>
      <c r="F153" s="2625"/>
      <c r="G153" s="2626"/>
      <c r="H153" s="2625"/>
      <c r="I153" s="2626"/>
      <c r="J153" s="2625"/>
      <c r="K153" s="2625"/>
      <c r="L153" s="2626"/>
      <c r="M153" s="2625"/>
      <c r="N153" s="2625"/>
      <c r="O153" s="2626"/>
      <c r="P153" s="2625"/>
      <c r="Q153" s="2625"/>
      <c r="R153" s="2627"/>
    </row>
    <row r="154" spans="2:18" s="2615" customFormat="1">
      <c r="B154" s="2625"/>
      <c r="C154" s="2625"/>
      <c r="D154" s="2625"/>
      <c r="E154" s="2625"/>
      <c r="F154" s="2625"/>
      <c r="G154" s="2626"/>
      <c r="H154" s="2625"/>
      <c r="I154" s="2626"/>
      <c r="J154" s="2625"/>
      <c r="K154" s="2625"/>
      <c r="L154" s="2626"/>
      <c r="M154" s="2625"/>
      <c r="N154" s="2625"/>
      <c r="O154" s="2626"/>
      <c r="P154" s="2625"/>
      <c r="Q154" s="2625"/>
      <c r="R154" s="2627"/>
    </row>
    <row r="155" spans="2:18" s="2615" customFormat="1">
      <c r="B155" s="2625"/>
      <c r="C155" s="2625"/>
      <c r="D155" s="2625"/>
      <c r="E155" s="2625"/>
      <c r="F155" s="2625"/>
      <c r="G155" s="2626"/>
      <c r="H155" s="2625"/>
      <c r="I155" s="2626"/>
      <c r="J155" s="2625"/>
      <c r="K155" s="2625"/>
      <c r="L155" s="2626"/>
      <c r="M155" s="2625"/>
      <c r="N155" s="2625"/>
      <c r="O155" s="2626"/>
      <c r="P155" s="2625"/>
      <c r="Q155" s="2625"/>
      <c r="R155" s="2627"/>
    </row>
    <row r="156" spans="2:18" s="2615" customFormat="1">
      <c r="B156" s="2625"/>
      <c r="C156" s="2625"/>
      <c r="D156" s="2625"/>
      <c r="E156" s="2625"/>
      <c r="F156" s="2625"/>
      <c r="G156" s="2626"/>
      <c r="H156" s="2625"/>
      <c r="I156" s="2626"/>
      <c r="J156" s="2625"/>
      <c r="K156" s="2625"/>
      <c r="L156" s="2626"/>
      <c r="M156" s="2625"/>
      <c r="N156" s="2625"/>
      <c r="O156" s="2626"/>
      <c r="P156" s="2625"/>
      <c r="Q156" s="2625"/>
      <c r="R156" s="2627"/>
    </row>
    <row r="157" spans="2:18" s="2615" customFormat="1">
      <c r="B157" s="2625"/>
      <c r="C157" s="2625"/>
      <c r="D157" s="2625"/>
      <c r="E157" s="2625"/>
      <c r="F157" s="2625"/>
      <c r="G157" s="2626"/>
      <c r="H157" s="2625"/>
      <c r="I157" s="2626"/>
      <c r="J157" s="2625"/>
      <c r="K157" s="2625"/>
      <c r="L157" s="2626"/>
      <c r="M157" s="2625"/>
      <c r="N157" s="2625"/>
      <c r="O157" s="2626"/>
      <c r="P157" s="2625"/>
      <c r="Q157" s="2625"/>
      <c r="R157" s="2627"/>
    </row>
    <row r="158" spans="2:18" s="2615" customFormat="1">
      <c r="B158" s="2625"/>
      <c r="C158" s="2625"/>
      <c r="D158" s="2625"/>
      <c r="E158" s="2625"/>
      <c r="F158" s="2625"/>
      <c r="G158" s="2626"/>
      <c r="H158" s="2625"/>
      <c r="I158" s="2626"/>
      <c r="J158" s="2625"/>
      <c r="K158" s="2625"/>
      <c r="L158" s="2626"/>
      <c r="M158" s="2625"/>
      <c r="N158" s="2625"/>
      <c r="O158" s="2626"/>
      <c r="P158" s="2625"/>
      <c r="Q158" s="2625"/>
      <c r="R158" s="2627"/>
    </row>
    <row r="159" spans="2:18" s="2615" customFormat="1">
      <c r="B159" s="2625"/>
      <c r="C159" s="2625"/>
      <c r="D159" s="2625"/>
      <c r="E159" s="2625"/>
      <c r="F159" s="2625"/>
      <c r="G159" s="2626"/>
      <c r="H159" s="2625"/>
      <c r="I159" s="2626"/>
      <c r="J159" s="2625"/>
      <c r="K159" s="2625"/>
      <c r="L159" s="2626"/>
      <c r="M159" s="2625"/>
      <c r="N159" s="2625"/>
      <c r="O159" s="2626"/>
      <c r="P159" s="2625"/>
      <c r="Q159" s="2625"/>
      <c r="R159" s="2627"/>
    </row>
    <row r="160" spans="2:18" s="2615" customFormat="1">
      <c r="B160" s="2625"/>
      <c r="C160" s="2625"/>
      <c r="D160" s="2625"/>
      <c r="E160" s="2625"/>
      <c r="F160" s="2625"/>
      <c r="G160" s="2626"/>
      <c r="H160" s="2625"/>
      <c r="I160" s="2626"/>
      <c r="J160" s="2625"/>
      <c r="K160" s="2625"/>
      <c r="L160" s="2626"/>
      <c r="M160" s="2625"/>
      <c r="N160" s="2625"/>
      <c r="O160" s="2626"/>
      <c r="P160" s="2625"/>
      <c r="Q160" s="2625"/>
      <c r="R160" s="2627"/>
    </row>
    <row r="161" spans="2:18" s="2615" customFormat="1">
      <c r="B161" s="2625"/>
      <c r="C161" s="2625"/>
      <c r="D161" s="2625"/>
      <c r="E161" s="2625"/>
      <c r="F161" s="2625"/>
      <c r="G161" s="2626"/>
      <c r="H161" s="2625"/>
      <c r="I161" s="2626"/>
      <c r="J161" s="2625"/>
      <c r="K161" s="2625"/>
      <c r="L161" s="2626"/>
      <c r="M161" s="2625"/>
      <c r="N161" s="2625"/>
      <c r="O161" s="2626"/>
      <c r="P161" s="2625"/>
      <c r="Q161" s="2625"/>
      <c r="R161" s="2627"/>
    </row>
    <row r="162" spans="2:18" s="2615" customFormat="1">
      <c r="B162" s="2625"/>
      <c r="C162" s="2625"/>
      <c r="D162" s="2625"/>
      <c r="E162" s="2625"/>
      <c r="F162" s="2625"/>
      <c r="G162" s="2626"/>
      <c r="H162" s="2625"/>
      <c r="I162" s="2626"/>
      <c r="J162" s="2625"/>
      <c r="K162" s="2625"/>
      <c r="L162" s="2626"/>
      <c r="M162" s="2625"/>
      <c r="N162" s="2625"/>
      <c r="O162" s="2626"/>
      <c r="P162" s="2625"/>
      <c r="Q162" s="2625"/>
      <c r="R162" s="2627"/>
    </row>
    <row r="163" spans="2:18" s="2615" customFormat="1">
      <c r="B163" s="2625"/>
      <c r="C163" s="2625"/>
      <c r="D163" s="2625"/>
      <c r="E163" s="2625"/>
      <c r="F163" s="2625"/>
      <c r="G163" s="2626"/>
      <c r="H163" s="2625"/>
      <c r="I163" s="2626"/>
      <c r="J163" s="2625"/>
      <c r="K163" s="2625"/>
      <c r="L163" s="2626"/>
      <c r="M163" s="2625"/>
      <c r="N163" s="2625"/>
      <c r="O163" s="2626"/>
      <c r="P163" s="2625"/>
      <c r="Q163" s="2625"/>
      <c r="R163" s="2627"/>
    </row>
    <row r="164" spans="2:18" s="2615" customFormat="1">
      <c r="B164" s="2625"/>
      <c r="C164" s="2625"/>
      <c r="D164" s="2625"/>
      <c r="E164" s="2625"/>
      <c r="F164" s="2625"/>
      <c r="G164" s="2626"/>
      <c r="H164" s="2625"/>
      <c r="I164" s="2626"/>
      <c r="J164" s="2625"/>
      <c r="K164" s="2625"/>
      <c r="L164" s="2626"/>
      <c r="M164" s="2625"/>
      <c r="N164" s="2625"/>
      <c r="O164" s="2626"/>
      <c r="P164" s="2625"/>
      <c r="Q164" s="2625"/>
      <c r="R164" s="2627"/>
    </row>
    <row r="165" spans="2:18" s="2615" customFormat="1">
      <c r="B165" s="2625"/>
      <c r="C165" s="2625"/>
      <c r="D165" s="2625"/>
      <c r="E165" s="2625"/>
      <c r="F165" s="2625"/>
      <c r="G165" s="2626"/>
      <c r="H165" s="2625"/>
      <c r="I165" s="2626"/>
      <c r="J165" s="2625"/>
      <c r="K165" s="2625"/>
      <c r="L165" s="2626"/>
      <c r="M165" s="2625"/>
      <c r="N165" s="2625"/>
      <c r="O165" s="2626"/>
      <c r="P165" s="2625"/>
      <c r="Q165" s="2625"/>
      <c r="R165" s="2627"/>
    </row>
    <row r="166" spans="2:18" s="2615" customFormat="1">
      <c r="B166" s="2625"/>
      <c r="C166" s="2625"/>
      <c r="D166" s="2625"/>
      <c r="E166" s="2625"/>
      <c r="F166" s="2625"/>
      <c r="G166" s="2626"/>
      <c r="H166" s="2625"/>
      <c r="I166" s="2626"/>
      <c r="J166" s="2625"/>
      <c r="K166" s="2625"/>
      <c r="L166" s="2626"/>
      <c r="M166" s="2625"/>
      <c r="N166" s="2625"/>
      <c r="O166" s="2626"/>
      <c r="P166" s="2625"/>
      <c r="Q166" s="2625"/>
      <c r="R166" s="2627"/>
    </row>
    <row r="167" spans="2:18" s="2615" customFormat="1">
      <c r="B167" s="2625"/>
      <c r="C167" s="2625"/>
      <c r="D167" s="2625"/>
      <c r="E167" s="2625"/>
      <c r="F167" s="2625"/>
      <c r="G167" s="2626"/>
      <c r="H167" s="2625"/>
      <c r="I167" s="2626"/>
      <c r="J167" s="2625"/>
      <c r="K167" s="2625"/>
      <c r="L167" s="2626"/>
      <c r="M167" s="2625"/>
      <c r="N167" s="2625"/>
      <c r="O167" s="2626"/>
      <c r="P167" s="2625"/>
      <c r="Q167" s="2625"/>
      <c r="R167" s="2627"/>
    </row>
    <row r="168" spans="2:18" s="2615" customFormat="1">
      <c r="B168" s="2625"/>
      <c r="C168" s="2625"/>
      <c r="D168" s="2625"/>
      <c r="E168" s="2625"/>
      <c r="F168" s="2625"/>
      <c r="G168" s="2626"/>
      <c r="H168" s="2625"/>
      <c r="I168" s="2626"/>
      <c r="J168" s="2625"/>
      <c r="K168" s="2625"/>
      <c r="L168" s="2626"/>
      <c r="M168" s="2625"/>
      <c r="N168" s="2625"/>
      <c r="O168" s="2626"/>
      <c r="P168" s="2625"/>
      <c r="Q168" s="2625"/>
      <c r="R168" s="2627"/>
    </row>
    <row r="169" spans="2:18" s="2615" customFormat="1">
      <c r="B169" s="2625"/>
      <c r="C169" s="2625"/>
      <c r="D169" s="2625"/>
      <c r="E169" s="2625"/>
      <c r="F169" s="2625"/>
      <c r="G169" s="2626"/>
      <c r="H169" s="2625"/>
      <c r="I169" s="2626"/>
      <c r="J169" s="2625"/>
      <c r="K169" s="2625"/>
      <c r="L169" s="2626"/>
      <c r="M169" s="2625"/>
      <c r="N169" s="2625"/>
      <c r="O169" s="2626"/>
      <c r="P169" s="2625"/>
      <c r="Q169" s="2625"/>
      <c r="R169" s="2627"/>
    </row>
    <row r="170" spans="2:18" s="2615" customFormat="1">
      <c r="B170" s="2625"/>
      <c r="C170" s="2625"/>
      <c r="D170" s="2625"/>
      <c r="E170" s="2625"/>
      <c r="F170" s="2625"/>
      <c r="G170" s="2626"/>
      <c r="H170" s="2625"/>
      <c r="I170" s="2626"/>
      <c r="J170" s="2625"/>
      <c r="K170" s="2625"/>
      <c r="L170" s="2626"/>
      <c r="M170" s="2625"/>
      <c r="N170" s="2625"/>
      <c r="O170" s="2626"/>
      <c r="P170" s="2625"/>
      <c r="Q170" s="2625"/>
      <c r="R170" s="2627"/>
    </row>
    <row r="171" spans="2:18" s="2615" customFormat="1">
      <c r="B171" s="2625"/>
      <c r="C171" s="2625"/>
      <c r="D171" s="2625"/>
      <c r="E171" s="2625"/>
      <c r="F171" s="2625"/>
      <c r="G171" s="2626"/>
      <c r="H171" s="2625"/>
      <c r="I171" s="2626"/>
      <c r="J171" s="2625"/>
      <c r="K171" s="2625"/>
      <c r="L171" s="2626"/>
      <c r="M171" s="2625"/>
      <c r="N171" s="2625"/>
      <c r="O171" s="2626"/>
      <c r="P171" s="2625"/>
      <c r="Q171" s="2625"/>
      <c r="R171" s="2627"/>
    </row>
    <row r="172" spans="2:18" s="2615" customFormat="1">
      <c r="B172" s="2625"/>
      <c r="C172" s="2625"/>
      <c r="D172" s="2625"/>
      <c r="E172" s="2625"/>
      <c r="F172" s="2625"/>
      <c r="G172" s="2626"/>
      <c r="H172" s="2625"/>
      <c r="I172" s="2626"/>
      <c r="J172" s="2625"/>
      <c r="K172" s="2625"/>
      <c r="L172" s="2626"/>
      <c r="M172" s="2625"/>
      <c r="N172" s="2625"/>
      <c r="O172" s="2626"/>
      <c r="P172" s="2625"/>
      <c r="Q172" s="2625"/>
      <c r="R172" s="2627"/>
    </row>
    <row r="173" spans="2:18" s="2615" customFormat="1">
      <c r="B173" s="2625"/>
      <c r="C173" s="2625"/>
      <c r="D173" s="2625"/>
      <c r="E173" s="2625"/>
      <c r="F173" s="2625"/>
      <c r="G173" s="2626"/>
      <c r="H173" s="2625"/>
      <c r="I173" s="2626"/>
      <c r="J173" s="2625"/>
      <c r="K173" s="2625"/>
      <c r="L173" s="2626"/>
      <c r="M173" s="2625"/>
      <c r="N173" s="2625"/>
      <c r="O173" s="2626"/>
      <c r="P173" s="2625"/>
      <c r="Q173" s="2625"/>
      <c r="R173" s="2627"/>
    </row>
    <row r="174" spans="2:18" s="2615" customFormat="1">
      <c r="B174" s="2625"/>
      <c r="C174" s="2625"/>
      <c r="D174" s="2625"/>
      <c r="E174" s="2625"/>
      <c r="F174" s="2625"/>
      <c r="G174" s="2626"/>
      <c r="H174" s="2625"/>
      <c r="I174" s="2626"/>
      <c r="J174" s="2625"/>
      <c r="K174" s="2625"/>
      <c r="L174" s="2626"/>
      <c r="M174" s="2625"/>
      <c r="N174" s="2625"/>
      <c r="O174" s="2626"/>
      <c r="P174" s="2625"/>
      <c r="Q174" s="2625"/>
      <c r="R174" s="2627"/>
    </row>
    <row r="175" spans="2:18" s="2615" customFormat="1">
      <c r="B175" s="2625"/>
      <c r="C175" s="2625"/>
      <c r="D175" s="2625"/>
      <c r="E175" s="2625"/>
      <c r="F175" s="2625"/>
      <c r="G175" s="2626"/>
      <c r="H175" s="2625"/>
      <c r="I175" s="2626"/>
      <c r="J175" s="2625"/>
      <c r="K175" s="2625"/>
      <c r="L175" s="2626"/>
      <c r="M175" s="2625"/>
      <c r="N175" s="2625"/>
      <c r="O175" s="2626"/>
      <c r="P175" s="2625"/>
      <c r="Q175" s="2625"/>
      <c r="R175" s="2627"/>
    </row>
    <row r="176" spans="2:18" s="2615" customFormat="1">
      <c r="B176" s="2625"/>
      <c r="C176" s="2625"/>
      <c r="D176" s="2625"/>
      <c r="E176" s="2625"/>
      <c r="F176" s="2625"/>
      <c r="G176" s="2626"/>
      <c r="H176" s="2625"/>
      <c r="I176" s="2626"/>
      <c r="J176" s="2625"/>
      <c r="K176" s="2625"/>
      <c r="L176" s="2626"/>
      <c r="M176" s="2625"/>
      <c r="N176" s="2625"/>
      <c r="O176" s="2626"/>
      <c r="P176" s="2625"/>
      <c r="Q176" s="2625"/>
      <c r="R176" s="2627"/>
    </row>
    <row r="177" spans="1:18" s="2615" customFormat="1">
      <c r="B177" s="2625"/>
      <c r="C177" s="2625"/>
      <c r="D177" s="2625"/>
      <c r="E177" s="2625"/>
      <c r="F177" s="2625"/>
      <c r="G177" s="2626"/>
      <c r="H177" s="2625"/>
      <c r="I177" s="2626"/>
      <c r="J177" s="2625"/>
      <c r="K177" s="2625"/>
      <c r="L177" s="2626"/>
      <c r="M177" s="2625"/>
      <c r="N177" s="2625"/>
      <c r="O177" s="2626"/>
      <c r="P177" s="2625"/>
      <c r="Q177" s="2625"/>
      <c r="R177" s="2627"/>
    </row>
    <row r="178" spans="1:18" s="2615" customFormat="1">
      <c r="B178" s="2625"/>
      <c r="C178" s="2625"/>
      <c r="D178" s="2625"/>
      <c r="E178" s="2625"/>
      <c r="F178" s="2625"/>
      <c r="G178" s="2626"/>
      <c r="H178" s="2625"/>
      <c r="I178" s="2626"/>
      <c r="J178" s="2625"/>
      <c r="K178" s="2625"/>
      <c r="L178" s="2626"/>
      <c r="M178" s="2625"/>
      <c r="N178" s="2625"/>
      <c r="O178" s="2626"/>
      <c r="P178" s="2625"/>
      <c r="Q178" s="2625"/>
      <c r="R178" s="2627"/>
    </row>
    <row r="179" spans="1:18" s="2615" customFormat="1">
      <c r="B179" s="2625"/>
      <c r="C179" s="2625"/>
      <c r="D179" s="2625"/>
      <c r="E179" s="2625"/>
      <c r="F179" s="2625"/>
      <c r="G179" s="2626"/>
      <c r="H179" s="2625"/>
      <c r="I179" s="2626"/>
      <c r="J179" s="2625"/>
      <c r="K179" s="2625"/>
      <c r="L179" s="2626"/>
      <c r="M179" s="2625"/>
      <c r="N179" s="2625"/>
      <c r="O179" s="2626"/>
      <c r="P179" s="2625"/>
      <c r="Q179" s="2625"/>
      <c r="R179" s="2627"/>
    </row>
    <row r="180" spans="1:18" s="2615" customFormat="1">
      <c r="B180" s="2625"/>
      <c r="C180" s="2625"/>
      <c r="D180" s="2625"/>
      <c r="E180" s="2625"/>
      <c r="F180" s="2625"/>
      <c r="G180" s="2626"/>
      <c r="H180" s="2625"/>
      <c r="I180" s="2626"/>
      <c r="J180" s="2625"/>
      <c r="K180" s="2625"/>
      <c r="L180" s="2626"/>
      <c r="M180" s="2625"/>
      <c r="N180" s="2625"/>
      <c r="O180" s="2626"/>
      <c r="P180" s="2625"/>
      <c r="Q180" s="2625"/>
      <c r="R180" s="2627"/>
    </row>
    <row r="181" spans="1:18" s="2615" customFormat="1">
      <c r="B181" s="2625"/>
      <c r="C181" s="2625"/>
      <c r="D181" s="2625"/>
      <c r="E181" s="2625"/>
      <c r="F181" s="2625"/>
      <c r="G181" s="2626"/>
      <c r="H181" s="2625"/>
      <c r="I181" s="2626"/>
      <c r="J181" s="2625"/>
      <c r="K181" s="2625"/>
      <c r="L181" s="2626"/>
      <c r="M181" s="2625"/>
      <c r="N181" s="2625"/>
      <c r="O181" s="2626"/>
      <c r="P181" s="2625"/>
      <c r="Q181" s="2625"/>
      <c r="R181" s="2627"/>
    </row>
    <row r="182" spans="1:18" s="2615" customFormat="1">
      <c r="B182" s="2625"/>
      <c r="C182" s="2625"/>
      <c r="D182" s="2625"/>
      <c r="E182" s="2625"/>
      <c r="F182" s="2625"/>
      <c r="G182" s="2626"/>
      <c r="H182" s="2625"/>
      <c r="I182" s="2626"/>
      <c r="J182" s="2625"/>
      <c r="K182" s="2625"/>
      <c r="L182" s="2626"/>
      <c r="M182" s="2625"/>
      <c r="N182" s="2625"/>
      <c r="O182" s="2626"/>
      <c r="P182" s="2625"/>
      <c r="Q182" s="2625"/>
      <c r="R182" s="2627"/>
    </row>
    <row r="183" spans="1:18" s="2615" customFormat="1">
      <c r="B183" s="2625"/>
      <c r="C183" s="2625"/>
      <c r="D183" s="2625"/>
      <c r="E183" s="2625"/>
      <c r="F183" s="2625"/>
      <c r="G183" s="2626"/>
      <c r="H183" s="2625"/>
      <c r="I183" s="2626"/>
      <c r="J183" s="2625"/>
      <c r="K183" s="2625"/>
      <c r="L183" s="2626"/>
      <c r="M183" s="2625"/>
      <c r="N183" s="2625"/>
      <c r="O183" s="2626"/>
      <c r="P183" s="2625"/>
      <c r="Q183" s="2625"/>
      <c r="R183" s="2627"/>
    </row>
    <row r="184" spans="1:18" s="2615" customFormat="1">
      <c r="B184" s="2625"/>
      <c r="C184" s="2625"/>
      <c r="D184" s="2625"/>
      <c r="E184" s="2625"/>
      <c r="F184" s="2625"/>
      <c r="G184" s="2626"/>
      <c r="H184" s="2625"/>
      <c r="I184" s="2626"/>
      <c r="J184" s="2625"/>
      <c r="K184" s="2625"/>
      <c r="L184" s="2626"/>
      <c r="M184" s="2625"/>
      <c r="N184" s="2625"/>
      <c r="O184" s="2626"/>
      <c r="P184" s="2625"/>
      <c r="Q184" s="2625"/>
      <c r="R184" s="2627"/>
    </row>
    <row r="185" spans="1:18" s="2615" customFormat="1">
      <c r="B185" s="2625"/>
      <c r="C185" s="2625"/>
      <c r="D185" s="2625"/>
      <c r="E185" s="2625"/>
      <c r="F185" s="2625"/>
      <c r="G185" s="2626"/>
      <c r="H185" s="2625"/>
      <c r="I185" s="2626"/>
      <c r="J185" s="2625"/>
      <c r="K185" s="2625"/>
      <c r="L185" s="2626"/>
      <c r="M185" s="2625"/>
      <c r="N185" s="2625"/>
      <c r="O185" s="2626"/>
      <c r="P185" s="2625"/>
      <c r="Q185" s="2625"/>
      <c r="R185" s="2627"/>
    </row>
    <row r="186" spans="1:18">
      <c r="A186" s="2615"/>
      <c r="B186" s="2625"/>
      <c r="C186" s="2625"/>
      <c r="E186" s="2625"/>
      <c r="F186" s="2625"/>
      <c r="G186" s="2626"/>
    </row>
    <row r="187" spans="1:18">
      <c r="A187" s="2615"/>
      <c r="B187" s="2625"/>
      <c r="C187" s="2625"/>
      <c r="E187" s="2625"/>
      <c r="F187" s="2625"/>
      <c r="G187" s="2626"/>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14" sqref="D14"/>
    </sheetView>
  </sheetViews>
  <sheetFormatPr defaultColWidth="14.625" defaultRowHeight="13.5"/>
  <cols>
    <col min="1" max="1" width="24.375" style="2501" customWidth="1"/>
    <col min="2" max="16384" width="14.625" style="2501"/>
  </cols>
  <sheetData>
    <row r="1" spans="1:9" ht="16.5">
      <c r="A1" s="2499" t="s">
        <v>973</v>
      </c>
      <c r="B1" s="2499">
        <f>SUM(B14:B23)</f>
        <v>73.739999999999995</v>
      </c>
      <c r="C1" s="1562"/>
      <c r="D1" s="1562"/>
      <c r="E1" s="1562"/>
      <c r="F1" s="1562"/>
      <c r="G1" s="2500"/>
    </row>
    <row r="2" spans="1:9" ht="16.5">
      <c r="A2" s="2499" t="s">
        <v>974</v>
      </c>
      <c r="B2" s="2499">
        <f>SUM(C14:C23)</f>
        <v>0</v>
      </c>
      <c r="C2" s="1562"/>
      <c r="D2" s="1562"/>
      <c r="E2" s="1562"/>
      <c r="F2" s="1562"/>
      <c r="G2" s="2500"/>
    </row>
    <row r="3" spans="1:9" ht="16.5">
      <c r="A3" s="2499" t="s">
        <v>975</v>
      </c>
      <c r="B3" s="2502">
        <f>项目基本情况!D2</f>
        <v>44675</v>
      </c>
      <c r="C3" s="1562"/>
      <c r="D3" s="1562"/>
      <c r="E3" s="1562"/>
      <c r="F3" s="1562"/>
      <c r="G3" s="2500"/>
    </row>
    <row r="4" spans="1:9" ht="33">
      <c r="A4" s="2499" t="s">
        <v>976</v>
      </c>
      <c r="B4" s="2499" t="s">
        <v>977</v>
      </c>
      <c r="C4" s="2499" t="s">
        <v>978</v>
      </c>
      <c r="D4" s="2499" t="s">
        <v>979</v>
      </c>
      <c r="E4" s="1562"/>
      <c r="F4" s="2500"/>
      <c r="G4" s="2500"/>
    </row>
    <row r="5" spans="1:9" ht="16.5">
      <c r="A5" s="2499" t="s">
        <v>980</v>
      </c>
      <c r="B5" s="2499">
        <f ca="1">SUM(D14:D23)</f>
        <v>155.94540000000001</v>
      </c>
      <c r="C5" s="2499">
        <f ca="1">ROUND(B5*10000/$B$1,0)</f>
        <v>21148</v>
      </c>
      <c r="D5" s="2499" t="e">
        <f ca="1">ROUND(B5*10000/$B$2,0)</f>
        <v>#DIV/0!</v>
      </c>
      <c r="E5" s="1562"/>
      <c r="F5" s="2500"/>
      <c r="G5" s="2500"/>
    </row>
    <row r="6" spans="1:9" ht="16.5">
      <c r="A6" s="2499" t="s">
        <v>981</v>
      </c>
      <c r="B6" s="2499">
        <f ca="1">SUM(G14:G23)</f>
        <v>155.94540000000001</v>
      </c>
      <c r="C6" s="2499">
        <f t="shared" ref="C6:C8" ca="1" si="0">ROUND(B6*10000/$B$1,0)</f>
        <v>21148</v>
      </c>
      <c r="D6" s="2499" t="e">
        <f t="shared" ref="D6:D8" ca="1" si="1">ROUND(B6*10000/$B$2,0)</f>
        <v>#DIV/0!</v>
      </c>
      <c r="E6" s="1562"/>
      <c r="F6" s="2500"/>
      <c r="G6" s="2500"/>
    </row>
    <row r="7" spans="1:9" ht="16.5">
      <c r="A7" s="2499" t="s">
        <v>982</v>
      </c>
      <c r="B7" s="2499" t="e">
        <f>SUM(H14:H23)</f>
        <v>#VALUE!</v>
      </c>
      <c r="C7" s="2499" t="e">
        <f>ROUND(B7*10000/$B$1,0)</f>
        <v>#VALUE!</v>
      </c>
      <c r="D7" s="2499" t="e">
        <f t="shared" si="1"/>
        <v>#VALUE!</v>
      </c>
      <c r="E7" s="1562"/>
      <c r="F7" s="2500"/>
      <c r="G7" s="2500"/>
    </row>
    <row r="8" spans="1:9" ht="16.5">
      <c r="A8" s="2499" t="s">
        <v>983</v>
      </c>
      <c r="B8" s="2499" t="e">
        <f>SUM(I14:I23)</f>
        <v>#VALUE!</v>
      </c>
      <c r="C8" s="2499" t="e">
        <f t="shared" si="0"/>
        <v>#VALUE!</v>
      </c>
      <c r="D8" s="2499" t="e">
        <f t="shared" si="1"/>
        <v>#VALUE!</v>
      </c>
      <c r="E8" s="1562"/>
      <c r="F8" s="2500"/>
      <c r="G8" s="2500"/>
    </row>
    <row r="9" spans="1:9" ht="16.5">
      <c r="A9" s="2499" t="s">
        <v>984</v>
      </c>
      <c r="B9" s="2503"/>
      <c r="C9" s="1562"/>
      <c r="D9" s="1562"/>
      <c r="E9" s="1562"/>
      <c r="F9" s="2500"/>
      <c r="G9" s="2500"/>
    </row>
    <row r="10" spans="1:9" ht="16.5">
      <c r="A10" s="2499" t="s">
        <v>985</v>
      </c>
      <c r="B10" s="2503"/>
      <c r="C10" s="1562"/>
      <c r="D10" s="1562"/>
      <c r="E10" s="1562"/>
      <c r="F10" s="2500"/>
      <c r="G10" s="2500"/>
    </row>
    <row r="11" spans="1:9" ht="16.5">
      <c r="A11" s="2499" t="s">
        <v>1000</v>
      </c>
      <c r="B11" s="2503"/>
      <c r="C11" s="1562"/>
      <c r="D11" s="1562"/>
      <c r="E11" s="1562"/>
      <c r="F11" s="2500"/>
      <c r="G11" s="2500"/>
    </row>
    <row r="12" spans="1:9" ht="16.5">
      <c r="A12" s="1562"/>
      <c r="B12" s="1562"/>
      <c r="C12" s="1562"/>
      <c r="D12" s="1562"/>
      <c r="E12" s="1562"/>
      <c r="F12" s="2500"/>
      <c r="G12" s="2500"/>
    </row>
    <row r="13" spans="1:9" ht="33">
      <c r="A13" s="2504" t="s">
        <v>999</v>
      </c>
      <c r="B13" s="2505" t="s">
        <v>973</v>
      </c>
      <c r="C13" s="2505" t="s">
        <v>974</v>
      </c>
      <c r="D13" s="2505" t="s">
        <v>986</v>
      </c>
      <c r="E13" s="2499" t="s">
        <v>978</v>
      </c>
      <c r="F13" s="2499" t="s">
        <v>979</v>
      </c>
      <c r="G13" s="2505" t="s">
        <v>987</v>
      </c>
      <c r="H13" s="2505" t="s">
        <v>988</v>
      </c>
      <c r="I13" s="2505" t="s">
        <v>989</v>
      </c>
    </row>
    <row r="14" spans="1:9" ht="16.5">
      <c r="A14" s="2804" t="s">
        <v>3030</v>
      </c>
      <c r="B14" s="2834">
        <f>项目基本情况!C12</f>
        <v>73.739999999999995</v>
      </c>
      <c r="C14" s="2834">
        <f>项目基本情况!C13</f>
        <v>0</v>
      </c>
      <c r="D14" s="2834">
        <f ca="1">IF('数据-取费表'!B3="万元",IF(A14="估价对象1（结果表）",结果表!H121,'结果表 (1修多)'!H125),IF(A14="估价对象1（结果表）",结果表!H121,'结果表 (1修多)'!H125)/10000)</f>
        <v>155.94540000000001</v>
      </c>
      <c r="E14" s="2834">
        <f ca="1">ROUND(D14*10000/B14,0)</f>
        <v>21148</v>
      </c>
      <c r="F14" s="2834" t="e">
        <f ca="1">ROUND(D14*10000/C14,0)</f>
        <v>#DIV/0!</v>
      </c>
      <c r="G14" s="2834">
        <f ca="1">IF('数据-取费表'!B3="万元",IF(A14="估价对象1（结果表）",结果表!D125,'结果表 (1修多)'!D129),IF(A14="估价对象1（结果表）",结果表!D125,'结果表 (1修多)'!D129)/10000)</f>
        <v>155.94540000000001</v>
      </c>
      <c r="H14" s="2834" t="e">
        <f>IF('数据-取费表'!B3="万元",IF(A14="估价对象1（结果表）",结果表!D127,'结果表 (1修多)'!D131),IF(A14="估价对象1（结果表）",结果表!D127,'结果表 (1修多)'!D131)/10000)</f>
        <v>#VALUE!</v>
      </c>
      <c r="I14" s="2834" t="e">
        <f>IF('数据-取费表'!B3="万元",IF(A14="估价对象1（结果表）",结果表!D129,'结果表 (1修多)'!D133),IF(A14="估价对象1（结果表）",结果表!D129,'结果表 (1修多)'!D133)/10000)</f>
        <v>#VALUE!</v>
      </c>
    </row>
    <row r="15" spans="1:9" ht="16.5">
      <c r="A15" s="2506" t="s">
        <v>990</v>
      </c>
      <c r="B15" s="2507"/>
      <c r="C15" s="2507"/>
      <c r="D15" s="2507"/>
      <c r="E15" s="2834" t="e">
        <f t="shared" ref="E15:E23" si="2">ROUND(D15*10000/B15,0)</f>
        <v>#DIV/0!</v>
      </c>
      <c r="F15" s="2834" t="e">
        <f t="shared" ref="F15:F23" si="3">ROUND(D15*10000/C15,0)</f>
        <v>#DIV/0!</v>
      </c>
      <c r="G15" s="1233"/>
      <c r="H15" s="1233"/>
      <c r="I15" s="2507"/>
    </row>
    <row r="16" spans="1:9" ht="16.5">
      <c r="A16" s="2506" t="s">
        <v>991</v>
      </c>
      <c r="B16" s="2507"/>
      <c r="C16" s="2507"/>
      <c r="D16" s="2507"/>
      <c r="E16" s="2834" t="e">
        <f t="shared" si="2"/>
        <v>#DIV/0!</v>
      </c>
      <c r="F16" s="2834" t="e">
        <f t="shared" si="3"/>
        <v>#DIV/0!</v>
      </c>
      <c r="G16" s="1233"/>
      <c r="H16" s="1233"/>
      <c r="I16" s="2507"/>
    </row>
    <row r="17" spans="1:9" ht="16.5">
      <c r="A17" s="2506" t="s">
        <v>992</v>
      </c>
      <c r="B17" s="2507"/>
      <c r="C17" s="2507"/>
      <c r="D17" s="2507"/>
      <c r="E17" s="2834" t="e">
        <f t="shared" si="2"/>
        <v>#DIV/0!</v>
      </c>
      <c r="F17" s="2834" t="e">
        <f t="shared" si="3"/>
        <v>#DIV/0!</v>
      </c>
      <c r="G17" s="1233"/>
      <c r="H17" s="1233"/>
      <c r="I17" s="2507"/>
    </row>
    <row r="18" spans="1:9" ht="16.5">
      <c r="A18" s="2506" t="s">
        <v>993</v>
      </c>
      <c r="B18" s="2507"/>
      <c r="C18" s="2507"/>
      <c r="D18" s="2507"/>
      <c r="E18" s="2834" t="e">
        <f t="shared" si="2"/>
        <v>#DIV/0!</v>
      </c>
      <c r="F18" s="2834" t="e">
        <f t="shared" si="3"/>
        <v>#DIV/0!</v>
      </c>
      <c r="G18" s="2507"/>
      <c r="H18" s="2507"/>
      <c r="I18" s="2507"/>
    </row>
    <row r="19" spans="1:9" ht="16.5">
      <c r="A19" s="2506" t="s">
        <v>994</v>
      </c>
      <c r="B19" s="2507"/>
      <c r="C19" s="2507"/>
      <c r="D19" s="2507"/>
      <c r="E19" s="2834" t="e">
        <f t="shared" si="2"/>
        <v>#DIV/0!</v>
      </c>
      <c r="F19" s="2834" t="e">
        <f t="shared" si="3"/>
        <v>#DIV/0!</v>
      </c>
      <c r="G19" s="2507"/>
      <c r="H19" s="2507"/>
      <c r="I19" s="2507"/>
    </row>
    <row r="20" spans="1:9" ht="16.5">
      <c r="A20" s="2506" t="s">
        <v>995</v>
      </c>
      <c r="B20" s="2507"/>
      <c r="C20" s="2507"/>
      <c r="D20" s="2507"/>
      <c r="E20" s="2834" t="e">
        <f t="shared" si="2"/>
        <v>#DIV/0!</v>
      </c>
      <c r="F20" s="2834" t="e">
        <f t="shared" si="3"/>
        <v>#DIV/0!</v>
      </c>
      <c r="G20" s="2507"/>
      <c r="H20" s="2507"/>
      <c r="I20" s="2507"/>
    </row>
    <row r="21" spans="1:9" ht="16.5">
      <c r="A21" s="2506" t="s">
        <v>996</v>
      </c>
      <c r="B21" s="2507"/>
      <c r="C21" s="2507"/>
      <c r="D21" s="2507"/>
      <c r="E21" s="2834" t="e">
        <f t="shared" si="2"/>
        <v>#DIV/0!</v>
      </c>
      <c r="F21" s="2834" t="e">
        <f t="shared" si="3"/>
        <v>#DIV/0!</v>
      </c>
      <c r="G21" s="2507"/>
      <c r="H21" s="2507"/>
      <c r="I21" s="2507"/>
    </row>
    <row r="22" spans="1:9" ht="16.5">
      <c r="A22" s="2506" t="s">
        <v>997</v>
      </c>
      <c r="B22" s="2507"/>
      <c r="C22" s="2507"/>
      <c r="D22" s="2507"/>
      <c r="E22" s="2834" t="e">
        <f t="shared" si="2"/>
        <v>#DIV/0!</v>
      </c>
      <c r="F22" s="2834" t="e">
        <f t="shared" si="3"/>
        <v>#DIV/0!</v>
      </c>
      <c r="G22" s="2507"/>
      <c r="H22" s="2507"/>
      <c r="I22" s="2507"/>
    </row>
    <row r="23" spans="1:9" ht="16.5">
      <c r="A23" s="2506" t="s">
        <v>998</v>
      </c>
      <c r="B23" s="2507"/>
      <c r="C23" s="2507"/>
      <c r="D23" s="2507"/>
      <c r="E23" s="2835" t="e">
        <f t="shared" si="2"/>
        <v>#DIV/0!</v>
      </c>
      <c r="F23" s="2835" t="e">
        <f t="shared" si="3"/>
        <v>#DIV/0!</v>
      </c>
      <c r="G23" s="2507"/>
      <c r="H23" s="2507"/>
      <c r="I23" s="250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A97" zoomScale="115" zoomScaleNormal="100" zoomScaleSheetLayoutView="115" zoomScalePageLayoutView="80" workbookViewId="0">
      <selection activeCell="D128" sqref="D128:I128"/>
    </sheetView>
  </sheetViews>
  <sheetFormatPr defaultColWidth="12.625" defaultRowHeight="21.75" customHeight="1"/>
  <cols>
    <col min="1" max="2" width="12.625" style="1390"/>
    <col min="3" max="4" width="12.625" style="1390" customWidth="1"/>
    <col min="5" max="9" width="12.625" style="1390"/>
    <col min="10" max="10" width="3.6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1470</v>
      </c>
      <c r="B1" s="1389"/>
      <c r="C1" s="1389"/>
      <c r="D1" s="1389"/>
      <c r="E1" s="1389"/>
      <c r="F1" s="1389"/>
      <c r="G1" s="1389"/>
      <c r="H1" s="1389"/>
      <c r="I1" s="1389"/>
    </row>
    <row r="2" spans="1:15" ht="21.75" customHeight="1">
      <c r="A2" s="3493" t="str">
        <f>项目基本情况!B1</f>
        <v>北京市房地产抵押价值预评估</v>
      </c>
      <c r="B2" s="3493"/>
      <c r="C2" s="3493"/>
      <c r="D2" s="3493"/>
      <c r="E2" s="3493"/>
      <c r="F2" s="3493"/>
      <c r="G2" s="3493"/>
      <c r="H2" s="3493"/>
      <c r="I2" s="3493"/>
      <c r="J2" s="2761"/>
    </row>
    <row r="3" spans="1:15" ht="12.75">
      <c r="A3" s="3498" t="s">
        <v>1471</v>
      </c>
      <c r="B3" s="3499"/>
      <c r="C3" s="3499"/>
      <c r="D3" s="3499"/>
      <c r="E3" s="3499"/>
      <c r="F3" s="3499"/>
      <c r="G3" s="3499"/>
      <c r="H3" s="3499"/>
      <c r="I3" s="3499"/>
      <c r="J3" s="2762"/>
    </row>
    <row r="4" spans="1:15" ht="14.25">
      <c r="A4" s="2630" t="s">
        <v>1472</v>
      </c>
      <c r="B4" s="2630" t="s">
        <v>1473</v>
      </c>
      <c r="C4" s="2631" t="s">
        <v>3075</v>
      </c>
      <c r="D4" s="2631" t="s">
        <v>3076</v>
      </c>
      <c r="E4" s="3495" t="s">
        <v>1474</v>
      </c>
      <c r="F4" s="3483"/>
      <c r="G4" s="3483"/>
      <c r="H4" s="3483"/>
      <c r="I4" s="3484"/>
      <c r="J4" s="2763"/>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2.75">
      <c r="A5" s="3494" t="s">
        <v>1475</v>
      </c>
      <c r="B5" s="3494">
        <v>25</v>
      </c>
      <c r="C5" s="3500"/>
      <c r="D5" s="3497"/>
      <c r="E5" s="12" t="s">
        <v>1476</v>
      </c>
      <c r="F5" s="2017"/>
      <c r="G5" s="2017"/>
      <c r="H5" s="2017"/>
      <c r="I5" s="2012"/>
      <c r="J5" s="2763"/>
    </row>
    <row r="6" spans="1:15" ht="12.75">
      <c r="A6" s="3494"/>
      <c r="B6" s="3494"/>
      <c r="C6" s="3501"/>
      <c r="D6" s="3497"/>
      <c r="E6" s="12" t="s">
        <v>1477</v>
      </c>
      <c r="F6" s="2017"/>
      <c r="G6" s="2017"/>
      <c r="H6" s="2017"/>
      <c r="I6" s="2012"/>
      <c r="J6" s="2763"/>
    </row>
    <row r="7" spans="1:15" ht="12.75">
      <c r="A7" s="3494"/>
      <c r="B7" s="3494"/>
      <c r="C7" s="3502"/>
      <c r="D7" s="3497"/>
      <c r="E7" s="12" t="s">
        <v>1478</v>
      </c>
      <c r="F7" s="2017"/>
      <c r="G7" s="2017"/>
      <c r="H7" s="2017"/>
      <c r="I7" s="2012"/>
      <c r="J7" s="2763"/>
    </row>
    <row r="8" spans="1:15" ht="12.75">
      <c r="A8" s="3494" t="s">
        <v>1479</v>
      </c>
      <c r="B8" s="3494">
        <v>15</v>
      </c>
      <c r="C8" s="3500"/>
      <c r="D8" s="3497"/>
      <c r="E8" s="12" t="s">
        <v>1480</v>
      </c>
      <c r="F8" s="2017"/>
      <c r="G8" s="2017"/>
      <c r="H8" s="2017"/>
      <c r="I8" s="2012"/>
      <c r="J8" s="2763"/>
    </row>
    <row r="9" spans="1:15" ht="12.75">
      <c r="A9" s="3494"/>
      <c r="B9" s="3494"/>
      <c r="C9" s="3502"/>
      <c r="D9" s="3497"/>
      <c r="E9" s="12" t="s">
        <v>1481</v>
      </c>
      <c r="F9" s="2017"/>
      <c r="G9" s="2017"/>
      <c r="H9" s="2017"/>
      <c r="I9" s="2012"/>
      <c r="J9" s="2763"/>
    </row>
    <row r="10" spans="1:15" ht="12.75">
      <c r="A10" s="3494" t="s">
        <v>1482</v>
      </c>
      <c r="B10" s="3494">
        <v>15</v>
      </c>
      <c r="C10" s="3500"/>
      <c r="D10" s="3497"/>
      <c r="E10" s="12" t="s">
        <v>1483</v>
      </c>
      <c r="F10" s="2017"/>
      <c r="G10" s="2017"/>
      <c r="H10" s="2017"/>
      <c r="I10" s="2012"/>
      <c r="J10" s="2763"/>
    </row>
    <row r="11" spans="1:15" ht="12.75">
      <c r="A11" s="3494"/>
      <c r="B11" s="3494"/>
      <c r="C11" s="3502"/>
      <c r="D11" s="3497"/>
      <c r="E11" s="12" t="s">
        <v>1484</v>
      </c>
      <c r="F11" s="2017"/>
      <c r="G11" s="2017"/>
      <c r="H11" s="2017"/>
      <c r="I11" s="2012"/>
      <c r="J11" s="2763"/>
    </row>
    <row r="12" spans="1:15" ht="12.75">
      <c r="A12" s="3494" t="s">
        <v>1485</v>
      </c>
      <c r="B12" s="3494">
        <v>15</v>
      </c>
      <c r="C12" s="3500"/>
      <c r="D12" s="3497"/>
      <c r="E12" s="12" t="s">
        <v>1486</v>
      </c>
      <c r="F12" s="2017"/>
      <c r="G12" s="2017"/>
      <c r="H12" s="2017"/>
      <c r="I12" s="2012"/>
      <c r="J12" s="2763"/>
    </row>
    <row r="13" spans="1:15" ht="12.75">
      <c r="A13" s="3494"/>
      <c r="B13" s="3494"/>
      <c r="C13" s="3502"/>
      <c r="D13" s="3497"/>
      <c r="E13" s="12" t="s">
        <v>1487</v>
      </c>
      <c r="F13" s="2017"/>
      <c r="G13" s="2017"/>
      <c r="H13" s="2017"/>
      <c r="I13" s="2012"/>
      <c r="J13" s="2763"/>
    </row>
    <row r="14" spans="1:15" ht="12.75">
      <c r="A14" s="3494" t="s">
        <v>1488</v>
      </c>
      <c r="B14" s="3494">
        <v>30</v>
      </c>
      <c r="C14" s="3500">
        <v>7</v>
      </c>
      <c r="D14" s="3497">
        <v>3</v>
      </c>
      <c r="E14" s="12" t="s">
        <v>1489</v>
      </c>
      <c r="F14" s="2017"/>
      <c r="G14" s="2017"/>
      <c r="H14" s="2017"/>
      <c r="I14" s="2012"/>
      <c r="J14" s="2763"/>
    </row>
    <row r="15" spans="1:15" ht="12.75">
      <c r="A15" s="3494"/>
      <c r="B15" s="3494"/>
      <c r="C15" s="3501"/>
      <c r="D15" s="3497"/>
      <c r="E15" s="12" t="s">
        <v>1490</v>
      </c>
      <c r="F15" s="2017"/>
      <c r="G15" s="2017"/>
      <c r="H15" s="2017"/>
      <c r="I15" s="2012"/>
      <c r="J15" s="2763"/>
    </row>
    <row r="16" spans="1:15" ht="12.75">
      <c r="A16" s="3494"/>
      <c r="B16" s="3494"/>
      <c r="C16" s="3502"/>
      <c r="D16" s="3497"/>
      <c r="E16" s="12" t="s">
        <v>1491</v>
      </c>
      <c r="F16" s="2017"/>
      <c r="G16" s="2017"/>
      <c r="H16" s="2017"/>
      <c r="I16" s="2012"/>
      <c r="J16" s="2763"/>
    </row>
    <row r="17" spans="1:36" ht="15">
      <c r="A17" s="2632" t="s">
        <v>1492</v>
      </c>
      <c r="B17" s="2022"/>
      <c r="C17" s="2633">
        <f>SUM(C5:C16)</f>
        <v>7</v>
      </c>
      <c r="D17" s="2633">
        <f>SUM(D5:D16)</f>
        <v>3</v>
      </c>
      <c r="E17" s="2481"/>
      <c r="F17" s="2481"/>
      <c r="G17" s="2481"/>
      <c r="H17" s="2481"/>
      <c r="I17" s="2481"/>
      <c r="J17" s="2764"/>
    </row>
    <row r="18" spans="1:36" ht="30" customHeight="1" thickBot="1">
      <c r="A18" s="2634" t="s">
        <v>1493</v>
      </c>
      <c r="B18" s="2635"/>
      <c r="C18" s="2636">
        <f>ROUND(C17/SUM(C17:D17),2)</f>
        <v>0.7</v>
      </c>
      <c r="D18" s="2636">
        <f>1-C18</f>
        <v>0.30000000000000004</v>
      </c>
      <c r="E18" s="3514" t="s">
        <v>2576</v>
      </c>
      <c r="F18" s="3515"/>
      <c r="G18" s="3515"/>
      <c r="H18" s="3515"/>
      <c r="I18" s="3515"/>
      <c r="J18" s="2764"/>
    </row>
    <row r="19" spans="1:36" ht="15">
      <c r="A19" s="2637" t="s">
        <v>1494</v>
      </c>
      <c r="B19" s="2638" t="s">
        <v>1495</v>
      </c>
      <c r="C19" s="2639">
        <f ca="1">SUMIF(INDIRECT("'"&amp;C4&amp;"'"&amp;"!A:A"),结果表!B19,INDIRECT("'"&amp;C4&amp;"'"&amp;"!B:B"))</f>
        <v>1741296</v>
      </c>
      <c r="D19" s="2640">
        <f ca="1">SUMIF(INDIRECT("'"&amp;D4&amp;"'"&amp;"!A:A"),结果表!B19,INDIRECT("'"&amp;D4&amp;"'"&amp;"!B:B"))</f>
        <v>1135186</v>
      </c>
      <c r="E19" s="2637" t="s">
        <v>1496</v>
      </c>
      <c r="F19" s="2638" t="s">
        <v>1495</v>
      </c>
      <c r="G19" s="2641">
        <f ca="1">ROUND(C19*$C$18+D19*$D$18,0)</f>
        <v>1559463</v>
      </c>
      <c r="H19" s="2642" t="str">
        <f>'数据-取费表'!B3</f>
        <v>元</v>
      </c>
      <c r="I19" s="2690"/>
      <c r="J19" s="2765"/>
    </row>
    <row r="20" spans="1:36" ht="15">
      <c r="A20" s="2643"/>
      <c r="B20" s="1622" t="s">
        <v>1497</v>
      </c>
      <c r="C20" s="1847">
        <f ca="1">SUMIF(INDIRECT("'"&amp;C4&amp;"'"&amp;"!A:A"),结果表!B20,INDIRECT("'"&amp;C4&amp;"'"&amp;"!B:B"))</f>
        <v>23614</v>
      </c>
      <c r="D20" s="1850">
        <f ca="1">SUMIF(INDIRECT("'"&amp;D4&amp;"'"&amp;"!A:A"),结果表!B20,INDIRECT("'"&amp;D4&amp;"'"&amp;"!B:B"))</f>
        <v>15394</v>
      </c>
      <c r="E20" s="2643"/>
      <c r="F20" s="1622" t="s">
        <v>1497</v>
      </c>
      <c r="G20" s="2021">
        <f ca="1">ROUND(C20*$C$18+D20*$D$18,0)</f>
        <v>21148</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f ca="1">IF(C19&lt;D19,D19/C19-1,C19/D19-1)</f>
        <v>0.53393012246451232</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503" t="s">
        <v>1500</v>
      </c>
      <c r="B24" s="2638" t="s">
        <v>1495</v>
      </c>
      <c r="C24" s="2641">
        <f>D30</f>
        <v>0</v>
      </c>
      <c r="D24" s="2593"/>
      <c r="E24" s="905"/>
      <c r="F24" s="905"/>
      <c r="G24" s="905"/>
      <c r="H24" s="31"/>
      <c r="I24" s="905"/>
      <c r="J24" s="2764"/>
    </row>
    <row r="25" spans="1:36" ht="21.75" customHeight="1">
      <c r="A25" s="3504"/>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c r="B27" s="2656">
        <v>0</v>
      </c>
      <c r="C27" s="2656">
        <v>0</v>
      </c>
      <c r="D27" s="2657">
        <f>ROUND(C27*B27/10000,0)</f>
        <v>0</v>
      </c>
      <c r="E27" s="905"/>
      <c r="F27" s="905"/>
      <c r="G27" s="905"/>
      <c r="H27" s="905"/>
      <c r="I27" s="905"/>
      <c r="J27" s="2764"/>
    </row>
    <row r="28" spans="1:36" ht="14.25">
      <c r="A28" s="2655"/>
      <c r="B28" s="2656"/>
      <c r="C28" s="2656"/>
      <c r="D28" s="2657">
        <f t="shared" ref="D28:D29" si="0">ROUND(C28*B28/10000,0)</f>
        <v>0</v>
      </c>
      <c r="E28" s="905"/>
      <c r="F28" s="905"/>
      <c r="G28" s="905"/>
      <c r="H28" s="905"/>
      <c r="I28" s="905"/>
      <c r="J28" s="2764"/>
    </row>
    <row r="29" spans="1:36" ht="14.25">
      <c r="A29" s="2655"/>
      <c r="B29" s="2656"/>
      <c r="C29" s="2656"/>
      <c r="D29" s="2657">
        <f t="shared" si="0"/>
        <v>0</v>
      </c>
      <c r="E29" s="905"/>
      <c r="F29" s="905"/>
      <c r="G29" s="905"/>
      <c r="H29" s="905"/>
      <c r="I29" s="905"/>
      <c r="J29" s="2764"/>
    </row>
    <row r="30" spans="1:36" ht="15" thickBot="1">
      <c r="A30" s="2692" t="s">
        <v>1505</v>
      </c>
      <c r="B30" s="2692"/>
      <c r="C30" s="2692"/>
      <c r="D30" s="2692"/>
      <c r="E30" s="2659" t="s">
        <v>2580</v>
      </c>
      <c r="F30" s="2481"/>
      <c r="G30" s="2481"/>
      <c r="H30" s="2481"/>
      <c r="I30" s="2481"/>
      <c r="J30" s="2764"/>
    </row>
    <row r="31" spans="1:36" s="2757" customFormat="1" ht="26.45" customHeight="1" thickTop="1" thickBot="1">
      <c r="A31" s="2752"/>
      <c r="B31" s="2753"/>
      <c r="C31" s="2753"/>
      <c r="D31" s="2753"/>
      <c r="E31" s="2753"/>
      <c r="F31" s="2753"/>
      <c r="G31" s="2753"/>
      <c r="H31" s="2753"/>
      <c r="I31" s="2754" t="s">
        <v>2581</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2751" customFormat="1" ht="16.5" thickTop="1" thickBot="1">
      <c r="A32" s="2745" t="s">
        <v>1506</v>
      </c>
      <c r="B32" s="2746" t="str">
        <f>'数据-取费表'!B4</f>
        <v>楼面单价</v>
      </c>
      <c r="C32" s="2747">
        <f ca="1">IF(B32="总价",G19-C24,G20-C25)</f>
        <v>21148</v>
      </c>
      <c r="D32" s="2748" t="str">
        <f>IF(B32="楼面单价","元/平方米",H19)</f>
        <v>元/平方米</v>
      </c>
      <c r="E32" s="2895"/>
      <c r="F32" s="2895"/>
      <c r="G32" s="2895"/>
      <c r="H32" s="2895"/>
      <c r="I32" s="2895"/>
      <c r="J32" s="2767"/>
      <c r="K32" s="2749"/>
      <c r="L32" s="2749"/>
      <c r="M32" s="2749"/>
      <c r="N32" s="2749"/>
      <c r="O32" s="2749"/>
      <c r="P32" s="2749"/>
      <c r="Q32" s="2749"/>
      <c r="R32" s="2749"/>
      <c r="S32" s="2749"/>
      <c r="T32" s="2749"/>
      <c r="U32" s="2749"/>
      <c r="V32" s="2749"/>
      <c r="W32" s="2749"/>
      <c r="X32" s="2749"/>
      <c r="Y32" s="2749"/>
      <c r="Z32" s="2749"/>
      <c r="AA32" s="2749"/>
      <c r="AB32" s="2750"/>
      <c r="AC32" s="2750"/>
      <c r="AD32" s="2750"/>
      <c r="AE32" s="2750"/>
      <c r="AF32" s="2750"/>
      <c r="AG32" s="2750"/>
      <c r="AH32" s="2750"/>
      <c r="AI32" s="2750"/>
      <c r="AJ32" s="2750"/>
    </row>
    <row r="33" spans="1:17" ht="15">
      <c r="A33" s="2660" t="s">
        <v>1507</v>
      </c>
      <c r="B33" s="255"/>
      <c r="C33" s="2661"/>
      <c r="D33" s="2662"/>
      <c r="E33" s="2663" t="s">
        <v>1508</v>
      </c>
      <c r="F33" s="2664" t="str">
        <f>IF(B32="楼面单价","取值（单价）","取值（总价）")</f>
        <v>取值（单价）</v>
      </c>
      <c r="G33" s="905"/>
      <c r="H33" s="905"/>
      <c r="I33" s="905"/>
      <c r="J33" s="2764"/>
    </row>
    <row r="34" spans="1:17" ht="15">
      <c r="A34" s="1394"/>
      <c r="B34" s="2665" t="s">
        <v>1509</v>
      </c>
      <c r="C34" s="2666">
        <f ca="1">IF(D33="自定义",F34,C32-C35)</f>
        <v>13937</v>
      </c>
      <c r="D34" s="2667">
        <f ca="1">IF(D33="自定义",ROUND(C34/C32,3),1-D35)</f>
        <v>0.65900000000000003</v>
      </c>
      <c r="E34" s="1363" t="s">
        <v>1510</v>
      </c>
      <c r="F34" s="2668">
        <v>2000</v>
      </c>
      <c r="G34" s="905"/>
      <c r="H34" s="905"/>
      <c r="I34" s="905"/>
      <c r="J34" s="2764"/>
    </row>
    <row r="35" spans="1:17" ht="15.75" thickBot="1">
      <c r="A35" s="1395"/>
      <c r="B35" s="2669" t="s">
        <v>1511</v>
      </c>
      <c r="C35" s="2670">
        <f ca="1">IF(D33="自定义",F35,ROUND(C32*D35,0))</f>
        <v>7211</v>
      </c>
      <c r="D35" s="2671">
        <f ca="1">IF(D33="自定义",ROUND(C35/C32,3),IF(D33="成本法成本比率",成本法!C56,IF(D33="收益法收益比率",收益法!J38,收益法!J41)))</f>
        <v>0.34100000000000003</v>
      </c>
      <c r="E35" s="2672" t="s">
        <v>1512</v>
      </c>
      <c r="F35" s="2673">
        <v>4460</v>
      </c>
      <c r="G35" s="905"/>
      <c r="H35" s="905"/>
      <c r="I35" s="905"/>
      <c r="J35" s="2764"/>
    </row>
    <row r="36" spans="1:17" ht="15.75" thickBot="1">
      <c r="A36" s="3503" t="s">
        <v>1513</v>
      </c>
      <c r="B36" s="1396" t="s">
        <v>1514</v>
      </c>
      <c r="C36" s="2674">
        <v>0</v>
      </c>
      <c r="D36" s="2675"/>
      <c r="E36" s="1608"/>
      <c r="F36" s="1608"/>
      <c r="G36" s="905"/>
      <c r="H36" s="905"/>
      <c r="I36" s="905"/>
      <c r="J36" s="2764"/>
    </row>
    <row r="37" spans="1:17" ht="15.75" thickBot="1">
      <c r="A37" s="3508"/>
      <c r="B37" s="2022" t="s">
        <v>1515</v>
      </c>
      <c r="C37" s="2676">
        <v>0</v>
      </c>
      <c r="D37" s="1239"/>
      <c r="E37" s="1239"/>
      <c r="F37" s="1608"/>
      <c r="G37" s="1239"/>
      <c r="H37" s="1239"/>
      <c r="I37" s="1239"/>
      <c r="J37" s="2768"/>
    </row>
    <row r="38" spans="1:17" ht="15.75" thickBot="1">
      <c r="A38" s="3509"/>
      <c r="B38" s="1397" t="s">
        <v>1516</v>
      </c>
      <c r="C38" s="2677">
        <v>0</v>
      </c>
      <c r="D38" s="2678" t="s">
        <v>1517</v>
      </c>
      <c r="E38" s="1239"/>
      <c r="F38" s="1608"/>
      <c r="G38" s="1239"/>
      <c r="H38" s="1239"/>
      <c r="I38" s="1239"/>
      <c r="J38" s="2768"/>
    </row>
    <row r="39" spans="1:17" ht="15">
      <c r="A39" s="2643" t="s">
        <v>1518</v>
      </c>
      <c r="B39" s="2679" t="s">
        <v>1502</v>
      </c>
      <c r="C39" s="2680" t="s">
        <v>1503</v>
      </c>
      <c r="D39" s="2680" t="s">
        <v>1519</v>
      </c>
      <c r="E39" s="2681" t="s">
        <v>1504</v>
      </c>
      <c r="F39" s="1608"/>
      <c r="G39" s="1239"/>
      <c r="H39" s="1239"/>
      <c r="I39" s="1239"/>
      <c r="J39" s="2768"/>
    </row>
    <row r="40" spans="1:17" ht="14.25">
      <c r="A40" s="2682" t="s">
        <v>1520</v>
      </c>
      <c r="B40" s="2683"/>
      <c r="C40" s="2684"/>
      <c r="D40" s="2684"/>
      <c r="E40" s="2685"/>
      <c r="F40" s="1608"/>
      <c r="G40" s="1239"/>
      <c r="H40" s="1239"/>
      <c r="I40" s="1239"/>
      <c r="J40" s="2768"/>
    </row>
    <row r="41" spans="1:17" ht="14.25">
      <c r="A41" s="2682" t="s">
        <v>1521</v>
      </c>
      <c r="B41" s="2683"/>
      <c r="C41" s="2684"/>
      <c r="D41" s="2684"/>
      <c r="E41" s="2685"/>
      <c r="F41" s="1608"/>
      <c r="G41" s="1239"/>
      <c r="H41" s="1239"/>
      <c r="I41" s="1239"/>
      <c r="J41" s="2768"/>
    </row>
    <row r="42" spans="1:17" ht="15" thickBot="1">
      <c r="A42" s="2686"/>
      <c r="B42" s="2687"/>
      <c r="C42" s="2688"/>
      <c r="D42" s="2688"/>
      <c r="E42" s="2673"/>
      <c r="F42" s="1608"/>
      <c r="G42" s="1239"/>
      <c r="H42" s="1239"/>
      <c r="I42" s="1239"/>
      <c r="J42" s="2768"/>
    </row>
    <row r="43" spans="1:17" ht="12.75">
      <c r="A43" s="2894"/>
      <c r="B43" s="2894"/>
      <c r="C43" s="2894"/>
      <c r="D43" s="2894"/>
      <c r="E43" s="2894"/>
      <c r="F43" s="2893"/>
      <c r="G43" s="2893"/>
      <c r="H43" s="2893"/>
      <c r="I43" s="2581"/>
      <c r="J43" s="2769"/>
    </row>
    <row r="44" spans="1:17" ht="18.75">
      <c r="A44" s="1399" t="s">
        <v>1522</v>
      </c>
      <c r="B44" s="1400"/>
      <c r="C44" s="1400"/>
      <c r="D44" s="1401"/>
      <c r="E44" s="1401"/>
      <c r="F44" s="1402"/>
      <c r="G44" s="1402"/>
      <c r="H44" s="1402"/>
      <c r="I44" s="2758" t="s">
        <v>2575</v>
      </c>
      <c r="J44" s="2770"/>
      <c r="K44" s="1403" t="s">
        <v>1523</v>
      </c>
      <c r="L44" s="1404"/>
      <c r="M44" s="1404"/>
      <c r="N44" s="1404"/>
      <c r="O44" s="1404"/>
      <c r="P44" s="1404"/>
      <c r="Q44" s="1236"/>
    </row>
    <row r="45" spans="1:17" ht="14.25" customHeight="1" thickBot="1">
      <c r="A45" s="3428" t="s">
        <v>1524</v>
      </c>
      <c r="B45" s="3429"/>
      <c r="C45" s="3439"/>
      <c r="D45" s="246">
        <f ca="1">ROUND(I102*F45,0)</f>
        <v>1559454</v>
      </c>
      <c r="E45" s="1470" t="s">
        <v>1525</v>
      </c>
      <c r="F45" s="2479">
        <v>1</v>
      </c>
      <c r="G45" s="2480" t="s">
        <v>1526</v>
      </c>
      <c r="H45" s="905"/>
      <c r="I45" s="905"/>
      <c r="J45" s="2764"/>
      <c r="K45" s="3434" t="s">
        <v>2505</v>
      </c>
      <c r="L45" s="3434"/>
      <c r="M45" s="3434"/>
      <c r="N45" s="3434"/>
      <c r="O45" s="3434"/>
      <c r="P45" s="3434"/>
      <c r="Q45" s="1236"/>
    </row>
    <row r="46" spans="1:17" ht="14.25" customHeight="1">
      <c r="A46" s="3505" t="s">
        <v>1528</v>
      </c>
      <c r="B46" s="3506"/>
      <c r="C46" s="3506"/>
      <c r="D46" s="3506"/>
      <c r="E46" s="3506"/>
      <c r="F46" s="3506"/>
      <c r="G46" s="3507"/>
      <c r="H46" s="2896"/>
      <c r="I46" s="905"/>
      <c r="J46" s="2764"/>
      <c r="K46" s="2454">
        <v>1</v>
      </c>
      <c r="L46" s="3435" t="s">
        <v>2506</v>
      </c>
      <c r="M46" s="3435"/>
      <c r="N46" s="3436" t="str">
        <f>项目基本情况!B1</f>
        <v>北京市房地产抵押价值预评估</v>
      </c>
      <c r="O46" s="3436"/>
      <c r="P46" s="3436"/>
      <c r="Q46" s="1236"/>
    </row>
    <row r="47" spans="1:17" ht="12" customHeight="1">
      <c r="A47" s="38" t="s">
        <v>1530</v>
      </c>
      <c r="B47" s="39"/>
      <c r="C47" s="40"/>
      <c r="D47" s="1028" t="s">
        <v>1531</v>
      </c>
      <c r="E47" s="235" t="s">
        <v>1532</v>
      </c>
      <c r="F47" s="41" t="s">
        <v>1533</v>
      </c>
      <c r="G47" s="2482" t="s">
        <v>1534</v>
      </c>
      <c r="H47" s="2896"/>
      <c r="I47" s="905"/>
      <c r="J47" s="2764"/>
      <c r="K47" s="2454">
        <v>2</v>
      </c>
      <c r="L47" s="3435" t="s">
        <v>2507</v>
      </c>
      <c r="M47" s="3435"/>
      <c r="N47" s="3437">
        <f>'数据-取费表'!B2</f>
        <v>44675</v>
      </c>
      <c r="O47" s="3437"/>
      <c r="P47" s="3437"/>
      <c r="Q47" s="1236"/>
    </row>
    <row r="48" spans="1:17" ht="25.5">
      <c r="A48" s="3510" t="s">
        <v>1536</v>
      </c>
      <c r="B48" s="3444"/>
      <c r="C48" s="3444"/>
      <c r="D48" s="12">
        <f ca="1">IF(H48="情况1",0,IF(H48="情况2",D52,IF(H48="情况3",D53,IF(H48="情况4",D54))))</f>
        <v>83171</v>
      </c>
      <c r="E48" s="2020" t="str">
        <f>IF(H48="情况4","(销售额-原购置价)×税（费）率","销售额×税（费）率")</f>
        <v>销售额×税（费）率</v>
      </c>
      <c r="F48" s="2483">
        <f>IF(H48="情况1","免征",'数据-取费表'!E29)</f>
        <v>5.6000000000000001E-2</v>
      </c>
      <c r="G48" s="2484" t="s">
        <v>1537</v>
      </c>
      <c r="H48" s="2485" t="s">
        <v>1538</v>
      </c>
      <c r="I48" s="2896"/>
      <c r="J48" s="2771"/>
      <c r="K48" s="2454">
        <v>3</v>
      </c>
      <c r="L48" s="3435" t="s">
        <v>2508</v>
      </c>
      <c r="M48" s="3435"/>
      <c r="N48" s="3436">
        <f ca="1">I102</f>
        <v>1559454</v>
      </c>
      <c r="O48" s="3436"/>
      <c r="P48" s="3436"/>
      <c r="Q48" s="1236"/>
    </row>
    <row r="49" spans="1:17" ht="25.5" customHeight="1">
      <c r="A49" s="2019" t="s">
        <v>1540</v>
      </c>
      <c r="B49" s="3483" t="s">
        <v>1541</v>
      </c>
      <c r="C49" s="3483"/>
      <c r="D49" s="2486">
        <v>0</v>
      </c>
      <c r="E49" s="261" t="s">
        <v>1542</v>
      </c>
      <c r="F49" s="2487" t="s">
        <v>48</v>
      </c>
      <c r="G49" s="3425"/>
      <c r="H49" s="2488" t="s">
        <v>2582</v>
      </c>
      <c r="I49" s="2489"/>
      <c r="J49" s="2772"/>
      <c r="K49" s="2454">
        <v>4</v>
      </c>
      <c r="L49" s="3435" t="str">
        <f>IF(项目基本情况!F5="房地产抵押价值","房地产抵押价值","抵押担保权已注销时的房地产抵押价值")</f>
        <v>房地产抵押价值</v>
      </c>
      <c r="M49" s="3435"/>
      <c r="N49" s="3436">
        <f ca="1">IF(项目基本情况!F5="房地产抵押价值",I110,I112)</f>
        <v>1559454</v>
      </c>
      <c r="O49" s="3436"/>
      <c r="P49" s="3436"/>
      <c r="Q49" s="1236"/>
    </row>
    <row r="50" spans="1:17" ht="25.5" customHeight="1">
      <c r="A50" s="2009"/>
      <c r="B50" s="3483" t="s">
        <v>1543</v>
      </c>
      <c r="C50" s="3483"/>
      <c r="D50" s="2490"/>
      <c r="E50" s="269"/>
      <c r="F50" s="2487"/>
      <c r="G50" s="3426"/>
      <c r="H50" s="2491" t="s">
        <v>2501</v>
      </c>
      <c r="I50" s="2489"/>
      <c r="J50" s="2772"/>
      <c r="K50" s="3435" t="s">
        <v>2509</v>
      </c>
      <c r="L50" s="3435"/>
      <c r="M50" s="3435"/>
      <c r="N50" s="3435"/>
      <c r="O50" s="3435"/>
      <c r="P50" s="3435"/>
      <c r="Q50" s="1236"/>
    </row>
    <row r="51" spans="1:17" ht="20.45" customHeight="1">
      <c r="A51" s="2492"/>
      <c r="B51" s="3483" t="s">
        <v>1545</v>
      </c>
      <c r="C51" s="3483"/>
      <c r="D51" s="1028"/>
      <c r="E51" s="264"/>
      <c r="F51" s="2487"/>
      <c r="G51" s="3427"/>
      <c r="H51" s="2491" t="s">
        <v>2502</v>
      </c>
      <c r="I51" s="2489"/>
      <c r="J51" s="2772"/>
      <c r="K51" s="2455" t="s">
        <v>2510</v>
      </c>
      <c r="L51" s="3435" t="s">
        <v>2511</v>
      </c>
      <c r="M51" s="3435"/>
      <c r="N51" s="2455" t="s">
        <v>2512</v>
      </c>
      <c r="O51" s="2455" t="s">
        <v>2513</v>
      </c>
      <c r="P51" s="2455" t="s">
        <v>2514</v>
      </c>
      <c r="Q51" s="1236"/>
    </row>
    <row r="52" spans="1:17" ht="24" customHeight="1">
      <c r="A52" s="2010" t="s">
        <v>1551</v>
      </c>
      <c r="B52" s="3483" t="s">
        <v>1552</v>
      </c>
      <c r="C52" s="3483"/>
      <c r="D52" s="1028">
        <f ca="1">ROUND(D45*'数据-取费表'!E29/(1+'数据-取费表'!F30),0)</f>
        <v>83171</v>
      </c>
      <c r="E52" s="2020" t="s">
        <v>1553</v>
      </c>
      <c r="F52" s="2493">
        <f>'数据-取费表'!E29</f>
        <v>5.6000000000000001E-2</v>
      </c>
      <c r="G52" s="2494"/>
      <c r="H52" s="905"/>
      <c r="I52" s="2897"/>
      <c r="J52" s="2772"/>
      <c r="K52" s="2454">
        <v>1</v>
      </c>
      <c r="L52" s="3424" t="s">
        <v>2515</v>
      </c>
      <c r="M52" s="3424"/>
      <c r="N52" s="2456">
        <f ca="1">D48</f>
        <v>83171</v>
      </c>
      <c r="O52" s="2454" t="str">
        <f>E48</f>
        <v>销售额×税（费）率</v>
      </c>
      <c r="P52" s="2457">
        <f>F48</f>
        <v>5.6000000000000001E-2</v>
      </c>
      <c r="Q52" s="1236"/>
    </row>
    <row r="53" spans="1:17" ht="12" customHeight="1">
      <c r="A53" s="2010" t="s">
        <v>1555</v>
      </c>
      <c r="B53" s="3495" t="s">
        <v>2593</v>
      </c>
      <c r="C53" s="3484"/>
      <c r="D53" s="1028">
        <f ca="1">ROUND(D45*'数据-取费表'!E29/(1+'数据-取费表'!F30),0)</f>
        <v>83171</v>
      </c>
      <c r="E53" s="2020" t="s">
        <v>1553</v>
      </c>
      <c r="F53" s="2493">
        <f>'数据-取费表'!E29</f>
        <v>5.6000000000000001E-2</v>
      </c>
      <c r="G53" s="2494"/>
      <c r="H53" s="905"/>
      <c r="I53" s="2897"/>
      <c r="J53" s="2772"/>
      <c r="K53" s="2454">
        <v>2</v>
      </c>
      <c r="L53" s="3424" t="s">
        <v>2516</v>
      </c>
      <c r="M53" s="3424"/>
      <c r="N53" s="2456">
        <f t="shared" ref="N53:P54" si="1">D55</f>
        <v>0</v>
      </c>
      <c r="O53" s="2454" t="str">
        <f t="shared" si="1"/>
        <v>销售额×税（费）率</v>
      </c>
      <c r="P53" s="2457" t="str">
        <f t="shared" si="1"/>
        <v>免征</v>
      </c>
      <c r="Q53" s="1236"/>
    </row>
    <row r="54" spans="1:17" ht="12" customHeight="1">
      <c r="A54" s="2010" t="s">
        <v>1557</v>
      </c>
      <c r="B54" s="3495" t="s">
        <v>2594</v>
      </c>
      <c r="C54" s="3484"/>
      <c r="D54" s="1028">
        <f ca="1">C68</f>
        <v>83171</v>
      </c>
      <c r="E54" s="264" t="s">
        <v>1558</v>
      </c>
      <c r="F54" s="2493">
        <f>'数据-取费表'!E29</f>
        <v>5.6000000000000001E-2</v>
      </c>
      <c r="G54" s="2494"/>
      <c r="H54" s="2898"/>
      <c r="I54" s="2897"/>
      <c r="J54" s="2772"/>
      <c r="K54" s="2454">
        <v>3</v>
      </c>
      <c r="L54" s="3424" t="s">
        <v>2517</v>
      </c>
      <c r="M54" s="3424"/>
      <c r="N54" s="2456">
        <f t="shared" si="1"/>
        <v>0</v>
      </c>
      <c r="O54" s="2454" t="str">
        <f t="shared" si="1"/>
        <v>增值额×税（费）率</v>
      </c>
      <c r="P54" s="2458" t="str">
        <f t="shared" si="1"/>
        <v>免征</v>
      </c>
      <c r="Q54" s="1236"/>
    </row>
    <row r="55" spans="1:17" ht="24" customHeight="1">
      <c r="A55" s="3448" t="s">
        <v>1560</v>
      </c>
      <c r="B55" s="3444"/>
      <c r="C55" s="3444"/>
      <c r="D55" s="12">
        <f>IF(H55="个人住宅",0,ROUND(D45*I55,0))</f>
        <v>0</v>
      </c>
      <c r="E55" s="2020" t="s">
        <v>1561</v>
      </c>
      <c r="F55" s="2493" t="str">
        <f>IF(H55="正常",I55,"免征")</f>
        <v>免征</v>
      </c>
      <c r="G55" s="2494"/>
      <c r="H55" s="2485" t="s">
        <v>2498</v>
      </c>
      <c r="I55" s="74">
        <f>'数据-取费表'!E37</f>
        <v>5.0000000000000001E-4</v>
      </c>
      <c r="J55" s="2772"/>
      <c r="K55" s="2454" t="str">
        <f>IF(H59="非个人房产","",4)</f>
        <v/>
      </c>
      <c r="L55" s="3424" t="str">
        <f>IF(H59="非个人房产","——","个人所得税")</f>
        <v>——</v>
      </c>
      <c r="M55" s="3424"/>
      <c r="N55" s="2459" t="str">
        <f>D59</f>
        <v>——</v>
      </c>
      <c r="O55" s="2460" t="str">
        <f>E59</f>
        <v>——</v>
      </c>
      <c r="P55" s="2461" t="str">
        <f>F59</f>
        <v>——</v>
      </c>
      <c r="Q55" s="1236"/>
    </row>
    <row r="56" spans="1:17" ht="24.75">
      <c r="A56" s="3448" t="s">
        <v>1563</v>
      </c>
      <c r="B56" s="3444"/>
      <c r="C56" s="3444"/>
      <c r="D56" s="12">
        <f>IF(H56="个人住宅",D57,D58)</f>
        <v>0</v>
      </c>
      <c r="E56" s="2020" t="s">
        <v>1564</v>
      </c>
      <c r="F56" s="2493" t="str">
        <f>IF(H56="正常",F58,"免征")</f>
        <v>免征</v>
      </c>
      <c r="G56" s="2495" t="s">
        <v>1565</v>
      </c>
      <c r="H56" s="2496" t="s">
        <v>2498</v>
      </c>
      <c r="I56" s="2899"/>
      <c r="J56" s="2772"/>
      <c r="K56" s="2454" t="str">
        <f>IF(项目基本情况!I6="上海银行",IF(K55="",4,K55+1),"")</f>
        <v/>
      </c>
      <c r="L56" s="3422" t="str">
        <f>IF(项目基本情况!I6="上海银行","其他处置费用","")</f>
        <v/>
      </c>
      <c r="M56" s="3442"/>
      <c r="N56" s="2456" t="str">
        <f>IF(项目基本情况!I6="上海银行",N69,"")</f>
        <v/>
      </c>
      <c r="O56" s="3422" t="str">
        <f>IF(项目基本情况!I6="上海银行","包含处置中涉及的律师、诉讼、拍卖、评估等费用","")</f>
        <v/>
      </c>
      <c r="P56" s="3423"/>
      <c r="Q56" s="1236"/>
    </row>
    <row r="57" spans="1:17" ht="12.75">
      <c r="A57" s="2010" t="s">
        <v>1540</v>
      </c>
      <c r="B57" s="3495" t="s">
        <v>1566</v>
      </c>
      <c r="C57" s="3484"/>
      <c r="D57" s="2486">
        <v>0</v>
      </c>
      <c r="E57" s="261" t="s">
        <v>1542</v>
      </c>
      <c r="F57" s="235"/>
      <c r="G57" s="2494"/>
      <c r="H57" s="2899"/>
      <c r="I57" s="2899"/>
      <c r="J57" s="2772"/>
      <c r="K57" s="3424">
        <f>IF(AND(K55="",K56=""),4,IF(项目基本情况!I6="上海银行",K56+1,K55+1))</f>
        <v>4</v>
      </c>
      <c r="L57" s="3424" t="s">
        <v>2518</v>
      </c>
      <c r="M57" s="2462" t="s">
        <v>2519</v>
      </c>
      <c r="N57" s="2463"/>
      <c r="O57" s="2464">
        <f ca="1">SUMIF(N52:N56,"&lt;9e307")</f>
        <v>83171</v>
      </c>
      <c r="P57" s="2465"/>
      <c r="Q57" s="1234">
        <f ca="1">O57/N49</f>
        <v>5.3333410283342757E-2</v>
      </c>
    </row>
    <row r="58" spans="1:17" ht="24.75">
      <c r="A58" s="2010" t="s">
        <v>1551</v>
      </c>
      <c r="B58" s="3495" t="s">
        <v>1569</v>
      </c>
      <c r="C58" s="3483"/>
      <c r="D58" s="12">
        <f ca="1">IF(H58="转让取得",C81,C97)</f>
        <v>882651</v>
      </c>
      <c r="E58" s="2020" t="s">
        <v>1564</v>
      </c>
      <c r="F58" s="235" t="s">
        <v>48</v>
      </c>
      <c r="G58" s="2494"/>
      <c r="H58" s="2496" t="s">
        <v>1570</v>
      </c>
      <c r="I58" s="2899"/>
      <c r="J58" s="2772"/>
      <c r="K58" s="3424"/>
      <c r="L58" s="3424"/>
      <c r="M58" s="2462" t="s">
        <v>2520</v>
      </c>
      <c r="N58" s="2466"/>
      <c r="O58" s="2467" t="str">
        <f ca="1">IF(H19="元",NUMBERSTRING(INT(O57),2)&amp;"元整",NUMBERSTRING(INT(O57*10000),2)&amp;"元整")</f>
        <v>捌万叁仟壹佰柒拾壹元整</v>
      </c>
      <c r="P58" s="2468"/>
      <c r="Q58" s="1236"/>
    </row>
    <row r="59" spans="1:17" ht="24.75" thickBot="1">
      <c r="A59" s="3511" t="s">
        <v>1572</v>
      </c>
      <c r="B59" s="3512"/>
      <c r="C59" s="3512"/>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2" t="s">
        <v>2573</v>
      </c>
      <c r="H59" s="2024" t="s">
        <v>2583</v>
      </c>
      <c r="I59" s="2801" t="s">
        <v>2584</v>
      </c>
      <c r="J59" s="2772"/>
      <c r="K59" s="3477">
        <f>K57+1</f>
        <v>5</v>
      </c>
      <c r="L59" s="3424" t="s">
        <v>2521</v>
      </c>
      <c r="M59" s="2454" t="s">
        <v>2519</v>
      </c>
      <c r="N59" s="2469"/>
      <c r="O59" s="2470">
        <f ca="1">N49-O57</f>
        <v>1476283</v>
      </c>
      <c r="P59" s="2471"/>
      <c r="Q59" s="1236"/>
    </row>
    <row r="60" spans="1:17" ht="12" customHeight="1">
      <c r="A60" s="1385"/>
      <c r="B60" s="1389"/>
      <c r="C60" s="1389"/>
      <c r="D60" s="1389"/>
      <c r="E60" s="770"/>
      <c r="F60" s="2900"/>
      <c r="G60" s="2900"/>
      <c r="H60" s="2901"/>
      <c r="I60" s="31"/>
      <c r="K60" s="3478"/>
      <c r="L60" s="3424"/>
      <c r="M60" s="2462" t="s">
        <v>2520</v>
      </c>
      <c r="N60" s="2466"/>
      <c r="O60" s="2467" t="str">
        <f ca="1">IF(H19="元",NUMBERSTRING(INT(O59),2)&amp;"元整",NUMBERSTRING(INT(O59*10000),2)&amp;"元整")</f>
        <v>壹佰肆拾柒万陆仟贰佰捌拾叁元整</v>
      </c>
      <c r="P60" s="2468"/>
      <c r="Q60" s="1236"/>
    </row>
    <row r="61" spans="1:17" ht="13.5" thickBot="1">
      <c r="A61" s="3513" t="s">
        <v>1574</v>
      </c>
      <c r="B61" s="3513"/>
      <c r="C61" s="3513"/>
      <c r="D61" s="3513"/>
      <c r="E61" s="3513"/>
      <c r="F61" s="2900"/>
      <c r="G61" s="2900"/>
      <c r="H61" s="2902"/>
      <c r="I61" s="31"/>
      <c r="K61" s="2454">
        <f>K59+1</f>
        <v>6</v>
      </c>
      <c r="L61" s="3424" t="s">
        <v>2522</v>
      </c>
      <c r="M61" s="3424"/>
      <c r="N61" s="2472"/>
      <c r="O61" s="2473">
        <f ca="1">IF(H19="元",ROUND(O59/项目基本情况!C12,0),ROUND(O59*10000/项目基本情况!C12,0))</f>
        <v>20020</v>
      </c>
      <c r="P61" s="2474"/>
      <c r="Q61" s="1236"/>
    </row>
    <row r="62" spans="1:17" ht="12.75">
      <c r="A62" s="3462" t="s">
        <v>1576</v>
      </c>
      <c r="B62" s="3463"/>
      <c r="C62" s="1535"/>
      <c r="D62" s="1535" t="s">
        <v>1577</v>
      </c>
      <c r="E62" s="45" t="s">
        <v>1578</v>
      </c>
      <c r="F62" s="2900"/>
      <c r="G62" s="2900"/>
      <c r="H62" s="2902"/>
      <c r="I62" s="31"/>
      <c r="K62" s="2475"/>
      <c r="L62" s="2475"/>
      <c r="M62" s="2475"/>
      <c r="N62" s="2475"/>
      <c r="O62" s="2475"/>
      <c r="P62" s="2475"/>
      <c r="Q62" s="1236"/>
    </row>
    <row r="63" spans="1:17" ht="12.75">
      <c r="A63" s="46">
        <v>1</v>
      </c>
      <c r="B63" s="47" t="s">
        <v>1579</v>
      </c>
      <c r="C63" s="2703">
        <f ca="1">ROUND((C64+C65)/(1+'数据-取费表'!F30),0)</f>
        <v>1485194</v>
      </c>
      <c r="D63" s="47"/>
      <c r="E63" s="48"/>
      <c r="F63" s="2900"/>
      <c r="G63" s="2900"/>
      <c r="H63" s="2902"/>
      <c r="I63" s="31"/>
      <c r="K63" s="3443" t="s">
        <v>2523</v>
      </c>
      <c r="L63" s="2476" t="s">
        <v>2524</v>
      </c>
      <c r="M63" s="2476">
        <f ca="1">IF(N49&gt;10000,N49*0.5%,IF(AND(N49&gt;1000,N49&lt;=10000),N49*1%,IF(AND(N49&gt;100,N49&lt;=1000),N49*3%,IF(AND(N49&gt;10,N49&lt;=100),N49*5%,N49*8%))))</f>
        <v>7797.27</v>
      </c>
      <c r="N63" s="2477">
        <f ca="1">ROUND(M63,1)</f>
        <v>7797.3</v>
      </c>
      <c r="O63" s="2475"/>
      <c r="P63" s="2475"/>
      <c r="Q63" s="1236"/>
    </row>
    <row r="64" spans="1:17" ht="12.75">
      <c r="A64" s="49" t="s">
        <v>71</v>
      </c>
      <c r="B64" s="50" t="s">
        <v>1582</v>
      </c>
      <c r="C64" s="2704">
        <f ca="1">D45</f>
        <v>1559454</v>
      </c>
      <c r="D64" s="50" t="s">
        <v>41</v>
      </c>
      <c r="E64" s="52"/>
      <c r="F64" s="2900"/>
      <c r="G64" s="2900"/>
      <c r="H64" s="2902"/>
      <c r="I64" s="31"/>
      <c r="K64" s="3443"/>
      <c r="L64" s="2476" t="s">
        <v>2525</v>
      </c>
      <c r="M64" s="2476">
        <f ca="1">IF(N49&gt;2000,N49*0.5%,IF(AND(N49&gt;1000,N49&lt;=2000),N49*0.6%,IF(AND(N49&gt;500,N49&lt;=1000),N49*0.7%,IF(AND(N49&gt;200,N49&lt;=500),N49*0.8%,IF(AND(N49&gt;100,N49&lt;=200),N49*0.9%,IF(AND(N49&gt;50,N49&lt;=100),N49*1%,IF(AND(N49&gt;20,N49&lt;=50),N49*1.5%,IF(AND(N49&gt;10,N49&lt;=20),N49*2%,IF(AND(N49&gt;1,N49&lt;=10),N49*2.5%)))))))))</f>
        <v>7797.27</v>
      </c>
      <c r="N64" s="2477">
        <f t="shared" ref="N64:N65" ca="1" si="2">ROUND(M64,1)</f>
        <v>7797.3</v>
      </c>
      <c r="O64" s="2475" t="s">
        <v>2526</v>
      </c>
      <c r="P64" s="2475"/>
      <c r="Q64" s="1236"/>
    </row>
    <row r="65" spans="1:36" ht="12.75">
      <c r="A65" s="49" t="s">
        <v>72</v>
      </c>
      <c r="B65" s="50" t="s">
        <v>1585</v>
      </c>
      <c r="C65" s="2705"/>
      <c r="D65" s="50"/>
      <c r="E65" s="52"/>
      <c r="F65" s="2900"/>
      <c r="G65" s="2900"/>
      <c r="H65" s="2902"/>
      <c r="I65" s="31"/>
      <c r="K65" s="3443"/>
      <c r="L65" s="2476" t="s">
        <v>2527</v>
      </c>
      <c r="M65" s="2476">
        <f ca="1">IF(N49&gt;1000,N49*0.1%,IF(AND(N49&gt;500,N49&lt;=1000),N49*0.5%,IF(AND(N49&gt;50,N49&lt;=500),N49*1%,IF(AND(N49&gt;1,N49&lt;=50),N49*1.5%))))</f>
        <v>1559.454</v>
      </c>
      <c r="N65" s="2477">
        <f t="shared" ca="1" si="2"/>
        <v>1559.5</v>
      </c>
      <c r="O65" s="2475" t="s">
        <v>2526</v>
      </c>
      <c r="P65" s="2475"/>
      <c r="Q65" s="1236"/>
    </row>
    <row r="66" spans="1:36" ht="12.75">
      <c r="A66" s="53" t="s">
        <v>47</v>
      </c>
      <c r="B66" s="54" t="s">
        <v>1587</v>
      </c>
      <c r="C66" s="2706"/>
      <c r="D66" s="54" t="s">
        <v>41</v>
      </c>
      <c r="E66" s="1244" t="s">
        <v>1588</v>
      </c>
      <c r="F66" s="2900"/>
      <c r="G66" s="2900"/>
      <c r="H66" s="2902"/>
      <c r="I66" s="31"/>
      <c r="K66" s="3443"/>
      <c r="L66" s="2476" t="s">
        <v>2528</v>
      </c>
      <c r="M66" s="2476">
        <f ca="1">N49*0.5%</f>
        <v>7797.27</v>
      </c>
      <c r="N66" s="2477">
        <f ca="1">IF(M66&gt;0.5,0.5,ROUND(M66,0))</f>
        <v>0.5</v>
      </c>
      <c r="O66" s="2475" t="s">
        <v>2529</v>
      </c>
      <c r="P66" s="2475"/>
      <c r="Q66" s="1236"/>
    </row>
    <row r="67" spans="1:36" ht="12.75">
      <c r="A67" s="53" t="s">
        <v>42</v>
      </c>
      <c r="B67" s="54" t="s">
        <v>1591</v>
      </c>
      <c r="C67" s="2707">
        <f ca="1">C63-C66</f>
        <v>1485194</v>
      </c>
      <c r="D67" s="50" t="s">
        <v>41</v>
      </c>
      <c r="E67" s="52"/>
      <c r="F67" s="2900"/>
      <c r="G67" s="2900"/>
      <c r="H67" s="2902"/>
      <c r="I67" s="31"/>
      <c r="K67" s="3443"/>
      <c r="L67" s="2476" t="s">
        <v>2530</v>
      </c>
      <c r="M67" s="2476">
        <f ca="1">IF(N49&gt;=10000,(8.25+(N49-10000)*0.01%),IF(AND(N49&gt;=8000,N49&lt;10000),(7.85+(N49-8000)*0.02%),IF(AND(N49&gt;=5000,N49&lt;8000),(6.65+(N49-5000)*0.04%),IF(AND(N49&gt;=2000,N49&lt;5000),(4.25+(PN49-2000)*0.08%),IF(AND(N49&gt;=1000,N49&lt;2000),(2.75+(N49-1000)*0.15%),IF(AND(N49&gt;=100,N49&lt;1000),(0.5+(N49-100)*0.25%),IF(AND(N49&gt;0,N49&lt;100),N49*0.5%)))))))</f>
        <v>163.19540000000001</v>
      </c>
      <c r="N67" s="2477">
        <f ca="1">ROUND(M67*0.9,1)</f>
        <v>146.9</v>
      </c>
      <c r="O67" s="2475"/>
      <c r="P67" s="2475"/>
      <c r="Q67" s="1236"/>
    </row>
    <row r="68" spans="1:36" ht="13.5" thickBot="1">
      <c r="A68" s="55" t="s">
        <v>46</v>
      </c>
      <c r="B68" s="56" t="s">
        <v>1593</v>
      </c>
      <c r="C68" s="2708">
        <f ca="1">IF(C67&lt;=0,0,ROUND(C67*D68,0))</f>
        <v>83171</v>
      </c>
      <c r="D68" s="2170">
        <f>'数据-取费表'!E29</f>
        <v>5.6000000000000001E-2</v>
      </c>
      <c r="E68" s="57"/>
      <c r="F68" s="2900"/>
      <c r="G68" s="2900"/>
      <c r="H68" s="2902"/>
      <c r="I68" s="31"/>
      <c r="K68" s="3443"/>
      <c r="L68" s="2476" t="s">
        <v>2531</v>
      </c>
      <c r="M68" s="2476">
        <f ca="1">IF(N49&gt;10000,N49*0.5%,IF(AND(N49&gt;5000,N49&lt;=10000),N49*1%,IF(AND(N49&gt;1000,N49&lt;=5000),N49*2%,IF(AND(N49&gt;200,N49&lt;=1000),N49*3%,N49*5%))))</f>
        <v>7797.27</v>
      </c>
      <c r="N68" s="2477">
        <f ca="1">ROUND(M68,1)</f>
        <v>7797.3</v>
      </c>
      <c r="O68" s="2475"/>
      <c r="P68" s="2475"/>
      <c r="Q68" s="1236"/>
    </row>
    <row r="69" spans="1:36" s="1393" customFormat="1" ht="7.5" customHeight="1">
      <c r="A69" s="1405"/>
      <c r="B69" s="1406"/>
      <c r="C69" s="1407"/>
      <c r="D69" s="1408"/>
      <c r="E69" s="1409"/>
      <c r="F69" s="770"/>
      <c r="G69" s="770"/>
      <c r="H69" s="1398"/>
      <c r="I69" s="1389"/>
      <c r="J69" s="2760"/>
      <c r="K69" s="3443"/>
      <c r="L69" s="2476" t="s">
        <v>54</v>
      </c>
      <c r="M69" s="2476"/>
      <c r="N69" s="2477">
        <f ca="1">ROUND(SUM(N63:N68),0)</f>
        <v>25099</v>
      </c>
      <c r="O69" s="2478">
        <f ca="1">N69/N49</f>
        <v>1.6094735721605125E-2</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5" thickBot="1">
      <c r="A70" s="3464" t="s">
        <v>1596</v>
      </c>
      <c r="B70" s="3465"/>
      <c r="C70" s="3465"/>
      <c r="D70" s="3465"/>
      <c r="E70" s="3465"/>
      <c r="F70" s="3465"/>
      <c r="G70" s="3465"/>
      <c r="H70" s="3465"/>
      <c r="I70" s="1410"/>
      <c r="J70" s="2773"/>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4.25">
      <c r="A71" s="3462" t="s">
        <v>1576</v>
      </c>
      <c r="B71" s="3463"/>
      <c r="C71" s="1535"/>
      <c r="D71" s="1535" t="s">
        <v>1577</v>
      </c>
      <c r="E71" s="58" t="s">
        <v>1578</v>
      </c>
      <c r="F71" s="59"/>
      <c r="G71" s="59"/>
      <c r="H71" s="60"/>
      <c r="I71" s="1413"/>
      <c r="J71" s="2774"/>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4.25">
      <c r="A72" s="61">
        <v>1</v>
      </c>
      <c r="B72" s="54" t="s">
        <v>1597</v>
      </c>
      <c r="C72" s="2707">
        <f ca="1">ROUND(D45/(1+'数据-取费表'!F30),0)</f>
        <v>1485194</v>
      </c>
      <c r="D72" s="50" t="s">
        <v>41</v>
      </c>
      <c r="E72" s="12" t="s">
        <v>1598</v>
      </c>
      <c r="F72" s="2017"/>
      <c r="G72" s="2017"/>
      <c r="H72" s="62"/>
      <c r="I72" s="1413"/>
      <c r="J72" s="277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63">
        <v>2</v>
      </c>
      <c r="B73" s="41" t="s">
        <v>1599</v>
      </c>
      <c r="C73" s="2707">
        <f ca="1">C74+C78</f>
        <v>8911</v>
      </c>
      <c r="D73" s="50" t="s">
        <v>41</v>
      </c>
      <c r="E73" s="2016"/>
      <c r="F73" s="2017"/>
      <c r="G73" s="2017"/>
      <c r="H73" s="62"/>
      <c r="I73" s="1413"/>
      <c r="J73" s="277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49" t="s">
        <v>74</v>
      </c>
      <c r="B75" s="50" t="s">
        <v>1601</v>
      </c>
      <c r="C75" s="2196"/>
      <c r="D75" s="50" t="s">
        <v>41</v>
      </c>
      <c r="E75" s="64" t="s">
        <v>1602</v>
      </c>
      <c r="F75" s="2711" t="s">
        <v>1603</v>
      </c>
      <c r="G75" s="64" t="s">
        <v>1604</v>
      </c>
      <c r="H75" s="2712"/>
      <c r="I75" s="9"/>
      <c r="J75" s="2775"/>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3">
        <v>0.05</v>
      </c>
      <c r="E76" s="3495" t="s">
        <v>1606</v>
      </c>
      <c r="F76" s="3483"/>
      <c r="G76" s="3483"/>
      <c r="H76" s="3496"/>
      <c r="I76" s="1413"/>
      <c r="J76" s="277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4">
        <f>'数据-取费表'!E36+'数据-取费表'!E37</f>
        <v>3.0499999999999999E-2</v>
      </c>
      <c r="E77" s="12" t="s">
        <v>1608</v>
      </c>
      <c r="F77" s="2023"/>
      <c r="G77" s="1414" t="s">
        <v>1609</v>
      </c>
      <c r="H77" s="2018" t="str">
        <f>IF(G77="个人买卖住房","免征印花税"," ")</f>
        <v xml:space="preserve"> </v>
      </c>
      <c r="I77" s="1413"/>
      <c r="J77" s="2774"/>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5">
        <f ca="1">ROUND(D45*D78/(1+'数据-取费表'!F30),0)</f>
        <v>8911</v>
      </c>
      <c r="D78" s="2716">
        <f>'数据-取费表'!E31</f>
        <v>6.000000000000001E-3</v>
      </c>
      <c r="E78" s="3431" t="s">
        <v>1611</v>
      </c>
      <c r="F78" s="3432"/>
      <c r="G78" s="3432"/>
      <c r="H78" s="3452"/>
      <c r="I78" s="1415"/>
      <c r="J78" s="277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4.25">
      <c r="A79" s="53" t="s">
        <v>42</v>
      </c>
      <c r="B79" s="54" t="s">
        <v>1612</v>
      </c>
      <c r="C79" s="2707">
        <f ca="1">C72-C73</f>
        <v>1476283</v>
      </c>
      <c r="D79" s="50" t="s">
        <v>41</v>
      </c>
      <c r="E79" s="2016"/>
      <c r="F79" s="2017"/>
      <c r="G79" s="2017"/>
      <c r="H79" s="62"/>
      <c r="I79" s="1413"/>
      <c r="J79" s="2774"/>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7">
        <f ca="1">IF(C79&lt;=0,0,C79/C73)</f>
        <v>165.669734036584</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4"/>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75" thickBot="1">
      <c r="A81" s="55" t="s">
        <v>44</v>
      </c>
      <c r="B81" s="56" t="s">
        <v>1614</v>
      </c>
      <c r="C81" s="2718">
        <f ca="1">ROUND(IF(C79&lt;=0,0,IF(C80&gt;=200%,C79*60%-C73*35%,IF(C80&gt;=100%,C79*50%-C73*15%,IF(C80&gt;=50%,C79*40%-C73*5%,IF(C80&lt;50%,C79*30%,0))))),0)</f>
        <v>882651</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4"/>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3464" t="s">
        <v>1615</v>
      </c>
      <c r="B83" s="3465"/>
      <c r="C83" s="3465"/>
      <c r="D83" s="3465"/>
      <c r="E83" s="3465"/>
      <c r="F83" s="3465"/>
      <c r="G83" s="3465"/>
      <c r="H83" s="3465"/>
      <c r="I83" s="9"/>
      <c r="J83" s="277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4.25">
      <c r="A84" s="3462" t="s">
        <v>1576</v>
      </c>
      <c r="B84" s="3463"/>
      <c r="C84" s="1535"/>
      <c r="D84" s="1535" t="s">
        <v>1577</v>
      </c>
      <c r="E84" s="58" t="s">
        <v>1578</v>
      </c>
      <c r="F84" s="59"/>
      <c r="G84" s="59"/>
      <c r="H84" s="72"/>
      <c r="I84" s="9"/>
      <c r="J84" s="2775"/>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7">
        <f ca="1">ROUND(D45/(1+'数据-取费表'!F30),0)</f>
        <v>1485194</v>
      </c>
      <c r="D85" s="50" t="s">
        <v>41</v>
      </c>
      <c r="E85" s="2016" t="s">
        <v>1598</v>
      </c>
      <c r="F85" s="2017"/>
      <c r="G85" s="2017"/>
      <c r="H85" s="73"/>
      <c r="I85" s="9"/>
      <c r="J85" s="2775"/>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63">
        <v>2</v>
      </c>
      <c r="B86" s="41" t="s">
        <v>1599</v>
      </c>
      <c r="C86" s="2707">
        <f ca="1">IF(H88="仅含出让金",C87+C90+C91+C92+C93+C94,C87+C91+C92+C93+C94)</f>
        <v>8911</v>
      </c>
      <c r="D86" s="2719"/>
      <c r="E86" s="2016"/>
      <c r="F86" s="2017"/>
      <c r="G86" s="2017"/>
      <c r="H86" s="73"/>
      <c r="I86" s="9"/>
      <c r="J86" s="2775"/>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49" t="s">
        <v>73</v>
      </c>
      <c r="B87" s="50" t="s">
        <v>1616</v>
      </c>
      <c r="C87" s="2715">
        <f>C88+C89</f>
        <v>0</v>
      </c>
      <c r="D87" s="2716"/>
      <c r="E87" s="2013"/>
      <c r="F87" s="2014"/>
      <c r="G87" s="2014"/>
      <c r="H87" s="2015"/>
      <c r="I87" s="9"/>
      <c r="J87" s="2775"/>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49" t="s">
        <v>74</v>
      </c>
      <c r="B88" s="50" t="s">
        <v>1617</v>
      </c>
      <c r="C88" s="2720"/>
      <c r="D88" s="2716"/>
      <c r="E88" s="74" t="s">
        <v>1618</v>
      </c>
      <c r="F88" s="2014"/>
      <c r="G88" s="75" t="s">
        <v>1619</v>
      </c>
      <c r="H88" s="1416"/>
      <c r="I88" s="9"/>
      <c r="J88" s="2775"/>
      <c r="K88" s="2891" t="s">
        <v>2577</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75</v>
      </c>
      <c r="B89" s="50" t="s">
        <v>1607</v>
      </c>
      <c r="C89" s="2715">
        <f>ROUND(C88*D89,0)</f>
        <v>0</v>
      </c>
      <c r="D89" s="2716">
        <f>'数据-取费表'!E36+'数据-取费表'!E37</f>
        <v>3.0499999999999999E-2</v>
      </c>
      <c r="E89" s="74" t="s">
        <v>1620</v>
      </c>
      <c r="F89" s="2014"/>
      <c r="G89" s="2014"/>
      <c r="H89" s="2015"/>
      <c r="I89" s="9"/>
      <c r="J89" s="2775"/>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0"/>
      <c r="D90" s="2716"/>
      <c r="E90" s="74" t="str">
        <f>IF(H88="-","土地取得成本中已包含该笔费用"," ")</f>
        <v xml:space="preserve"> </v>
      </c>
      <c r="F90" s="2014"/>
      <c r="G90" s="3471" t="s">
        <v>2493</v>
      </c>
      <c r="H90" s="3471"/>
      <c r="I90" s="9"/>
      <c r="J90" s="2775"/>
      <c r="K90" s="2891" t="s">
        <v>2578</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5">
        <f>IF(H91="——",成本法!C33,I91)</f>
        <v>0</v>
      </c>
      <c r="D91" s="2716"/>
      <c r="E91" s="3431" t="s">
        <v>1623</v>
      </c>
      <c r="F91" s="3432"/>
      <c r="G91" s="3432"/>
      <c r="H91" s="1417" t="s">
        <v>1624</v>
      </c>
      <c r="I91" s="1418"/>
      <c r="J91" s="277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5">
        <f>ROUND((C87+C90+C91)*D92,0)</f>
        <v>0</v>
      </c>
      <c r="D92" s="2759">
        <v>0.1</v>
      </c>
      <c r="E92" s="3431" t="s">
        <v>1626</v>
      </c>
      <c r="F92" s="3432"/>
      <c r="G92" s="3432"/>
      <c r="H92" s="3452"/>
      <c r="I92" s="9"/>
      <c r="J92" s="2775"/>
      <c r="K92" s="2892" t="s">
        <v>2579</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5">
        <f ca="1">ROUND(D45*D93/(1+'数据-取费表'!F30),0)</f>
        <v>8911</v>
      </c>
      <c r="D93" s="2716">
        <f>'数据-取费表'!E31</f>
        <v>6.000000000000001E-3</v>
      </c>
      <c r="E93" s="3431" t="s">
        <v>1611</v>
      </c>
      <c r="F93" s="3432"/>
      <c r="G93" s="3432"/>
      <c r="H93" s="3452"/>
      <c r="I93" s="9"/>
      <c r="J93" s="2775"/>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5">
        <f>ROUND((C87+C90+C91)*D94,0)</f>
        <v>0</v>
      </c>
      <c r="D94" s="2716">
        <v>0.2</v>
      </c>
      <c r="E94" s="3431" t="s">
        <v>1628</v>
      </c>
      <c r="F94" s="3432"/>
      <c r="G94" s="3432"/>
      <c r="H94" s="3452"/>
      <c r="I94" s="9"/>
      <c r="J94" s="2775"/>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4.25">
      <c r="A95" s="53" t="s">
        <v>42</v>
      </c>
      <c r="B95" s="54" t="s">
        <v>1612</v>
      </c>
      <c r="C95" s="2707">
        <f ca="1">ROUND(C85-C86,0)</f>
        <v>1476283</v>
      </c>
      <c r="D95" s="50" t="s">
        <v>41</v>
      </c>
      <c r="E95" s="2016"/>
      <c r="F95" s="2017"/>
      <c r="G95" s="2017"/>
      <c r="H95" s="73"/>
      <c r="I95" s="9"/>
      <c r="J95" s="2775"/>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7">
        <f ca="1">IF(C95&lt;=0,0,C95/C86)</f>
        <v>165.669734036584</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5"/>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75" thickBot="1">
      <c r="A97" s="55" t="s">
        <v>44</v>
      </c>
      <c r="B97" s="56" t="s">
        <v>1614</v>
      </c>
      <c r="C97" s="2718">
        <f ca="1">ROUND(IF(C95&lt;=0,0,IF(C96&gt;=200%,C95*60%-C86*35%,IF(C96&gt;=100%,C95*50%-C86*15%,IF(C96&gt;=50%,C95*40%-C86*5%,IF(C96&lt;50%,C95*30%,0))))),0)</f>
        <v>882651</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5"/>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75">
      <c r="A99" s="3449" t="s">
        <v>1630</v>
      </c>
      <c r="B99" s="3450"/>
      <c r="C99" s="3450"/>
      <c r="D99" s="3451"/>
      <c r="E99" s="1389"/>
      <c r="F99" s="3459" t="s">
        <v>1631</v>
      </c>
      <c r="G99" s="3460"/>
      <c r="H99" s="3460"/>
      <c r="I99" s="3461"/>
      <c r="J99" s="2778"/>
    </row>
    <row r="100" spans="1:36" ht="15">
      <c r="A100" s="3466" t="s">
        <v>1632</v>
      </c>
      <c r="B100" s="3467"/>
      <c r="C100" s="1235" t="str">
        <f>C4</f>
        <v>比较法-办公</v>
      </c>
      <c r="D100" s="2726" t="str">
        <f>D4</f>
        <v>收益法</v>
      </c>
      <c r="E100" s="1389"/>
      <c r="F100" s="3468" t="s">
        <v>2537</v>
      </c>
      <c r="G100" s="3470"/>
      <c r="H100" s="3468" t="s">
        <v>2538</v>
      </c>
      <c r="I100" s="3469"/>
      <c r="J100" s="2779"/>
    </row>
    <row r="101" spans="1:36" ht="12.75">
      <c r="A101" s="3485" t="s">
        <v>2570</v>
      </c>
      <c r="B101" s="2235" t="str">
        <f>IF(H19="元","总价（元）","总价（万元）")</f>
        <v>总价（元）</v>
      </c>
      <c r="C101" s="1235">
        <f ca="1">C19</f>
        <v>1741296</v>
      </c>
      <c r="D101" s="2726">
        <f ca="1">D19</f>
        <v>1135186</v>
      </c>
      <c r="E101" s="1389"/>
      <c r="F101" s="3468" t="str">
        <f>项目基本情况!I1</f>
        <v>北京市房地产</v>
      </c>
      <c r="G101" s="3470"/>
      <c r="H101" s="3472">
        <f>项目基本情况!C12</f>
        <v>73.739999999999995</v>
      </c>
      <c r="I101" s="3469"/>
      <c r="J101" s="2779"/>
    </row>
    <row r="102" spans="1:36" ht="12.75">
      <c r="A102" s="3485"/>
      <c r="B102" s="2235" t="s">
        <v>2571</v>
      </c>
      <c r="C102" s="2727">
        <f ca="1">C20</f>
        <v>23614</v>
      </c>
      <c r="D102" s="2728">
        <f ca="1">D20</f>
        <v>15394</v>
      </c>
      <c r="E102" s="1389"/>
      <c r="F102" s="3455" t="s">
        <v>2567</v>
      </c>
      <c r="G102" s="3456"/>
      <c r="H102" s="2736" t="str">
        <f>C106</f>
        <v>总价（元）</v>
      </c>
      <c r="I102" s="2737">
        <f ca="1">H121</f>
        <v>1559454</v>
      </c>
      <c r="J102" s="2779"/>
    </row>
    <row r="103" spans="1:36" ht="12.75">
      <c r="A103" s="3485" t="s">
        <v>2572</v>
      </c>
      <c r="B103" s="2173" t="str">
        <f>B101</f>
        <v>总价（元）</v>
      </c>
      <c r="C103" s="2731">
        <f ca="1">H121</f>
        <v>1559454</v>
      </c>
      <c r="D103" s="2729"/>
      <c r="E103" s="1389"/>
      <c r="F103" s="3455"/>
      <c r="G103" s="3456"/>
      <c r="H103" s="2736" t="s">
        <v>2540</v>
      </c>
      <c r="I103" s="52">
        <f ca="1">I121</f>
        <v>21148</v>
      </c>
      <c r="J103" s="2763"/>
    </row>
    <row r="104" spans="1:36" ht="13.5" thickBot="1">
      <c r="A104" s="3486"/>
      <c r="B104" s="2733" t="s">
        <v>2571</v>
      </c>
      <c r="C104" s="2734">
        <f ca="1">I121</f>
        <v>21148</v>
      </c>
      <c r="D104" s="2735"/>
      <c r="E104" s="1389"/>
      <c r="F104" s="3455"/>
      <c r="G104" s="3456"/>
      <c r="H104" s="3487"/>
      <c r="I104" s="3488"/>
      <c r="J104" s="2780"/>
    </row>
    <row r="105" spans="1:36" ht="15">
      <c r="A105" s="3449" t="s">
        <v>1633</v>
      </c>
      <c r="B105" s="3450"/>
      <c r="C105" s="3450"/>
      <c r="D105" s="3451"/>
      <c r="E105" s="1389"/>
      <c r="F105" s="3491" t="s">
        <v>2541</v>
      </c>
      <c r="G105" s="3492"/>
      <c r="H105" s="2738" t="str">
        <f>C108</f>
        <v>总额（元）</v>
      </c>
      <c r="I105" s="2737">
        <f>SUMIF(I106:I108,"&lt;9E307")</f>
        <v>0</v>
      </c>
      <c r="J105" s="2779"/>
    </row>
    <row r="106" spans="1:36" ht="14.25">
      <c r="A106" s="3455" t="s">
        <v>2564</v>
      </c>
      <c r="B106" s="3456"/>
      <c r="C106" s="2736" t="str">
        <f>B101</f>
        <v>总价（元）</v>
      </c>
      <c r="D106" s="2737">
        <f ca="1">H121</f>
        <v>1559454</v>
      </c>
      <c r="E106" s="1389"/>
      <c r="F106" s="3457" t="s">
        <v>2542</v>
      </c>
      <c r="G106" s="3458"/>
      <c r="H106" s="2738" t="str">
        <f>C109</f>
        <v>总额（元）</v>
      </c>
      <c r="I106" s="2739">
        <f>IF(D36="同一抵押权人同一抵押物续贷",C36&amp;"（续贷，未扣减，详见特别提示）",C36)</f>
        <v>0</v>
      </c>
      <c r="J106" s="2763"/>
      <c r="L106" s="1392" t="str">
        <f>IF(D123=0,"本次评估不存在"&amp;A123&amp;"。","本次评估"&amp;A123&amp;"为"&amp;D123&amp;"元人民币。")</f>
        <v>本次评估不存在估价师所知悉的法定优先受偿款。</v>
      </c>
      <c r="M106" s="1389"/>
      <c r="N106" s="1389"/>
      <c r="O106" s="1389"/>
      <c r="P106" s="1389"/>
      <c r="Q106" s="1389"/>
    </row>
    <row r="107" spans="1:36" ht="12.75">
      <c r="A107" s="3455"/>
      <c r="B107" s="3456"/>
      <c r="C107" s="2736" t="s">
        <v>2565</v>
      </c>
      <c r="D107" s="52">
        <f ca="1">I121</f>
        <v>21148</v>
      </c>
      <c r="E107" s="1389"/>
      <c r="F107" s="3457" t="s">
        <v>2543</v>
      </c>
      <c r="G107" s="3458"/>
      <c r="H107" s="2738" t="str">
        <f>C110</f>
        <v>总额（元）</v>
      </c>
      <c r="I107" s="52">
        <f>C37</f>
        <v>0</v>
      </c>
      <c r="J107" s="2763"/>
    </row>
    <row r="108" spans="1:36" ht="12.75">
      <c r="A108" s="3526" t="s">
        <v>2541</v>
      </c>
      <c r="B108" s="3527"/>
      <c r="C108" s="2738" t="str">
        <f>IF(H19="元","总额（元）","总额（万元）")</f>
        <v>总额（元）</v>
      </c>
      <c r="D108" s="2737">
        <f>IF(D36="正常操作",I106+I107+I108,I107+I108)</f>
        <v>0</v>
      </c>
      <c r="E108" s="1389"/>
      <c r="F108" s="3457" t="s">
        <v>2568</v>
      </c>
      <c r="G108" s="3458"/>
      <c r="H108" s="2738" t="str">
        <f>C111</f>
        <v>总额（元）</v>
      </c>
      <c r="I108" s="52">
        <f>C38</f>
        <v>0</v>
      </c>
      <c r="J108" s="2763"/>
    </row>
    <row r="109" spans="1:36" ht="12.75">
      <c r="A109" s="3457" t="s">
        <v>2542</v>
      </c>
      <c r="B109" s="3458"/>
      <c r="C109" s="2738" t="str">
        <f>C108</f>
        <v>总额（元）</v>
      </c>
      <c r="D109" s="52">
        <f>IF(D36="同一抵押权人同一抵押物续贷",C36&amp;"（未扣减，详见特别提示）",C36)</f>
        <v>0</v>
      </c>
      <c r="E109" s="1389"/>
      <c r="F109" s="3455"/>
      <c r="G109" s="3456"/>
      <c r="H109" s="3489"/>
      <c r="I109" s="3490"/>
      <c r="J109" s="2781"/>
    </row>
    <row r="110" spans="1:36" ht="28.5" customHeight="1">
      <c r="A110" s="3457" t="s">
        <v>2566</v>
      </c>
      <c r="B110" s="3458"/>
      <c r="C110" s="2738" t="str">
        <f>C108</f>
        <v>总额（元）</v>
      </c>
      <c r="D110" s="52">
        <f>C37</f>
        <v>0</v>
      </c>
      <c r="E110" s="1389"/>
      <c r="F110" s="3438" t="str">
        <f>IF(项目基本情况!F5="已注销","——","3.房地产抵押价值")</f>
        <v>3.房地产抵押价值</v>
      </c>
      <c r="G110" s="3439"/>
      <c r="H110" s="2724" t="str">
        <f>C112</f>
        <v>总价（元）</v>
      </c>
      <c r="I110" s="2737">
        <f ca="1">IF(F110="——","——",I102-I105)</f>
        <v>1559454</v>
      </c>
      <c r="J110" s="2779"/>
    </row>
    <row r="111" spans="1:36" ht="12.75">
      <c r="A111" s="3457" t="s">
        <v>2545</v>
      </c>
      <c r="B111" s="3458"/>
      <c r="C111" s="2738" t="str">
        <f>C108</f>
        <v>总额（元）</v>
      </c>
      <c r="D111" s="52">
        <f>C38</f>
        <v>0</v>
      </c>
      <c r="E111" s="1389"/>
      <c r="F111" s="3440"/>
      <c r="G111" s="3441"/>
      <c r="H111" s="2736" t="s">
        <v>2540</v>
      </c>
      <c r="I111" s="2740">
        <f ca="1">D113</f>
        <v>21148</v>
      </c>
      <c r="J111" s="2782"/>
    </row>
    <row r="112" spans="1:36" ht="26.25" customHeight="1">
      <c r="A112" s="3455" t="str">
        <f>IF(项目基本情况!F5="已注销","——","3.房地产抵押价值")</f>
        <v>3.房地产抵押价值</v>
      </c>
      <c r="B112" s="3456"/>
      <c r="C112" s="2736" t="str">
        <f>B101</f>
        <v>总价（元）</v>
      </c>
      <c r="D112" s="2737">
        <f ca="1">IF(A112="——","——",D106-D108)</f>
        <v>1559454</v>
      </c>
      <c r="E112" s="1389"/>
      <c r="F112" s="3438" t="str">
        <f>IF(项目基本情况!F5="已注销及未注销","4.抵押担保权已注销时的房地产抵押价值",IF(项目基本情况!F5="已注销","3.抵押担保权已注销时的房地产抵押价值","——"))</f>
        <v>——</v>
      </c>
      <c r="G112" s="3439"/>
      <c r="H112" s="2724" t="str">
        <f>C114</f>
        <v>总价（元）</v>
      </c>
      <c r="I112" s="2737" t="str">
        <f>IF(F112="——","——",I102-I107-I108)</f>
        <v>——</v>
      </c>
      <c r="J112" s="2779"/>
    </row>
    <row r="113" spans="1:16" ht="12.75">
      <c r="A113" s="3455"/>
      <c r="B113" s="3456"/>
      <c r="C113" s="2736" t="s">
        <v>2533</v>
      </c>
      <c r="D113" s="52">
        <f ca="1">ROUND(IF(D112=D106,D107,IF(H19="元",D112/项目基本情况!C12,D112*10000/项目基本情况!C12)),0)</f>
        <v>21148</v>
      </c>
      <c r="E113" s="1389"/>
      <c r="F113" s="3440"/>
      <c r="G113" s="3441"/>
      <c r="H113" s="2736" t="s">
        <v>2569</v>
      </c>
      <c r="I113" s="52" t="str">
        <f>D115</f>
        <v>——</v>
      </c>
      <c r="J113" s="2763"/>
    </row>
    <row r="114" spans="1:16" ht="12.75">
      <c r="A114" s="3455" t="str">
        <f>IF(项目基本情况!F5="已注销及未注销","4.抵押担保权已注销时的房地产抵押价值",IF(项目基本情况!F5="已注销","3.抵押担保权已注销时的房地产抵押价值","——"))</f>
        <v>——</v>
      </c>
      <c r="B114" s="3456"/>
      <c r="C114" s="2736" t="str">
        <f>B101</f>
        <v>总价（元）</v>
      </c>
      <c r="D114" s="2737" t="str">
        <f>IF(A114="——","——",D106-D110-D111)</f>
        <v>——</v>
      </c>
      <c r="E114" s="1389"/>
      <c r="F114" s="3438" t="str">
        <f>IF(项目基本情况!G5="抵押净值",IF(OR(项目基本情况!F5="已注销",项目基本情况!F5="房地产抵押价值"),"4.抵押净值","5.抵押净值"),"——")</f>
        <v>——</v>
      </c>
      <c r="G114" s="3439"/>
      <c r="H114" s="2736" t="str">
        <f>C116</f>
        <v>总价（元）</v>
      </c>
      <c r="I114" s="2737" t="str">
        <f>IF(F114="——","——",O59)</f>
        <v>——</v>
      </c>
      <c r="J114" s="2779"/>
    </row>
    <row r="115" spans="1:16" ht="13.5" thickBot="1">
      <c r="A115" s="3455"/>
      <c r="B115" s="3456"/>
      <c r="C115" s="2736" t="s">
        <v>2533</v>
      </c>
      <c r="D115" s="52" t="str">
        <f>IF(A114="——","——",ROUND(IF(D114=D106,D107,IF(H19="元",D114/项目基本情况!C12,D114*10000/项目基本情况!C12)),0))</f>
        <v>——</v>
      </c>
      <c r="E115" s="1389"/>
      <c r="F115" s="3518"/>
      <c r="G115" s="3519"/>
      <c r="H115" s="2741" t="s">
        <v>2533</v>
      </c>
      <c r="I115" s="2725" t="str">
        <f ca="1">D117</f>
        <v>——</v>
      </c>
      <c r="J115" s="2763"/>
    </row>
    <row r="116" spans="1:16" ht="15.75">
      <c r="A116" s="3455" t="str">
        <f>IF(项目基本情况!G5="抵押净值",IF(OR(项目基本情况!F5="已注销",项目基本情况!F5="房地产抵押价值"),"4.抵押净值","5.抵押净值"),"——")</f>
        <v>——</v>
      </c>
      <c r="B116" s="3456"/>
      <c r="C116" s="2736" t="str">
        <f>B101</f>
        <v>总价（元）</v>
      </c>
      <c r="D116" s="2737" t="str">
        <f>IF(A116="——","——",O59)</f>
        <v>——</v>
      </c>
      <c r="E116" s="1389"/>
      <c r="F116" s="3433"/>
      <c r="G116" s="3433"/>
      <c r="H116" s="3474"/>
      <c r="I116" s="3474"/>
      <c r="J116" s="2783"/>
      <c r="O116" s="32"/>
      <c r="P116" s="32"/>
    </row>
    <row r="117" spans="1:16" ht="13.5" thickBot="1">
      <c r="A117" s="3524"/>
      <c r="B117" s="3525"/>
      <c r="C117" s="2741" t="s">
        <v>2533</v>
      </c>
      <c r="D117" s="2725" t="str">
        <f ca="1">IF(D116=D112,D113,IF(A116="——","——",O61))</f>
        <v>——</v>
      </c>
      <c r="E117" s="1389"/>
      <c r="F117" s="3517" t="str">
        <f>IF(B32="总价","（以上估价结果中单价为总价除以建筑面积得出）","（以上估价结果中总价为楼面单价乘以建筑面积得出）")</f>
        <v>（以上估价结果中总价为楼面单价乘以建筑面积得出）</v>
      </c>
      <c r="G117" s="3517"/>
      <c r="H117" s="3517"/>
      <c r="I117" s="3517"/>
      <c r="J117" s="2784"/>
      <c r="O117" s="32"/>
      <c r="P117" s="32"/>
    </row>
    <row r="118" spans="1:16" ht="15">
      <c r="A118" s="3475" t="s">
        <v>1634</v>
      </c>
      <c r="B118" s="3476"/>
      <c r="C118" s="3476"/>
      <c r="D118" s="3476"/>
      <c r="E118" s="3476"/>
      <c r="F118" s="3476"/>
      <c r="G118" s="3476"/>
      <c r="H118" s="3476"/>
      <c r="I118" s="3476"/>
      <c r="J118" s="2785"/>
    </row>
    <row r="119" spans="1:16" ht="12.75">
      <c r="A119" s="3448" t="s">
        <v>2551</v>
      </c>
      <c r="B119" s="3446" t="s">
        <v>2561</v>
      </c>
      <c r="C119" s="3446" t="s">
        <v>2562</v>
      </c>
      <c r="D119" s="3453" t="s">
        <v>2553</v>
      </c>
      <c r="E119" s="3454"/>
      <c r="F119" s="3444" t="s">
        <v>2563</v>
      </c>
      <c r="G119" s="3444"/>
      <c r="H119" s="3444" t="s">
        <v>2554</v>
      </c>
      <c r="I119" s="3445"/>
      <c r="J119" s="2763"/>
    </row>
    <row r="120" spans="1:16" ht="12.75">
      <c r="A120" s="3448"/>
      <c r="B120" s="3447"/>
      <c r="C120" s="3447"/>
      <c r="D120" s="2020" t="s">
        <v>2555</v>
      </c>
      <c r="E120" s="2020" t="s">
        <v>2560</v>
      </c>
      <c r="F120" s="2020" t="s">
        <v>2555</v>
      </c>
      <c r="G120" s="2020" t="s">
        <v>2556</v>
      </c>
      <c r="H120" s="2020" t="s">
        <v>2555</v>
      </c>
      <c r="I120" s="52" t="s">
        <v>2556</v>
      </c>
      <c r="J120" s="2763"/>
    </row>
    <row r="121" spans="1:16" ht="12.75">
      <c r="A121" s="2010" t="str">
        <f>项目基本情况!I1</f>
        <v>北京市房地产</v>
      </c>
      <c r="B121" s="2020">
        <f>项目基本情况!C12</f>
        <v>73.739999999999995</v>
      </c>
      <c r="C121" s="2020">
        <f>项目基本情况!C13</f>
        <v>0</v>
      </c>
      <c r="D121" s="2020">
        <f ca="1">ROUND(IF(B32="总价",C34,IF('数据-取费表'!B3="万元",E121*B121/10000,E121*B121)),0)</f>
        <v>1027714</v>
      </c>
      <c r="E121" s="2020">
        <f ca="1">ROUND(IF(B32="楼面单价",C34,IF(H19="元",D121/B121,D121*10000/B121)),0)</f>
        <v>13937</v>
      </c>
      <c r="F121" s="2020">
        <f ca="1">ROUND(IF(B32="总价",C35,IF('数据-取费表'!B3="万元",G121*B121/10000,G121*B121)),0)</f>
        <v>531739</v>
      </c>
      <c r="G121" s="2020">
        <f ca="1">ROUND(IF(B32="楼面单价",C35,IF(H19="元",F121/B121,F121*10000/B121)),0)</f>
        <v>7211</v>
      </c>
      <c r="H121" s="2020">
        <f ca="1">ROUND(IF(B32="总价",C32,IF('数据-取费表'!B3="万元",I121*B121/10000,I121*B121)),0)</f>
        <v>1559454</v>
      </c>
      <c r="I121" s="52">
        <f ca="1">ROUND(IF(B32="楼面单价",C32,IF(H19="元",H121/B121,H121*10000/B121)),0)</f>
        <v>21148</v>
      </c>
      <c r="J121" s="2763"/>
    </row>
    <row r="122" spans="1:16" ht="12.75">
      <c r="A122" s="3448" t="s">
        <v>2557</v>
      </c>
      <c r="B122" s="3444"/>
      <c r="C122" s="3444"/>
      <c r="D122" s="3479" t="str">
        <f ca="1">IF(H19="元",NUMBERSTRING(INT(D121),2)&amp;"元整",NUMBERSTRING(INT(D121*10000),2)&amp;"元整")</f>
        <v>壹佰零贰万柒仟柒佰壹拾肆元整</v>
      </c>
      <c r="E122" s="3480"/>
      <c r="F122" s="3479" t="str">
        <f ca="1">IF(H19="元",NUMBERSTRING(INT(F121),2)&amp;"元整",NUMBERSTRING(INT(F121*10000),2)&amp;"元整")</f>
        <v>伍拾叁万壹仟柒佰叁拾玖元整</v>
      </c>
      <c r="G122" s="3480"/>
      <c r="H122" s="3479" t="str">
        <f ca="1">IF(H19="元",NUMBERSTRING(INT(H121),2)&amp;"元整",NUMBERSTRING(INT(H121*10000),2)&amp;"元整")</f>
        <v>壹佰伍拾伍万玖仟肆佰伍拾肆元整</v>
      </c>
      <c r="I122" s="3528"/>
      <c r="J122" s="2786"/>
    </row>
    <row r="123" spans="1:16" ht="12.75">
      <c r="A123" s="3468" t="str">
        <f>IF(项目基本情况!D5="房地产市场价值","——",MID(A108,3,LEN(A108)-2))</f>
        <v>估价师所知悉的法定优先受偿款</v>
      </c>
      <c r="B123" s="3481"/>
      <c r="C123" s="3470"/>
      <c r="D123" s="3472">
        <f>I105</f>
        <v>0</v>
      </c>
      <c r="E123" s="3481"/>
      <c r="F123" s="3481"/>
      <c r="G123" s="3481"/>
      <c r="H123" s="3481"/>
      <c r="I123" s="3469"/>
      <c r="J123" s="2779"/>
    </row>
    <row r="124" spans="1:16" ht="12.75">
      <c r="A124" s="3482" t="s">
        <v>2557</v>
      </c>
      <c r="B124" s="3483"/>
      <c r="C124" s="3484"/>
      <c r="D124" s="3520">
        <f>H109</f>
        <v>0</v>
      </c>
      <c r="E124" s="3521"/>
      <c r="F124" s="3521"/>
      <c r="G124" s="3521"/>
      <c r="H124" s="3521"/>
      <c r="I124" s="3522"/>
      <c r="J124" s="2787"/>
    </row>
    <row r="125" spans="1:16" ht="12.75">
      <c r="A125" s="3455" t="str">
        <f>IF(项目基本情况!D5="房地产市场价值","——",MID(A112,3,LEN(A112)-2))</f>
        <v>房地产抵押价值</v>
      </c>
      <c r="B125" s="3456"/>
      <c r="C125" s="3456"/>
      <c r="D125" s="3472">
        <f ca="1">I110</f>
        <v>1559454</v>
      </c>
      <c r="E125" s="3481"/>
      <c r="F125" s="3481"/>
      <c r="G125" s="3481"/>
      <c r="H125" s="3481"/>
      <c r="I125" s="3469"/>
      <c r="J125" s="2779"/>
    </row>
    <row r="126" spans="1:16" ht="12.75">
      <c r="A126" s="3448" t="s">
        <v>2557</v>
      </c>
      <c r="B126" s="3444"/>
      <c r="C126" s="3444"/>
      <c r="D126" s="3520">
        <f ca="1">I111</f>
        <v>21148</v>
      </c>
      <c r="E126" s="3521"/>
      <c r="F126" s="3521"/>
      <c r="G126" s="3521"/>
      <c r="H126" s="3521"/>
      <c r="I126" s="3522"/>
      <c r="J126" s="2787"/>
    </row>
    <row r="127" spans="1:16" ht="13.5" thickBot="1">
      <c r="A127" s="3455" t="str">
        <f>IF(项目基本情况!D5="房地产市场价值","——",MID(A114,3,LEN(A114)-2))</f>
        <v/>
      </c>
      <c r="B127" s="3456"/>
      <c r="C127" s="3456"/>
      <c r="D127" s="3428" t="str">
        <f>I112</f>
        <v>——</v>
      </c>
      <c r="E127" s="3429"/>
      <c r="F127" s="3429"/>
      <c r="G127" s="3429"/>
      <c r="H127" s="3429"/>
      <c r="I127" s="3430"/>
      <c r="J127" s="2779"/>
    </row>
    <row r="128" spans="1:16" ht="14.25" thickTop="1" thickBot="1">
      <c r="A128" s="3448" t="s">
        <v>2557</v>
      </c>
      <c r="B128" s="3444"/>
      <c r="C128" s="3495"/>
      <c r="D128" s="3473" t="str">
        <f>I113</f>
        <v>——</v>
      </c>
      <c r="E128" s="3473"/>
      <c r="F128" s="3473"/>
      <c r="G128" s="3473"/>
      <c r="H128" s="3473"/>
      <c r="I128" s="3473"/>
      <c r="J128" s="2787"/>
    </row>
    <row r="129" spans="1:10" ht="14.25" thickTop="1" thickBot="1">
      <c r="A129" s="3455" t="str">
        <f>IF(项目基本情况!D5="房地产市场价值","——",MID(F114,3,LEN(F114)-2))</f>
        <v/>
      </c>
      <c r="B129" s="3456"/>
      <c r="C129" s="3472"/>
      <c r="D129" s="3523" t="str">
        <f>I114</f>
        <v>——</v>
      </c>
      <c r="E129" s="3523"/>
      <c r="F129" s="3523"/>
      <c r="G129" s="3523"/>
      <c r="H129" s="3523"/>
      <c r="I129" s="3523"/>
      <c r="J129" s="2779"/>
    </row>
    <row r="130" spans="1:10" ht="14.25" thickTop="1" thickBot="1">
      <c r="A130" s="3511" t="s">
        <v>2557</v>
      </c>
      <c r="B130" s="3512"/>
      <c r="C130" s="3512"/>
      <c r="D130" s="3529">
        <f>H116</f>
        <v>0</v>
      </c>
      <c r="E130" s="3530"/>
      <c r="F130" s="3530"/>
      <c r="G130" s="3530"/>
      <c r="H130" s="3530"/>
      <c r="I130" s="3531"/>
      <c r="J130" s="2787"/>
    </row>
    <row r="131" spans="1:10" ht="12.75">
      <c r="A131" s="1409" t="str">
        <f>IF(H19="元","单位：平方米、元、元/平方米（币种：人民币）","单位：平方米、万元、元/平方米（币种：人民币）")</f>
        <v>单位：平方米、元、元/平方米（币种：人民币）</v>
      </c>
      <c r="B131" s="1409"/>
      <c r="C131" s="1409"/>
      <c r="D131" s="1409"/>
      <c r="E131" s="1409"/>
      <c r="F131" s="1409"/>
      <c r="G131" s="1409"/>
      <c r="H131" s="1409"/>
      <c r="I131" s="1409"/>
      <c r="J131" s="2788"/>
    </row>
    <row r="132" spans="1:10" ht="13.5" thickBot="1">
      <c r="A132" s="3516" t="str">
        <f>IF(B32="总价","（以上估价结果中楼面单价为总价除以建筑面积得出）","（以上估价结果中总价为楼面单价乘以建筑面积得出）")</f>
        <v>（以上估价结果中总价为楼面单价乘以建筑面积得出）</v>
      </c>
      <c r="B132" s="3516"/>
      <c r="C132" s="3516"/>
      <c r="D132" s="3516"/>
      <c r="E132" s="3516"/>
      <c r="F132" s="3516"/>
      <c r="G132" s="3516"/>
      <c r="H132" s="3516"/>
      <c r="I132" s="3516"/>
      <c r="J132" s="2781"/>
    </row>
    <row r="133" spans="1:10" ht="21.75" customHeight="1">
      <c r="A133" s="1419" t="s">
        <v>1635</v>
      </c>
      <c r="B133" s="1420"/>
      <c r="C133" s="1421" t="s">
        <v>1636</v>
      </c>
      <c r="D133" s="1422"/>
      <c r="E133" s="1422"/>
      <c r="F133" s="1422"/>
      <c r="G133" s="1422"/>
      <c r="H133" s="1423"/>
      <c r="I133" s="1424"/>
      <c r="J133" s="2789"/>
    </row>
    <row r="134" spans="1:10" ht="21.75" customHeight="1">
      <c r="A134" s="1425">
        <v>1</v>
      </c>
      <c r="B134" s="1426"/>
      <c r="C134" s="1426"/>
      <c r="D134" s="1422"/>
      <c r="E134" s="1422"/>
      <c r="F134" s="1422"/>
      <c r="G134" s="1422"/>
      <c r="H134" s="1423"/>
      <c r="I134" s="1424"/>
      <c r="J134" s="2789"/>
    </row>
    <row r="135" spans="1:10" ht="21.75" customHeight="1">
      <c r="A135" s="1425">
        <v>2</v>
      </c>
      <c r="B135" s="1426"/>
      <c r="C135" s="1426"/>
      <c r="D135" s="1422"/>
      <c r="E135" s="1422"/>
      <c r="F135" s="1422"/>
      <c r="G135" s="1422"/>
      <c r="H135" s="1423"/>
      <c r="I135" s="1424"/>
      <c r="J135" s="2789"/>
    </row>
    <row r="136" spans="1:10" ht="21.75" customHeight="1">
      <c r="A136" s="1425">
        <v>3</v>
      </c>
      <c r="B136" s="1426"/>
      <c r="C136" s="1426"/>
      <c r="D136" s="1422"/>
      <c r="E136" s="1422"/>
      <c r="F136" s="32"/>
      <c r="G136" s="32"/>
      <c r="H136" s="32"/>
      <c r="I136" s="32"/>
      <c r="J136" s="2790"/>
    </row>
    <row r="137" spans="1:10" ht="21.75" customHeight="1">
      <c r="A137" s="1427"/>
      <c r="B137" s="1428"/>
      <c r="C137" s="1428"/>
      <c r="D137" s="1429"/>
      <c r="E137" s="1429"/>
      <c r="F137" s="1429"/>
      <c r="G137" s="1429"/>
      <c r="H137" s="1430"/>
      <c r="I137" s="1431"/>
      <c r="J137" s="2789"/>
    </row>
    <row r="138" spans="1:10" ht="21.75" customHeight="1">
      <c r="A138" s="1426"/>
      <c r="B138" s="1426"/>
      <c r="C138" s="1426"/>
      <c r="D138" s="1422"/>
      <c r="E138" s="1422"/>
      <c r="F138" s="1422"/>
      <c r="G138" s="1422"/>
      <c r="H138" s="1423"/>
      <c r="I138" s="659"/>
      <c r="J138" s="2790"/>
    </row>
    <row r="139" spans="1:10" ht="21.75" customHeight="1">
      <c r="A139" s="659"/>
      <c r="B139" s="659"/>
      <c r="C139" s="659"/>
      <c r="D139" s="659"/>
      <c r="E139" s="659"/>
      <c r="F139" s="1432" t="s">
        <v>1637</v>
      </c>
      <c r="G139" s="1433"/>
      <c r="H139" s="1433"/>
      <c r="I139" s="1434" t="s">
        <v>1638</v>
      </c>
      <c r="J139" s="2791"/>
    </row>
    <row r="140" spans="1:10" ht="21.75" customHeight="1">
      <c r="A140" s="659"/>
      <c r="B140" s="1435" t="s">
        <v>1639</v>
      </c>
      <c r="C140" s="659"/>
      <c r="D140" s="659"/>
      <c r="E140" s="659"/>
      <c r="F140" s="659"/>
      <c r="G140" s="659"/>
      <c r="H140" s="659"/>
      <c r="I140" s="659"/>
      <c r="J140" s="2790"/>
    </row>
    <row r="141" spans="1:10" ht="21.75" customHeight="1">
      <c r="A141" s="659"/>
      <c r="B141" s="659"/>
      <c r="C141" s="659"/>
      <c r="D141" s="659"/>
      <c r="E141" s="659"/>
      <c r="F141" s="659"/>
      <c r="G141" s="659"/>
      <c r="H141" s="659"/>
      <c r="I141" s="659"/>
      <c r="J141" s="2790"/>
    </row>
    <row r="142" spans="1:10" ht="21.75" customHeight="1">
      <c r="A142" s="659"/>
      <c r="B142" s="1433"/>
      <c r="C142" s="1433"/>
      <c r="D142" s="1433"/>
      <c r="E142" s="1433"/>
      <c r="F142" s="1433"/>
      <c r="G142" s="1433"/>
      <c r="H142" s="1433"/>
      <c r="I142" s="1434" t="s">
        <v>1640</v>
      </c>
      <c r="J142" s="2791"/>
    </row>
    <row r="143" spans="1:10" ht="21.75" customHeight="1">
      <c r="A143" s="659"/>
      <c r="B143" s="1435" t="s">
        <v>1641</v>
      </c>
      <c r="C143" s="659"/>
      <c r="D143" s="659"/>
      <c r="E143" s="659"/>
      <c r="F143" s="659"/>
      <c r="G143" s="659"/>
      <c r="H143" s="659"/>
      <c r="I143" s="659"/>
      <c r="J143" s="2790"/>
    </row>
    <row r="144" spans="1:10" ht="21.75" customHeight="1">
      <c r="A144" s="659"/>
      <c r="B144" s="1435"/>
      <c r="C144" s="659"/>
      <c r="D144" s="659"/>
      <c r="E144" s="659"/>
      <c r="F144" s="659"/>
      <c r="G144" s="659"/>
      <c r="H144" s="659"/>
      <c r="I144" s="659"/>
      <c r="J144" s="2790"/>
    </row>
    <row r="145" spans="1:36" ht="21.75" customHeight="1">
      <c r="A145" s="659"/>
      <c r="B145" s="1433"/>
      <c r="C145" s="1433"/>
      <c r="D145" s="1433"/>
      <c r="E145" s="1433"/>
      <c r="F145" s="1433"/>
      <c r="G145" s="1433"/>
      <c r="H145" s="1433"/>
      <c r="I145" s="1434" t="s">
        <v>1640</v>
      </c>
      <c r="J145" s="2791"/>
    </row>
    <row r="146" spans="1:36" ht="21.75" customHeight="1">
      <c r="A146" s="659"/>
      <c r="B146" s="1435"/>
      <c r="C146" s="1436"/>
      <c r="D146" s="1437"/>
      <c r="E146" s="1437"/>
      <c r="F146" s="1438"/>
      <c r="G146" s="659"/>
      <c r="H146" s="659"/>
      <c r="I146" s="659"/>
      <c r="J146" s="2790"/>
    </row>
    <row r="147" spans="1:36" s="32" customFormat="1" ht="21.75" customHeight="1">
      <c r="A147" s="659"/>
      <c r="B147" s="1435"/>
      <c r="C147" s="1436"/>
      <c r="D147" s="1437"/>
      <c r="E147" s="1437"/>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0"/>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0"/>
    </row>
    <row r="151" spans="1:36" s="659" customFormat="1" ht="21.75" customHeight="1">
      <c r="J151" s="2790"/>
    </row>
    <row r="152" spans="1:36" s="659" customFormat="1" ht="21.75" customHeight="1">
      <c r="J152" s="2790"/>
    </row>
    <row r="153" spans="1:36" s="659" customFormat="1" ht="21.75" customHeight="1">
      <c r="J153" s="2790"/>
    </row>
    <row r="154" spans="1:36" s="659" customFormat="1" ht="21.75" customHeight="1">
      <c r="J154" s="2790"/>
    </row>
    <row r="155" spans="1:36" s="659" customFormat="1" ht="21.75" customHeight="1">
      <c r="J155" s="2790"/>
    </row>
    <row r="156" spans="1:36" s="659" customFormat="1" ht="21.75" customHeight="1">
      <c r="J156" s="2790"/>
    </row>
    <row r="157" spans="1:36" s="659" customFormat="1" ht="21.75" customHeight="1">
      <c r="J157" s="2790"/>
    </row>
    <row r="158" spans="1:36" s="659" customFormat="1" ht="21.75" customHeight="1">
      <c r="J158" s="2790"/>
    </row>
    <row r="159" spans="1:36" s="659" customFormat="1" ht="21.75" customHeight="1">
      <c r="J159" s="2790"/>
    </row>
    <row r="160" spans="1:36"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10" s="659" customFormat="1" ht="21.75" customHeight="1">
      <c r="J369" s="2790"/>
    </row>
    <row r="370" spans="10:10" s="659" customFormat="1" ht="21.75" customHeight="1">
      <c r="J370" s="2790"/>
    </row>
    <row r="371" spans="10:10" s="659" customFormat="1" ht="21.75" customHeight="1">
      <c r="J371" s="2790"/>
    </row>
    <row r="372" spans="10:10" s="659" customFormat="1" ht="21.75" customHeight="1">
      <c r="J372" s="2790"/>
    </row>
    <row r="373" spans="10:10" s="659" customFormat="1" ht="21.75" customHeight="1">
      <c r="J373" s="2790"/>
    </row>
    <row r="374" spans="10:10" s="659" customFormat="1" ht="21.75" customHeight="1">
      <c r="J374" s="2790"/>
    </row>
    <row r="375" spans="10:10" s="659" customFormat="1" ht="21.75" customHeight="1">
      <c r="J375" s="2790"/>
    </row>
    <row r="376" spans="10:10" s="659" customFormat="1" ht="21.75" customHeight="1">
      <c r="J376" s="2790"/>
    </row>
    <row r="377" spans="10:10" s="659" customFormat="1" ht="21.75" customHeight="1">
      <c r="J377" s="2790"/>
    </row>
    <row r="378" spans="10:10" s="659" customFormat="1" ht="21.75" customHeight="1">
      <c r="J378" s="2790"/>
    </row>
    <row r="379" spans="10:10" s="659" customFormat="1" ht="21.75" customHeight="1">
      <c r="J379" s="2790"/>
    </row>
    <row r="380" spans="10:10" s="659" customFormat="1" ht="21.75" customHeight="1">
      <c r="J380" s="2790"/>
    </row>
    <row r="381" spans="10:10" s="659" customFormat="1" ht="21.75" customHeight="1">
      <c r="J381" s="2790"/>
    </row>
    <row r="382" spans="10:10" s="659" customFormat="1" ht="21.75" customHeight="1">
      <c r="J382" s="2790"/>
    </row>
    <row r="383" spans="10:10" s="659" customFormat="1" ht="21.75" customHeight="1">
      <c r="J383" s="2790"/>
    </row>
    <row r="384" spans="10:10" s="659" customFormat="1" ht="21.75" customHeight="1">
      <c r="J384" s="2790"/>
    </row>
    <row r="385" spans="10:10" s="659" customFormat="1" ht="21.75" customHeight="1">
      <c r="J385" s="2790"/>
    </row>
    <row r="386" spans="10:10" s="659" customFormat="1" ht="21.75" customHeight="1">
      <c r="J386" s="2790"/>
    </row>
    <row r="387" spans="10:10" s="659" customFormat="1" ht="21.75" customHeight="1">
      <c r="J387" s="2790"/>
    </row>
    <row r="388" spans="10:10" s="659" customFormat="1" ht="21.75" customHeight="1">
      <c r="J388" s="2790"/>
    </row>
    <row r="389" spans="10:10" s="659" customFormat="1" ht="21.75" customHeight="1">
      <c r="J389" s="2790"/>
    </row>
    <row r="390" spans="10:10" s="659" customFormat="1" ht="21.75" customHeight="1">
      <c r="J390" s="2790"/>
    </row>
    <row r="391" spans="10:10" s="659" customFormat="1" ht="21.75" customHeight="1">
      <c r="J391" s="2790"/>
    </row>
    <row r="392" spans="10:10" s="659" customFormat="1" ht="21.75" customHeight="1">
      <c r="J392" s="2790"/>
    </row>
    <row r="393" spans="10:10" s="659" customFormat="1" ht="21.75" customHeight="1">
      <c r="J393" s="2790"/>
    </row>
    <row r="394" spans="10:10" s="659" customFormat="1" ht="21.75" customHeight="1">
      <c r="J394" s="2790"/>
    </row>
    <row r="395" spans="10:10" s="659" customFormat="1" ht="21.75" customHeight="1">
      <c r="J395" s="2790"/>
    </row>
    <row r="396" spans="10:10" s="659" customFormat="1" ht="21.75" customHeight="1">
      <c r="J396" s="2790"/>
    </row>
    <row r="397" spans="10:10" s="659" customFormat="1" ht="21.75" customHeight="1">
      <c r="J397" s="2790"/>
    </row>
    <row r="398" spans="10:10" s="659" customFormat="1" ht="21.75" customHeight="1">
      <c r="J398" s="2790"/>
    </row>
    <row r="399" spans="10:10" s="659" customFormat="1" ht="21.75" customHeight="1">
      <c r="J399" s="2790"/>
    </row>
    <row r="400" spans="10:10" s="659" customFormat="1" ht="21.75" customHeight="1">
      <c r="J400" s="2790"/>
    </row>
    <row r="401" spans="10:27" s="659" customFormat="1" ht="21.75" customHeight="1">
      <c r="J401" s="2790"/>
    </row>
    <row r="402" spans="10:27" s="659" customFormat="1" ht="21.75" customHeight="1">
      <c r="J402" s="2790"/>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0"/>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C6" zoomScale="85" zoomScaleNormal="100" zoomScaleSheetLayoutView="85" zoomScalePageLayoutView="80" workbookViewId="0">
      <selection activeCell="F47" sqref="F47"/>
    </sheetView>
  </sheetViews>
  <sheetFormatPr defaultColWidth="12.625" defaultRowHeight="21.75" customHeight="1"/>
  <cols>
    <col min="1" max="1" width="12.625" style="1390"/>
    <col min="2" max="2" width="17.625" style="1390" customWidth="1"/>
    <col min="3" max="4" width="12.625" style="1390" customWidth="1"/>
    <col min="5" max="9" width="12.625" style="1390"/>
    <col min="10" max="10" width="4.1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1642</v>
      </c>
      <c r="B1" s="1389"/>
      <c r="C1" s="1389"/>
      <c r="D1" s="1389"/>
      <c r="E1" s="1389"/>
      <c r="F1" s="1389"/>
      <c r="G1" s="1389"/>
      <c r="H1" s="1389"/>
      <c r="I1" s="1389"/>
    </row>
    <row r="2" spans="1:15" ht="21.75" customHeight="1">
      <c r="A2" s="3538" t="s">
        <v>1643</v>
      </c>
      <c r="B2" s="3538"/>
      <c r="C2" s="3538"/>
      <c r="D2" s="3538"/>
      <c r="E2" s="3538"/>
      <c r="F2" s="3538"/>
      <c r="G2" s="3538"/>
      <c r="H2" s="3538"/>
      <c r="I2" s="3538"/>
      <c r="J2" s="2792"/>
    </row>
    <row r="3" spans="1:15" ht="12.75">
      <c r="A3" s="3498" t="s">
        <v>1471</v>
      </c>
      <c r="B3" s="3499"/>
      <c r="C3" s="3499"/>
      <c r="D3" s="3499"/>
      <c r="E3" s="3499"/>
      <c r="F3" s="3499"/>
      <c r="G3" s="3499"/>
      <c r="H3" s="3499"/>
      <c r="I3" s="3499"/>
      <c r="J3" s="2762"/>
    </row>
    <row r="4" spans="1:15" ht="14.25">
      <c r="A4" s="2630" t="s">
        <v>1472</v>
      </c>
      <c r="B4" s="2630" t="s">
        <v>1473</v>
      </c>
      <c r="C4" s="2631"/>
      <c r="D4" s="2631"/>
      <c r="E4" s="3495" t="s">
        <v>1644</v>
      </c>
      <c r="F4" s="3483"/>
      <c r="G4" s="3483"/>
      <c r="H4" s="3483"/>
      <c r="I4" s="3484"/>
      <c r="J4" s="2763"/>
      <c r="L4" s="138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9"/>
      <c r="O4" s="1389"/>
    </row>
    <row r="5" spans="1:15" ht="12.75">
      <c r="A5" s="3494" t="s">
        <v>1475</v>
      </c>
      <c r="B5" s="3494">
        <v>25</v>
      </c>
      <c r="C5" s="3500"/>
      <c r="D5" s="3497"/>
      <c r="E5" s="12" t="s">
        <v>1476</v>
      </c>
      <c r="F5" s="2017"/>
      <c r="G5" s="2017"/>
      <c r="H5" s="2017"/>
      <c r="I5" s="2012"/>
      <c r="J5" s="2763"/>
    </row>
    <row r="6" spans="1:15" ht="12.75">
      <c r="A6" s="3494"/>
      <c r="B6" s="3494"/>
      <c r="C6" s="3501"/>
      <c r="D6" s="3497"/>
      <c r="E6" s="12" t="s">
        <v>1477</v>
      </c>
      <c r="F6" s="2017"/>
      <c r="G6" s="2017"/>
      <c r="H6" s="2017"/>
      <c r="I6" s="2012"/>
      <c r="J6" s="2763"/>
    </row>
    <row r="7" spans="1:15" ht="12.75">
      <c r="A7" s="3494"/>
      <c r="B7" s="3494"/>
      <c r="C7" s="3502"/>
      <c r="D7" s="3497"/>
      <c r="E7" s="12" t="s">
        <v>1478</v>
      </c>
      <c r="F7" s="2017"/>
      <c r="G7" s="2017"/>
      <c r="H7" s="2017"/>
      <c r="I7" s="2012"/>
      <c r="J7" s="2763"/>
    </row>
    <row r="8" spans="1:15" ht="12.75">
      <c r="A8" s="3494" t="s">
        <v>1479</v>
      </c>
      <c r="B8" s="3494">
        <v>15</v>
      </c>
      <c r="C8" s="3500"/>
      <c r="D8" s="3497"/>
      <c r="E8" s="12" t="s">
        <v>1480</v>
      </c>
      <c r="F8" s="2017"/>
      <c r="G8" s="2017"/>
      <c r="H8" s="2017"/>
      <c r="I8" s="2012"/>
      <c r="J8" s="2763"/>
    </row>
    <row r="9" spans="1:15" ht="12.75">
      <c r="A9" s="3494"/>
      <c r="B9" s="3494"/>
      <c r="C9" s="3502"/>
      <c r="D9" s="3497"/>
      <c r="E9" s="12" t="s">
        <v>1481</v>
      </c>
      <c r="F9" s="2017"/>
      <c r="G9" s="2017"/>
      <c r="H9" s="2017"/>
      <c r="I9" s="2012"/>
      <c r="J9" s="2763"/>
    </row>
    <row r="10" spans="1:15" ht="12.75">
      <c r="A10" s="3494" t="s">
        <v>1482</v>
      </c>
      <c r="B10" s="3494">
        <v>15</v>
      </c>
      <c r="C10" s="3500"/>
      <c r="D10" s="3497"/>
      <c r="E10" s="12" t="s">
        <v>1483</v>
      </c>
      <c r="F10" s="2017"/>
      <c r="G10" s="2017"/>
      <c r="H10" s="2017"/>
      <c r="I10" s="2012"/>
      <c r="J10" s="2763"/>
    </row>
    <row r="11" spans="1:15" ht="12.75">
      <c r="A11" s="3494"/>
      <c r="B11" s="3494"/>
      <c r="C11" s="3502"/>
      <c r="D11" s="3497"/>
      <c r="E11" s="12" t="s">
        <v>1484</v>
      </c>
      <c r="F11" s="2017"/>
      <c r="G11" s="2017"/>
      <c r="H11" s="2017"/>
      <c r="I11" s="2012"/>
      <c r="J11" s="2763"/>
    </row>
    <row r="12" spans="1:15" ht="12.75">
      <c r="A12" s="3494" t="s">
        <v>1485</v>
      </c>
      <c r="B12" s="3494">
        <v>15</v>
      </c>
      <c r="C12" s="3500"/>
      <c r="D12" s="3497"/>
      <c r="E12" s="12" t="s">
        <v>1486</v>
      </c>
      <c r="F12" s="2017"/>
      <c r="G12" s="2017"/>
      <c r="H12" s="2017"/>
      <c r="I12" s="2012"/>
      <c r="J12" s="2763"/>
    </row>
    <row r="13" spans="1:15" ht="12.75">
      <c r="A13" s="3494"/>
      <c r="B13" s="3494"/>
      <c r="C13" s="3502"/>
      <c r="D13" s="3497"/>
      <c r="E13" s="12" t="s">
        <v>1487</v>
      </c>
      <c r="F13" s="2017"/>
      <c r="G13" s="2017"/>
      <c r="H13" s="2017"/>
      <c r="I13" s="2012"/>
      <c r="J13" s="2763"/>
    </row>
    <row r="14" spans="1:15" ht="12.75">
      <c r="A14" s="3494" t="s">
        <v>1488</v>
      </c>
      <c r="B14" s="3494">
        <v>30</v>
      </c>
      <c r="C14" s="3500"/>
      <c r="D14" s="3497"/>
      <c r="E14" s="12" t="s">
        <v>1489</v>
      </c>
      <c r="F14" s="2017"/>
      <c r="G14" s="2017"/>
      <c r="H14" s="2017"/>
      <c r="I14" s="2012"/>
      <c r="J14" s="2763"/>
    </row>
    <row r="15" spans="1:15" ht="12.75">
      <c r="A15" s="3494"/>
      <c r="B15" s="3494"/>
      <c r="C15" s="3501"/>
      <c r="D15" s="3497"/>
      <c r="E15" s="12" t="s">
        <v>1490</v>
      </c>
      <c r="F15" s="2017"/>
      <c r="G15" s="2017"/>
      <c r="H15" s="2017"/>
      <c r="I15" s="2012"/>
      <c r="J15" s="2763"/>
    </row>
    <row r="16" spans="1:15" ht="12.75">
      <c r="A16" s="3494"/>
      <c r="B16" s="3494"/>
      <c r="C16" s="3502"/>
      <c r="D16" s="3497"/>
      <c r="E16" s="12" t="s">
        <v>1491</v>
      </c>
      <c r="F16" s="2017"/>
      <c r="G16" s="2017"/>
      <c r="H16" s="2017"/>
      <c r="I16" s="2012"/>
      <c r="J16" s="2763"/>
    </row>
    <row r="17" spans="1:36" ht="15">
      <c r="A17" s="2632" t="s">
        <v>1492</v>
      </c>
      <c r="B17" s="2022"/>
      <c r="C17" s="2633">
        <f>SUM(C5:C16)</f>
        <v>0</v>
      </c>
      <c r="D17" s="2633">
        <f>SUM(D5:D16)</f>
        <v>0</v>
      </c>
      <c r="E17" s="2481"/>
      <c r="F17" s="2481"/>
      <c r="G17" s="2481"/>
      <c r="H17" s="2481"/>
      <c r="I17" s="2481"/>
      <c r="J17" s="2764"/>
    </row>
    <row r="18" spans="1:36" ht="32.450000000000003" customHeight="1" thickBot="1">
      <c r="A18" s="2634" t="s">
        <v>1493</v>
      </c>
      <c r="B18" s="2635"/>
      <c r="C18" s="2636" t="e">
        <f>ROUND(C17/SUM(C17:D17),2)</f>
        <v>#DIV/0!</v>
      </c>
      <c r="D18" s="2636" t="e">
        <f>1-C18</f>
        <v>#DIV/0!</v>
      </c>
      <c r="E18" s="3514" t="s">
        <v>2576</v>
      </c>
      <c r="F18" s="3515"/>
      <c r="G18" s="3515"/>
      <c r="H18" s="3515"/>
      <c r="I18" s="3515"/>
      <c r="J18" s="2764"/>
    </row>
    <row r="19" spans="1:36" ht="15">
      <c r="A19" s="2637" t="s">
        <v>1494</v>
      </c>
      <c r="B19" s="2638" t="s">
        <v>1495</v>
      </c>
      <c r="C19" s="2639" t="e">
        <f ca="1">SUMIF(INDIRECT("'"&amp;C4&amp;"'"&amp;"!A:A"),'结果表 (1修多)'!B19,INDIRECT("'"&amp;C4&amp;"'"&amp;"!B:B"))</f>
        <v>#REF!</v>
      </c>
      <c r="D19" s="2640" t="e">
        <f ca="1">SUMIF(INDIRECT("'"&amp;D4&amp;"'"&amp;"!A:A"),'结果表 (1修多)'!B19,INDIRECT("'"&amp;D4&amp;"'"&amp;"!B:B"))</f>
        <v>#REF!</v>
      </c>
      <c r="E19" s="2637" t="s">
        <v>1496</v>
      </c>
      <c r="F19" s="2638" t="s">
        <v>1495</v>
      </c>
      <c r="G19" s="2641" t="e">
        <f ca="1">ROUND(C19*$C$18+D19*$D$18,0)</f>
        <v>#REF!</v>
      </c>
      <c r="H19" s="2642" t="str">
        <f>'数据-取费表'!B3</f>
        <v>元</v>
      </c>
      <c r="I19" s="2481"/>
      <c r="J19" s="2764"/>
    </row>
    <row r="20" spans="1:36" ht="15">
      <c r="A20" s="2643"/>
      <c r="B20" s="1622" t="s">
        <v>1497</v>
      </c>
      <c r="C20" s="1847" t="e">
        <f ca="1">SUMIF(INDIRECT("'"&amp;C4&amp;"'"&amp;"!A:A"),'结果表 (1修多)'!B20,INDIRECT("'"&amp;C4&amp;"'"&amp;"!B:B"))</f>
        <v>#REF!</v>
      </c>
      <c r="D20" s="1850" t="e">
        <f ca="1">SUMIF(INDIRECT("'"&amp;D4&amp;"'"&amp;"!A:A"),'结果表 (1修多)'!B20,INDIRECT("'"&amp;D4&amp;"'"&amp;"!B:B"))</f>
        <v>#REF!</v>
      </c>
      <c r="E20" s="2643"/>
      <c r="F20" s="1622" t="s">
        <v>1497</v>
      </c>
      <c r="G20" s="2021" t="e">
        <f ca="1">ROUND(C20*$C$18+D20*$D$18,0)</f>
        <v>#REF!</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t="e">
        <f ca="1">IF(C19&lt;D19,D19/C19-1,C19/D19-1)</f>
        <v>#REF!</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503" t="s">
        <v>1500</v>
      </c>
      <c r="B24" s="2638" t="s">
        <v>1495</v>
      </c>
      <c r="C24" s="2641">
        <f>D30</f>
        <v>0</v>
      </c>
      <c r="D24" s="2593"/>
      <c r="E24" s="905"/>
      <c r="F24" s="905"/>
      <c r="G24" s="905"/>
      <c r="H24" s="905"/>
      <c r="I24" s="905"/>
      <c r="J24" s="2764"/>
    </row>
    <row r="25" spans="1:36" ht="21.75" customHeight="1">
      <c r="A25" s="3504"/>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t="s">
        <v>1645</v>
      </c>
      <c r="B27" s="2656">
        <v>0</v>
      </c>
      <c r="C27" s="2656">
        <v>0</v>
      </c>
      <c r="D27" s="2657">
        <f>ROUND(C27*B27/10000,0)</f>
        <v>0</v>
      </c>
      <c r="E27" s="905"/>
      <c r="F27" s="905"/>
      <c r="G27" s="905"/>
      <c r="H27" s="905"/>
      <c r="I27" s="905"/>
      <c r="J27" s="2764"/>
    </row>
    <row r="28" spans="1:36" ht="14.25">
      <c r="A28" s="2655"/>
      <c r="B28" s="2656"/>
      <c r="C28" s="2656"/>
      <c r="D28" s="2657">
        <f>ROUND(C28*B28/10000,0)</f>
        <v>0</v>
      </c>
      <c r="E28" s="905"/>
      <c r="F28" s="905"/>
      <c r="G28" s="905"/>
      <c r="H28" s="905"/>
      <c r="I28" s="905"/>
      <c r="J28" s="2764"/>
    </row>
    <row r="29" spans="1:36" ht="14.25">
      <c r="A29" s="2655"/>
      <c r="B29" s="2656"/>
      <c r="C29" s="2656"/>
      <c r="D29" s="2657">
        <f t="shared" ref="D29" si="0">ROUND(C29*B29/10000,0)</f>
        <v>0</v>
      </c>
      <c r="E29" s="905"/>
      <c r="F29" s="905"/>
      <c r="G29" s="905"/>
      <c r="H29" s="905"/>
      <c r="I29" s="905"/>
      <c r="J29" s="2764"/>
    </row>
    <row r="30" spans="1:36" ht="15" thickBot="1">
      <c r="A30" s="2691" t="s">
        <v>1646</v>
      </c>
      <c r="B30" s="2692"/>
      <c r="C30" s="2692"/>
      <c r="D30" s="2692"/>
      <c r="E30" s="2659" t="s">
        <v>2580</v>
      </c>
      <c r="F30" s="2481"/>
      <c r="G30" s="2481"/>
      <c r="H30" s="2481"/>
      <c r="I30" s="2481"/>
      <c r="J30" s="2764"/>
    </row>
    <row r="31" spans="1:36" s="2757" customFormat="1" ht="27.6" customHeight="1" thickTop="1" thickBot="1">
      <c r="A31" s="2752"/>
      <c r="B31" s="2753"/>
      <c r="C31" s="2753"/>
      <c r="D31" s="2753"/>
      <c r="E31" s="2753"/>
      <c r="F31" s="2753"/>
      <c r="G31" s="2753"/>
      <c r="H31" s="2753"/>
      <c r="I31" s="2754" t="s">
        <v>2581</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1393" customFormat="1" ht="16.5" thickTop="1" thickBot="1">
      <c r="A32" s="3560" t="s">
        <v>1647</v>
      </c>
      <c r="B32" s="3560"/>
      <c r="C32" s="3560"/>
      <c r="D32" s="3560"/>
      <c r="E32" s="3560"/>
      <c r="F32" s="3560"/>
      <c r="G32" s="3560"/>
      <c r="H32" s="3560"/>
      <c r="I32" s="3560"/>
      <c r="J32" s="2793"/>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5">
      <c r="A33" s="1439"/>
      <c r="B33" s="2693" t="s">
        <v>1648</v>
      </c>
      <c r="C33" s="2694">
        <f>典型户型修正!R27</f>
        <v>0</v>
      </c>
      <c r="D33" s="2481" t="s">
        <v>1649</v>
      </c>
      <c r="E33" s="905"/>
      <c r="F33" s="905"/>
      <c r="G33" s="905"/>
      <c r="H33" s="905"/>
      <c r="I33" s="905"/>
      <c r="J33" s="2764"/>
    </row>
    <row r="34" spans="1:16" ht="15">
      <c r="A34" s="1440" t="s">
        <v>1650</v>
      </c>
      <c r="B34" s="2695" t="s">
        <v>1651</v>
      </c>
      <c r="C34" s="2696">
        <f>典型户型修正!B2</f>
        <v>0</v>
      </c>
      <c r="D34" s="2697" t="str">
        <f>IF('数据-取费表'!B3="万元","万元","元")</f>
        <v>元</v>
      </c>
      <c r="E34" s="905"/>
      <c r="F34" s="905"/>
      <c r="G34" s="905"/>
      <c r="H34" s="905"/>
      <c r="I34" s="905"/>
      <c r="J34" s="2764"/>
    </row>
    <row r="35" spans="1:16" ht="15.75" thickBot="1">
      <c r="A35" s="1441"/>
      <c r="B35" s="2698" t="s">
        <v>1652</v>
      </c>
      <c r="C35" s="2647" t="e">
        <f>典型户型修正!B3</f>
        <v>#DIV/0!</v>
      </c>
      <c r="D35" s="2481" t="s">
        <v>1653</v>
      </c>
      <c r="E35" s="905"/>
      <c r="F35" s="905"/>
      <c r="G35" s="905"/>
      <c r="H35" s="905"/>
      <c r="I35" s="905"/>
      <c r="J35" s="2764"/>
    </row>
    <row r="36" spans="1:16" ht="15">
      <c r="A36" s="1442"/>
      <c r="B36" s="1396" t="s">
        <v>1654</v>
      </c>
      <c r="C36" s="2699">
        <f>IF('数据-取费表'!B3="万元",典型户型修正!V25,典型户型修正!U25)</f>
        <v>0</v>
      </c>
      <c r="D36" s="2481" t="str">
        <f>D34</f>
        <v>元</v>
      </c>
      <c r="E36" s="905"/>
      <c r="F36" s="905"/>
      <c r="G36" s="905"/>
      <c r="H36" s="905"/>
      <c r="I36" s="905"/>
      <c r="J36" s="2764"/>
    </row>
    <row r="37" spans="1:16" ht="15.75" thickBot="1">
      <c r="A37" s="1395"/>
      <c r="B37" s="1397" t="s">
        <v>1655</v>
      </c>
      <c r="C37" s="2700">
        <f>IF('数据-取费表'!B3="万元",典型户型修正!Y25,典型户型修正!X25)</f>
        <v>0</v>
      </c>
      <c r="D37" s="2481" t="str">
        <f>D34</f>
        <v>元</v>
      </c>
      <c r="E37" s="905"/>
      <c r="F37" s="905"/>
      <c r="G37" s="905"/>
      <c r="H37" s="905"/>
      <c r="I37" s="905"/>
      <c r="J37" s="2764"/>
    </row>
    <row r="38" spans="1:16" ht="15.75" thickBot="1">
      <c r="A38" s="3503" t="s">
        <v>1656</v>
      </c>
      <c r="B38" s="1396" t="s">
        <v>1657</v>
      </c>
      <c r="C38" s="2674"/>
      <c r="D38" s="2675"/>
      <c r="E38" s="1608"/>
      <c r="F38" s="1608"/>
      <c r="G38" s="905"/>
      <c r="H38" s="905"/>
      <c r="I38" s="905"/>
      <c r="J38" s="2764"/>
    </row>
    <row r="39" spans="1:16" ht="15.75" thickBot="1">
      <c r="A39" s="3508"/>
      <c r="B39" s="2022" t="s">
        <v>1658</v>
      </c>
      <c r="C39" s="2676"/>
      <c r="D39" s="1239"/>
      <c r="E39" s="1239"/>
      <c r="F39" s="1608"/>
      <c r="G39" s="1239"/>
      <c r="H39" s="1239"/>
      <c r="I39" s="1239"/>
      <c r="J39" s="2768"/>
    </row>
    <row r="40" spans="1:16" ht="15.75" thickBot="1">
      <c r="A40" s="3509"/>
      <c r="B40" s="1397" t="s">
        <v>1659</v>
      </c>
      <c r="C40" s="2677"/>
      <c r="D40" s="2678" t="s">
        <v>1660</v>
      </c>
      <c r="E40" s="1239"/>
      <c r="F40" s="1608"/>
      <c r="G40" s="1239"/>
      <c r="H40" s="1239"/>
      <c r="I40" s="1239"/>
      <c r="J40" s="2768"/>
    </row>
    <row r="41" spans="1:16" ht="15">
      <c r="A41" s="2643" t="s">
        <v>1661</v>
      </c>
      <c r="B41" s="2679" t="s">
        <v>1662</v>
      </c>
      <c r="C41" s="2680" t="s">
        <v>1663</v>
      </c>
      <c r="D41" s="2680" t="s">
        <v>1664</v>
      </c>
      <c r="E41" s="2681" t="s">
        <v>1665</v>
      </c>
      <c r="F41" s="1608"/>
      <c r="G41" s="1239"/>
      <c r="H41" s="1239"/>
      <c r="I41" s="1239"/>
      <c r="J41" s="2768"/>
    </row>
    <row r="42" spans="1:16" ht="14.25">
      <c r="A42" s="2682" t="s">
        <v>1666</v>
      </c>
      <c r="B42" s="2683"/>
      <c r="C42" s="2684"/>
      <c r="D42" s="2684"/>
      <c r="E42" s="2685"/>
      <c r="F42" s="1608"/>
      <c r="G42" s="1239"/>
      <c r="H42" s="1239"/>
      <c r="I42" s="1239"/>
      <c r="J42" s="2768"/>
    </row>
    <row r="43" spans="1:16" ht="14.25">
      <c r="A43" s="2682" t="s">
        <v>1667</v>
      </c>
      <c r="B43" s="2683"/>
      <c r="C43" s="2684"/>
      <c r="D43" s="2684"/>
      <c r="E43" s="2685"/>
      <c r="F43" s="1608"/>
      <c r="G43" s="1239"/>
      <c r="H43" s="1239"/>
      <c r="I43" s="1239"/>
      <c r="J43" s="2768"/>
    </row>
    <row r="44" spans="1:16" ht="15" thickBot="1">
      <c r="A44" s="2686"/>
      <c r="B44" s="2687"/>
      <c r="C44" s="2688"/>
      <c r="D44" s="2688"/>
      <c r="E44" s="2673"/>
      <c r="F44" s="1608"/>
      <c r="G44" s="1239"/>
      <c r="H44" s="1239"/>
      <c r="I44" s="1239"/>
      <c r="J44" s="2768"/>
    </row>
    <row r="45" spans="1:16" ht="12.75">
      <c r="A45" s="1409"/>
      <c r="B45" s="1409"/>
      <c r="C45" s="1409"/>
      <c r="D45" s="1409"/>
      <c r="E45" s="1409"/>
      <c r="F45" s="1365"/>
      <c r="G45" s="1365"/>
      <c r="H45" s="1365"/>
      <c r="I45" s="2689"/>
      <c r="J45" s="2769"/>
    </row>
    <row r="46" spans="1:16" ht="18.75">
      <c r="A46" s="1399" t="s">
        <v>1668</v>
      </c>
      <c r="B46" s="1400"/>
      <c r="C46" s="1400"/>
      <c r="D46" s="2701"/>
      <c r="E46" s="2701"/>
      <c r="F46" s="2701"/>
      <c r="G46" s="2701"/>
      <c r="H46" s="2701"/>
      <c r="I46" s="2758" t="s">
        <v>2575</v>
      </c>
      <c r="J46" s="2794"/>
      <c r="K46" s="1403" t="s">
        <v>1523</v>
      </c>
      <c r="L46" s="1404"/>
      <c r="M46" s="1404"/>
      <c r="N46" s="1404"/>
      <c r="O46" s="1404"/>
      <c r="P46" s="1404"/>
    </row>
    <row r="47" spans="1:16" ht="14.25" customHeight="1" thickBot="1">
      <c r="A47" s="3428" t="s">
        <v>1669</v>
      </c>
      <c r="B47" s="3429"/>
      <c r="C47" s="3439"/>
      <c r="D47" s="246">
        <f>ROUND(I104*F47,0)</f>
        <v>0</v>
      </c>
      <c r="E47" s="1470" t="s">
        <v>1670</v>
      </c>
      <c r="F47" s="2479">
        <v>1</v>
      </c>
      <c r="G47" s="2480" t="s">
        <v>1671</v>
      </c>
      <c r="H47" s="905"/>
      <c r="I47" s="905"/>
      <c r="J47" s="2764"/>
      <c r="K47" s="3533" t="s">
        <v>1527</v>
      </c>
      <c r="L47" s="3533"/>
      <c r="M47" s="3533"/>
      <c r="N47" s="3533"/>
      <c r="O47" s="3533"/>
      <c r="P47" s="3533"/>
    </row>
    <row r="48" spans="1:16" ht="14.25" customHeight="1">
      <c r="A48" s="3505" t="s">
        <v>1528</v>
      </c>
      <c r="B48" s="3506"/>
      <c r="C48" s="3506"/>
      <c r="D48" s="3506"/>
      <c r="E48" s="3506"/>
      <c r="F48" s="3506"/>
      <c r="G48" s="3507"/>
      <c r="H48" s="2896"/>
      <c r="I48" s="905"/>
      <c r="J48" s="2764"/>
      <c r="K48" s="2431">
        <v>1</v>
      </c>
      <c r="L48" s="3534" t="s">
        <v>1529</v>
      </c>
      <c r="M48" s="3534"/>
      <c r="N48" s="3535"/>
      <c r="O48" s="3535"/>
      <c r="P48" s="3535"/>
    </row>
    <row r="49" spans="1:17" ht="12" customHeight="1">
      <c r="A49" s="38" t="s">
        <v>1530</v>
      </c>
      <c r="B49" s="39"/>
      <c r="C49" s="40"/>
      <c r="D49" s="1028" t="s">
        <v>1531</v>
      </c>
      <c r="E49" s="235" t="s">
        <v>1532</v>
      </c>
      <c r="F49" s="41" t="s">
        <v>1533</v>
      </c>
      <c r="G49" s="2482" t="s">
        <v>1534</v>
      </c>
      <c r="H49" s="2896"/>
      <c r="I49" s="905"/>
      <c r="J49" s="2764"/>
      <c r="K49" s="2431">
        <v>2</v>
      </c>
      <c r="L49" s="3534" t="s">
        <v>1535</v>
      </c>
      <c r="M49" s="3534"/>
      <c r="N49" s="3537">
        <f>'数据-取费表'!B2</f>
        <v>44675</v>
      </c>
      <c r="O49" s="3537"/>
      <c r="P49" s="3537"/>
    </row>
    <row r="50" spans="1:17" ht="25.5">
      <c r="A50" s="3510" t="s">
        <v>1536</v>
      </c>
      <c r="B50" s="3444"/>
      <c r="C50" s="3444"/>
      <c r="D50" s="12">
        <f>IF(H50="情况1",0,IF(H50="情况2",D54,IF(H50="情况3",D55,IF(H50="情况4",D56))))</f>
        <v>0</v>
      </c>
      <c r="E50" s="2020" t="str">
        <f>IF(H50="情况4","(销售额-原购置价)×税（费）率","销售额×税（费）率")</f>
        <v>销售额×税（费）率</v>
      </c>
      <c r="F50" s="2483">
        <f>IF(H50="情况1","免征",'数据-取费表'!E29)</f>
        <v>5.6000000000000001E-2</v>
      </c>
      <c r="G50" s="2484" t="s">
        <v>1537</v>
      </c>
      <c r="H50" s="2485" t="s">
        <v>1538</v>
      </c>
      <c r="I50" s="2896"/>
      <c r="J50" s="2771"/>
      <c r="K50" s="2431">
        <v>3</v>
      </c>
      <c r="L50" s="3534" t="s">
        <v>1539</v>
      </c>
      <c r="M50" s="3534"/>
      <c r="N50" s="3539">
        <f>I104</f>
        <v>0</v>
      </c>
      <c r="O50" s="3539"/>
      <c r="P50" s="3539"/>
    </row>
    <row r="51" spans="1:17" ht="25.5" customHeight="1">
      <c r="A51" s="2019" t="s">
        <v>1540</v>
      </c>
      <c r="B51" s="3483" t="s">
        <v>1541</v>
      </c>
      <c r="C51" s="3483"/>
      <c r="D51" s="2486">
        <v>0</v>
      </c>
      <c r="E51" s="261" t="s">
        <v>1542</v>
      </c>
      <c r="F51" s="2487" t="s">
        <v>48</v>
      </c>
      <c r="G51" s="3425"/>
      <c r="H51" s="2488" t="s">
        <v>2500</v>
      </c>
      <c r="I51" s="2489"/>
      <c r="J51" s="2772"/>
      <c r="K51" s="2431">
        <v>4</v>
      </c>
      <c r="L51" s="3534" t="str">
        <f>IF(项目基本情况!F5="房地产抵押价值","房地产抵押价值","抵押担保权已注销时的房地产抵押价值")</f>
        <v>房地产抵押价值</v>
      </c>
      <c r="M51" s="3534"/>
      <c r="N51" s="3539">
        <f>IF(项目基本情况!F5="房地产抵押价值",I112,I114)</f>
        <v>0</v>
      </c>
      <c r="O51" s="3539"/>
      <c r="P51" s="3539"/>
    </row>
    <row r="52" spans="1:17" ht="25.5" customHeight="1">
      <c r="A52" s="2009"/>
      <c r="B52" s="3483" t="s">
        <v>1543</v>
      </c>
      <c r="C52" s="3483"/>
      <c r="D52" s="2490"/>
      <c r="E52" s="269"/>
      <c r="F52" s="2487"/>
      <c r="G52" s="3426"/>
      <c r="H52" s="2491" t="s">
        <v>2501</v>
      </c>
      <c r="I52" s="2489"/>
      <c r="J52" s="2772"/>
      <c r="K52" s="3534" t="s">
        <v>1544</v>
      </c>
      <c r="L52" s="3534"/>
      <c r="M52" s="3534"/>
      <c r="N52" s="3534"/>
      <c r="O52" s="3534"/>
      <c r="P52" s="3534"/>
    </row>
    <row r="53" spans="1:17" ht="20.45" customHeight="1">
      <c r="A53" s="2492"/>
      <c r="B53" s="3483" t="s">
        <v>1545</v>
      </c>
      <c r="C53" s="3483"/>
      <c r="D53" s="1028"/>
      <c r="E53" s="264"/>
      <c r="F53" s="2487"/>
      <c r="G53" s="3427"/>
      <c r="H53" s="2491" t="s">
        <v>2502</v>
      </c>
      <c r="I53" s="2489"/>
      <c r="J53" s="2772"/>
      <c r="K53" s="2432" t="s">
        <v>1546</v>
      </c>
      <c r="L53" s="3534" t="s">
        <v>1547</v>
      </c>
      <c r="M53" s="3534"/>
      <c r="N53" s="2432" t="s">
        <v>1548</v>
      </c>
      <c r="O53" s="2432" t="s">
        <v>1549</v>
      </c>
      <c r="P53" s="2432" t="s">
        <v>1550</v>
      </c>
    </row>
    <row r="54" spans="1:17" ht="24" customHeight="1">
      <c r="A54" s="2010" t="s">
        <v>1551</v>
      </c>
      <c r="B54" s="3483" t="s">
        <v>1552</v>
      </c>
      <c r="C54" s="3483"/>
      <c r="D54" s="1028">
        <f>ROUND(D47*'数据-取费表'!E29/(1+'数据-取费表'!F30),0)</f>
        <v>0</v>
      </c>
      <c r="E54" s="2020" t="s">
        <v>1553</v>
      </c>
      <c r="F54" s="2493">
        <f>'数据-取费表'!E29</f>
        <v>5.6000000000000001E-2</v>
      </c>
      <c r="G54" s="2494"/>
      <c r="H54" s="905"/>
      <c r="I54" s="2897"/>
      <c r="J54" s="2772"/>
      <c r="K54" s="2431">
        <v>1</v>
      </c>
      <c r="L54" s="3536" t="s">
        <v>1554</v>
      </c>
      <c r="M54" s="3536"/>
      <c r="N54" s="2433">
        <f>D50</f>
        <v>0</v>
      </c>
      <c r="O54" s="2431" t="str">
        <f>E50</f>
        <v>销售额×税（费）率</v>
      </c>
      <c r="P54" s="2434">
        <f>F50</f>
        <v>5.6000000000000001E-2</v>
      </c>
    </row>
    <row r="55" spans="1:17" ht="12" customHeight="1">
      <c r="A55" s="2010" t="s">
        <v>1555</v>
      </c>
      <c r="B55" s="3495" t="s">
        <v>2593</v>
      </c>
      <c r="C55" s="3484"/>
      <c r="D55" s="1028">
        <f>ROUND(D47*'数据-取费表'!E29/(1+'数据-取费表'!F30),0)</f>
        <v>0</v>
      </c>
      <c r="E55" s="2020" t="s">
        <v>1553</v>
      </c>
      <c r="F55" s="2493">
        <f>'数据-取费表'!E29</f>
        <v>5.6000000000000001E-2</v>
      </c>
      <c r="G55" s="2494"/>
      <c r="H55" s="905"/>
      <c r="I55" s="2897"/>
      <c r="J55" s="2772"/>
      <c r="K55" s="2431">
        <v>2</v>
      </c>
      <c r="L55" s="3536" t="s">
        <v>1556</v>
      </c>
      <c r="M55" s="3536"/>
      <c r="N55" s="2433">
        <f t="shared" ref="N55:P56" si="1">D57</f>
        <v>0</v>
      </c>
      <c r="O55" s="2431" t="str">
        <f t="shared" si="1"/>
        <v>销售额×税（费）率</v>
      </c>
      <c r="P55" s="2434">
        <f t="shared" si="1"/>
        <v>5.0000000000000001E-4</v>
      </c>
    </row>
    <row r="56" spans="1:17" ht="12" customHeight="1">
      <c r="A56" s="2010" t="s">
        <v>1557</v>
      </c>
      <c r="B56" s="3495" t="s">
        <v>2594</v>
      </c>
      <c r="C56" s="3484"/>
      <c r="D56" s="1028">
        <f>C70</f>
        <v>0</v>
      </c>
      <c r="E56" s="264" t="s">
        <v>1558</v>
      </c>
      <c r="F56" s="2493">
        <f>'数据-取费表'!E29</f>
        <v>5.6000000000000001E-2</v>
      </c>
      <c r="G56" s="2494"/>
      <c r="H56" s="2898"/>
      <c r="I56" s="2897"/>
      <c r="J56" s="2772"/>
      <c r="K56" s="2431">
        <v>3</v>
      </c>
      <c r="L56" s="3536" t="s">
        <v>1559</v>
      </c>
      <c r="M56" s="3536"/>
      <c r="N56" s="2433">
        <f t="shared" si="1"/>
        <v>0</v>
      </c>
      <c r="O56" s="2431" t="str">
        <f t="shared" si="1"/>
        <v>增值额×税（费）率</v>
      </c>
      <c r="P56" s="2435" t="str">
        <f t="shared" si="1"/>
        <v>——</v>
      </c>
    </row>
    <row r="57" spans="1:17" ht="24" customHeight="1">
      <c r="A57" s="3448" t="s">
        <v>1560</v>
      </c>
      <c r="B57" s="3444"/>
      <c r="C57" s="3444"/>
      <c r="D57" s="12">
        <f>IF(H57="个人住宅",0,ROUND(D47*I57,0))</f>
        <v>0</v>
      </c>
      <c r="E57" s="2020" t="s">
        <v>1561</v>
      </c>
      <c r="F57" s="2493">
        <f>IF(H57="正常",I57,"免征")</f>
        <v>5.0000000000000001E-4</v>
      </c>
      <c r="G57" s="2494"/>
      <c r="H57" s="2485" t="s">
        <v>1562</v>
      </c>
      <c r="I57" s="74">
        <f>'数据-取费表'!E37</f>
        <v>5.0000000000000001E-4</v>
      </c>
      <c r="J57" s="2772"/>
      <c r="K57" s="2431">
        <f>IF(H61="非个人房产","",4)</f>
        <v>4</v>
      </c>
      <c r="L57" s="3536" t="str">
        <f>IF(H61="非个人房产","——","个人所得税")</f>
        <v>个人所得税</v>
      </c>
      <c r="M57" s="3536"/>
      <c r="N57" s="2436">
        <f>D61</f>
        <v>0</v>
      </c>
      <c r="O57" s="2437" t="str">
        <f>E61</f>
        <v>销售额×税（费）率</v>
      </c>
      <c r="P57" s="2438">
        <f>F61</f>
        <v>0.01</v>
      </c>
    </row>
    <row r="58" spans="1:17" ht="24.75">
      <c r="A58" s="3448" t="s">
        <v>1563</v>
      </c>
      <c r="B58" s="3444"/>
      <c r="C58" s="3444"/>
      <c r="D58" s="12">
        <f>IF(H58="个人住宅",D59,D60)</f>
        <v>0</v>
      </c>
      <c r="E58" s="2020" t="s">
        <v>1564</v>
      </c>
      <c r="F58" s="2493" t="str">
        <f>IF(H58="正常",F60,"免征")</f>
        <v>——</v>
      </c>
      <c r="G58" s="2495" t="s">
        <v>1565</v>
      </c>
      <c r="H58" s="2496" t="s">
        <v>1562</v>
      </c>
      <c r="I58" s="2899"/>
      <c r="J58" s="2772"/>
      <c r="K58" s="2431" t="str">
        <f>IF(项目基本情况!I6="上海银行",IF(K57="",4,K57+1),"")</f>
        <v/>
      </c>
      <c r="L58" s="3540" t="str">
        <f>IF(项目基本情况!I6="上海银行","其他处置费用","")</f>
        <v/>
      </c>
      <c r="M58" s="3545"/>
      <c r="N58" s="2433" t="str">
        <f>IF(项目基本情况!I6="上海银行",N71,"")</f>
        <v/>
      </c>
      <c r="O58" s="3540" t="str">
        <f>IF(项目基本情况!I6="上海银行","包含处置中涉及的律师、诉讼、拍卖、评估等费用","")</f>
        <v/>
      </c>
      <c r="P58" s="3541"/>
    </row>
    <row r="59" spans="1:17" ht="12.75">
      <c r="A59" s="2010" t="s">
        <v>1540</v>
      </c>
      <c r="B59" s="3495" t="s">
        <v>1566</v>
      </c>
      <c r="C59" s="3484"/>
      <c r="D59" s="2486">
        <v>0</v>
      </c>
      <c r="E59" s="261" t="s">
        <v>1542</v>
      </c>
      <c r="F59" s="235"/>
      <c r="G59" s="2494"/>
      <c r="H59" s="2899"/>
      <c r="I59" s="2899"/>
      <c r="J59" s="2772"/>
      <c r="K59" s="3536">
        <f>IF(AND(K57="",K58=""),4,IF(项目基本情况!I6="上海银行",K58+1,K57+1))</f>
        <v>5</v>
      </c>
      <c r="L59" s="3536" t="s">
        <v>1567</v>
      </c>
      <c r="M59" s="2439" t="s">
        <v>1568</v>
      </c>
      <c r="N59" s="2440"/>
      <c r="O59" s="2441">
        <f>SUMIF(N54:N58,"&lt;9e307")</f>
        <v>0</v>
      </c>
      <c r="P59" s="2442"/>
      <c r="Q59" s="1234" t="e">
        <f>O59/N51</f>
        <v>#DIV/0!</v>
      </c>
    </row>
    <row r="60" spans="1:17" ht="24.75">
      <c r="A60" s="2010" t="s">
        <v>1551</v>
      </c>
      <c r="B60" s="3495" t="s">
        <v>1569</v>
      </c>
      <c r="C60" s="3483"/>
      <c r="D60" s="12">
        <f>IF(H60="转让取得",C83,C99)</f>
        <v>0</v>
      </c>
      <c r="E60" s="2020" t="s">
        <v>1564</v>
      </c>
      <c r="F60" s="235" t="s">
        <v>48</v>
      </c>
      <c r="G60" s="2494"/>
      <c r="H60" s="2496" t="s">
        <v>1570</v>
      </c>
      <c r="I60" s="2899"/>
      <c r="J60" s="2772"/>
      <c r="K60" s="3536"/>
      <c r="L60" s="3536"/>
      <c r="M60" s="2439" t="s">
        <v>1571</v>
      </c>
      <c r="N60" s="2443"/>
      <c r="O60" s="2444" t="str">
        <f>IF(H19="元",NUMBERSTRING(INT(O59),2)&amp;"元整",NUMBERSTRING(INT(O59*10000),2)&amp;"元整")</f>
        <v>零元整</v>
      </c>
      <c r="P60" s="2445"/>
    </row>
    <row r="61" spans="1:17" ht="26.25" thickBot="1">
      <c r="A61" s="3511" t="s">
        <v>1572</v>
      </c>
      <c r="B61" s="3512"/>
      <c r="C61" s="3512"/>
      <c r="D61" s="69">
        <f>IF(H61="非个人房产","——",IF(H61="个人住宅（满五唯一有凭证）",0,IF(H61="个人其他（无凭证）",ROUND(D47*F61,0),ROUND(C69*F61,0))))</f>
        <v>0</v>
      </c>
      <c r="E61" s="2011" t="str">
        <f>IF(H61="非个人房产","——",IF(H61="个人其他（无凭证）","销售额×税（费）率",IF(H61="个人住宅（满五唯一有凭证）","免征","差额计税")))</f>
        <v>销售额×税（费）率</v>
      </c>
      <c r="F61" s="2702">
        <f>IF(OR(H61="非个人房产",H61="个人住宅（满五唯一有凭证）"),"——",IF(H61="个人其他（有凭证）",20%,1%))</f>
        <v>0.01</v>
      </c>
      <c r="G61" s="2742" t="s">
        <v>2573</v>
      </c>
      <c r="H61" s="2024" t="s">
        <v>2499</v>
      </c>
      <c r="I61" s="2800" t="s">
        <v>2585</v>
      </c>
      <c r="J61" s="2772"/>
      <c r="K61" s="3542">
        <f>K59+1</f>
        <v>6</v>
      </c>
      <c r="L61" s="3536" t="s">
        <v>1573</v>
      </c>
      <c r="M61" s="2431" t="s">
        <v>1568</v>
      </c>
      <c r="N61" s="2446"/>
      <c r="O61" s="2447">
        <f>N51-O59</f>
        <v>0</v>
      </c>
      <c r="P61" s="2448"/>
    </row>
    <row r="62" spans="1:17" ht="12" customHeight="1">
      <c r="A62" s="1385"/>
      <c r="B62" s="2481"/>
      <c r="C62" s="2481"/>
      <c r="D62" s="2481"/>
      <c r="E62" s="1385"/>
      <c r="F62" s="2899"/>
      <c r="G62" s="2899"/>
      <c r="H62" s="2894"/>
      <c r="I62" s="905"/>
      <c r="J62" s="2772"/>
      <c r="K62" s="3543"/>
      <c r="L62" s="3536"/>
      <c r="M62" s="2439" t="s">
        <v>1571</v>
      </c>
      <c r="N62" s="2443"/>
      <c r="O62" s="2444" t="str">
        <f>IF(H19="元",NUMBERSTRING(INT(O61),2)&amp;"元整",NUMBERSTRING(INT(O61*10000),2)&amp;"元整")</f>
        <v>零元整</v>
      </c>
      <c r="P62" s="2445"/>
    </row>
    <row r="63" spans="1:17" ht="13.5" thickBot="1">
      <c r="A63" s="3544" t="s">
        <v>1574</v>
      </c>
      <c r="B63" s="3544"/>
      <c r="C63" s="3544"/>
      <c r="D63" s="3544"/>
      <c r="E63" s="3544"/>
      <c r="F63" s="2899"/>
      <c r="G63" s="2899"/>
      <c r="H63" s="2894"/>
      <c r="I63" s="905"/>
      <c r="J63" s="2764"/>
      <c r="K63" s="2431">
        <f>K61+1</f>
        <v>7</v>
      </c>
      <c r="L63" s="3536" t="s">
        <v>1575</v>
      </c>
      <c r="M63" s="3536"/>
      <c r="N63" s="2449"/>
      <c r="O63" s="2450">
        <f>IF(H19="元",ROUND(O61/项目基本情况!C12,0),ROUND(O61*10000/项目基本情况!C12,0))</f>
        <v>0</v>
      </c>
      <c r="P63" s="2451"/>
    </row>
    <row r="64" spans="1:17" ht="12.75">
      <c r="A64" s="3462" t="s">
        <v>1576</v>
      </c>
      <c r="B64" s="3463"/>
      <c r="C64" s="1535"/>
      <c r="D64" s="1535" t="s">
        <v>1577</v>
      </c>
      <c r="E64" s="45" t="s">
        <v>1578</v>
      </c>
      <c r="F64" s="2899"/>
      <c r="G64" s="2899"/>
      <c r="H64" s="2894"/>
      <c r="I64" s="905"/>
      <c r="J64" s="2764"/>
      <c r="K64" s="1236"/>
      <c r="L64" s="1236"/>
      <c r="M64" s="1236"/>
      <c r="N64" s="1236"/>
      <c r="O64" s="1236"/>
    </row>
    <row r="65" spans="1:36" ht="12.75">
      <c r="A65" s="46">
        <v>1</v>
      </c>
      <c r="B65" s="47" t="s">
        <v>1579</v>
      </c>
      <c r="C65" s="2703">
        <f>ROUND((C66+C67)/(1+'数据-取费表'!F30),0)</f>
        <v>0</v>
      </c>
      <c r="D65" s="47"/>
      <c r="E65" s="48"/>
      <c r="F65" s="2899"/>
      <c r="G65" s="2899"/>
      <c r="H65" s="2894"/>
      <c r="I65" s="905"/>
      <c r="J65" s="2764"/>
      <c r="K65" s="3532" t="s">
        <v>1580</v>
      </c>
      <c r="L65" s="1235" t="s">
        <v>1581</v>
      </c>
      <c r="M65" s="1235">
        <f>IF(N51&gt;10000,N51*0.5%,IF(AND(N51&gt;1000,N51&lt;=10000),N51*1%,IF(AND(N51&gt;100,N51&lt;=1000),N51*3%,IF(AND(N51&gt;10,N51&lt;=100),N51*5%,N51*8%))))</f>
        <v>0</v>
      </c>
      <c r="N65" s="235">
        <f>ROUND(M65,1)</f>
        <v>0</v>
      </c>
      <c r="O65" s="2452"/>
    </row>
    <row r="66" spans="1:36" ht="12.75">
      <c r="A66" s="49" t="s">
        <v>71</v>
      </c>
      <c r="B66" s="50" t="s">
        <v>1582</v>
      </c>
      <c r="C66" s="2704">
        <f>D47</f>
        <v>0</v>
      </c>
      <c r="D66" s="50" t="s">
        <v>41</v>
      </c>
      <c r="E66" s="52"/>
      <c r="F66" s="2899"/>
      <c r="G66" s="2899"/>
      <c r="H66" s="2894"/>
      <c r="I66" s="905"/>
      <c r="J66" s="2764"/>
      <c r="K66" s="3532"/>
      <c r="L66" s="1235" t="s">
        <v>1583</v>
      </c>
      <c r="M66" s="1235"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452" t="s">
        <v>1584</v>
      </c>
    </row>
    <row r="67" spans="1:36" ht="12.75">
      <c r="A67" s="49" t="s">
        <v>72</v>
      </c>
      <c r="B67" s="50" t="s">
        <v>1585</v>
      </c>
      <c r="C67" s="2705"/>
      <c r="D67" s="50"/>
      <c r="E67" s="52"/>
      <c r="F67" s="2899"/>
      <c r="G67" s="2899"/>
      <c r="H67" s="2894"/>
      <c r="I67" s="905"/>
      <c r="J67" s="2764"/>
      <c r="K67" s="3532"/>
      <c r="L67" s="1235" t="s">
        <v>1586</v>
      </c>
      <c r="M67" s="1235" t="b">
        <f>IF(N51&gt;1000,N51*0.1%,IF(AND(N51&gt;500,N51&lt;=1000),N51*0.5%,IF(AND(N51&gt;50,N51&lt;=500),N51*1%,IF(AND(N51&gt;1,N51&lt;=50),N51*1.5%))))</f>
        <v>0</v>
      </c>
      <c r="N67" s="235">
        <f t="shared" si="2"/>
        <v>0</v>
      </c>
      <c r="O67" s="2452" t="s">
        <v>1584</v>
      </c>
    </row>
    <row r="68" spans="1:36" ht="12.75">
      <c r="A68" s="53" t="s">
        <v>47</v>
      </c>
      <c r="B68" s="54" t="s">
        <v>1587</v>
      </c>
      <c r="C68" s="2706"/>
      <c r="D68" s="54" t="s">
        <v>41</v>
      </c>
      <c r="E68" s="1244" t="s">
        <v>1588</v>
      </c>
      <c r="F68" s="2899"/>
      <c r="G68" s="2899"/>
      <c r="H68" s="2894"/>
      <c r="I68" s="905"/>
      <c r="J68" s="2764"/>
      <c r="K68" s="3532"/>
      <c r="L68" s="1235" t="s">
        <v>1589</v>
      </c>
      <c r="M68" s="1235">
        <f>N51*0.5%</f>
        <v>0</v>
      </c>
      <c r="N68" s="235">
        <f>IF(M68&gt;0.5,0.5,ROUND(M68,0))</f>
        <v>0</v>
      </c>
      <c r="O68" s="2452" t="s">
        <v>1590</v>
      </c>
    </row>
    <row r="69" spans="1:36" ht="12.75">
      <c r="A69" s="53" t="s">
        <v>42</v>
      </c>
      <c r="B69" s="54" t="s">
        <v>1591</v>
      </c>
      <c r="C69" s="2707">
        <f>C65-C68</f>
        <v>0</v>
      </c>
      <c r="D69" s="50" t="s">
        <v>41</v>
      </c>
      <c r="E69" s="52"/>
      <c r="F69" s="2899"/>
      <c r="G69" s="2899"/>
      <c r="H69" s="2894"/>
      <c r="I69" s="905"/>
      <c r="J69" s="2764"/>
      <c r="K69" s="3532"/>
      <c r="L69" s="1235" t="s">
        <v>1592</v>
      </c>
      <c r="M69" s="1235"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452"/>
    </row>
    <row r="70" spans="1:36" ht="13.5" thickBot="1">
      <c r="A70" s="55" t="s">
        <v>46</v>
      </c>
      <c r="B70" s="56" t="s">
        <v>1593</v>
      </c>
      <c r="C70" s="2708">
        <f>IF(C69&lt;=0,0,ROUND(C69*D70,0))</f>
        <v>0</v>
      </c>
      <c r="D70" s="2170">
        <f>'数据-取费表'!E29</f>
        <v>5.6000000000000001E-2</v>
      </c>
      <c r="E70" s="57"/>
      <c r="F70" s="2899"/>
      <c r="G70" s="2899"/>
      <c r="H70" s="2894"/>
      <c r="I70" s="905"/>
      <c r="J70" s="2764"/>
      <c r="K70" s="3532"/>
      <c r="L70" s="1235" t="s">
        <v>1594</v>
      </c>
      <c r="M70" s="1235">
        <f>IF(N51&gt;10000,N51*0.5%,IF(AND(N51&gt;5000,N51&lt;=10000),N51*1%,IF(AND(N51&gt;1000,N51&lt;=5000),N51*2%,IF(AND(N51&gt;200,N51&lt;=1000),N51*3%,N51*5%))))</f>
        <v>0</v>
      </c>
      <c r="N70" s="235">
        <f>ROUND(M70,1)</f>
        <v>0</v>
      </c>
      <c r="O70" s="2452"/>
    </row>
    <row r="71" spans="1:36" s="1393" customFormat="1" ht="7.5" customHeight="1">
      <c r="A71" s="1405"/>
      <c r="B71" s="1406"/>
      <c r="C71" s="2709"/>
      <c r="D71" s="2213"/>
      <c r="E71" s="1409"/>
      <c r="F71" s="1385"/>
      <c r="G71" s="1385"/>
      <c r="H71" s="1409"/>
      <c r="I71" s="2481"/>
      <c r="J71" s="2764"/>
      <c r="K71" s="3532"/>
      <c r="L71" s="1235" t="s">
        <v>1595</v>
      </c>
      <c r="M71" s="1235"/>
      <c r="N71" s="235">
        <f>ROUND(SUM(N65:N70),0)</f>
        <v>0</v>
      </c>
      <c r="O71" s="2453" t="e">
        <f>N71/N51</f>
        <v>#DIV/0!</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5" thickBot="1">
      <c r="A72" s="3549" t="s">
        <v>1596</v>
      </c>
      <c r="B72" s="3550"/>
      <c r="C72" s="3550"/>
      <c r="D72" s="3550"/>
      <c r="E72" s="3550"/>
      <c r="F72" s="3550"/>
      <c r="G72" s="3550"/>
      <c r="H72" s="3550"/>
      <c r="I72" s="1410"/>
      <c r="J72" s="2773"/>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3462" t="s">
        <v>1576</v>
      </c>
      <c r="B73" s="3463"/>
      <c r="C73" s="1535"/>
      <c r="D73" s="1535" t="s">
        <v>1577</v>
      </c>
      <c r="E73" s="58" t="s">
        <v>1578</v>
      </c>
      <c r="F73" s="59"/>
      <c r="G73" s="59"/>
      <c r="H73" s="60"/>
      <c r="I73" s="2710"/>
      <c r="J73" s="2795"/>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4.25">
      <c r="A74" s="61">
        <v>1</v>
      </c>
      <c r="B74" s="54" t="s">
        <v>1597</v>
      </c>
      <c r="C74" s="2707">
        <f>ROUND(D47/(1+'数据-取费表'!F30),0)</f>
        <v>0</v>
      </c>
      <c r="D74" s="50" t="s">
        <v>41</v>
      </c>
      <c r="E74" s="2016"/>
      <c r="F74" s="2017"/>
      <c r="G74" s="2017"/>
      <c r="H74" s="62"/>
      <c r="I74" s="2710"/>
      <c r="J74" s="2795"/>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63">
        <v>2</v>
      </c>
      <c r="B75" s="41" t="s">
        <v>1599</v>
      </c>
      <c r="C75" s="2707">
        <f>C76+C80</f>
        <v>0</v>
      </c>
      <c r="D75" s="50" t="s">
        <v>41</v>
      </c>
      <c r="E75" s="2016"/>
      <c r="F75" s="2017"/>
      <c r="G75" s="2017"/>
      <c r="H75" s="62"/>
      <c r="I75" s="2710"/>
      <c r="J75" s="2795"/>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14.25">
      <c r="A76" s="49" t="s">
        <v>73</v>
      </c>
      <c r="B76" s="50" t="s">
        <v>1600</v>
      </c>
      <c r="C76" s="50">
        <f>ROUND(IF(G79="2016年5月1日后购买",C77/(1+'数据-取费表'!F30)+C78+C79,C77+C78+C79),0)</f>
        <v>0</v>
      </c>
      <c r="D76" s="50" t="s">
        <v>41</v>
      </c>
      <c r="E76" s="2016"/>
      <c r="F76" s="2017"/>
      <c r="G76" s="2017"/>
      <c r="H76" s="62"/>
      <c r="I76" s="2710"/>
      <c r="J76" s="2795"/>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14.25">
      <c r="A77" s="49" t="s">
        <v>74</v>
      </c>
      <c r="B77" s="50" t="s">
        <v>1601</v>
      </c>
      <c r="C77" s="2196"/>
      <c r="D77" s="50" t="s">
        <v>41</v>
      </c>
      <c r="E77" s="64" t="s">
        <v>1602</v>
      </c>
      <c r="F77" s="2711" t="s">
        <v>1603</v>
      </c>
      <c r="G77" s="64" t="s">
        <v>1604</v>
      </c>
      <c r="H77" s="2712"/>
      <c r="I77" s="608"/>
      <c r="J77" s="2796"/>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3">
        <v>0.05</v>
      </c>
      <c r="E78" s="3495" t="s">
        <v>1606</v>
      </c>
      <c r="F78" s="3483"/>
      <c r="G78" s="3483"/>
      <c r="H78" s="3496"/>
      <c r="I78" s="2710"/>
      <c r="J78" s="2795"/>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4">
        <f>'数据-取费表'!E36+'数据-取费表'!E37</f>
        <v>3.0499999999999999E-2</v>
      </c>
      <c r="E79" s="12" t="s">
        <v>1608</v>
      </c>
      <c r="F79" s="2023"/>
      <c r="G79" s="1414" t="s">
        <v>1609</v>
      </c>
      <c r="H79" s="2018" t="str">
        <f>IF(G79="个人买卖住房","免征印花税"," ")</f>
        <v xml:space="preserve"> </v>
      </c>
      <c r="I79" s="2710"/>
      <c r="J79" s="279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5">
        <f>ROUND(D47*D80/(1+'数据-取费表'!F30),0)</f>
        <v>0</v>
      </c>
      <c r="D80" s="2716">
        <f>'数据-取费表'!E31</f>
        <v>6.000000000000001E-3</v>
      </c>
      <c r="E80" s="3431" t="s">
        <v>1611</v>
      </c>
      <c r="F80" s="3432"/>
      <c r="G80" s="3432"/>
      <c r="H80" s="3452"/>
      <c r="I80" s="609"/>
      <c r="J80" s="2797"/>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4.25">
      <c r="A81" s="53" t="s">
        <v>42</v>
      </c>
      <c r="B81" s="54" t="s">
        <v>1612</v>
      </c>
      <c r="C81" s="2707">
        <f>C74-C75</f>
        <v>0</v>
      </c>
      <c r="D81" s="50" t="s">
        <v>41</v>
      </c>
      <c r="E81" s="2016"/>
      <c r="F81" s="2017"/>
      <c r="G81" s="2017"/>
      <c r="H81" s="62"/>
      <c r="I81" s="2710"/>
      <c r="J81" s="279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14.25">
      <c r="A82" s="53" t="s">
        <v>43</v>
      </c>
      <c r="B82" s="54" t="s">
        <v>1613</v>
      </c>
      <c r="C82" s="2717">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17"/>
      <c r="G82" s="2017"/>
      <c r="H82" s="62"/>
      <c r="I82" s="2710"/>
      <c r="J82" s="2795"/>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55" t="s">
        <v>44</v>
      </c>
      <c r="B83" s="56" t="s">
        <v>1614</v>
      </c>
      <c r="C83" s="2718">
        <f>ROUND(IF(C81&lt;=0,0,IF(C82&gt;=200%,C81*60%-C75*35%,IF(C82&gt;=100%,C81*50%-C75*15%,IF(C82&gt;=50%,C81*40%-C75*5%,IF(C82&lt;50%,C81*30%,0))))),0)</f>
        <v>0</v>
      </c>
      <c r="D83" s="210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10"/>
      <c r="J83" s="279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7"/>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5" thickBot="1">
      <c r="A85" s="3549" t="s">
        <v>1615</v>
      </c>
      <c r="B85" s="3550"/>
      <c r="C85" s="3550"/>
      <c r="D85" s="3550"/>
      <c r="E85" s="3550"/>
      <c r="F85" s="3550"/>
      <c r="G85" s="3550"/>
      <c r="H85" s="3550"/>
      <c r="I85" s="608"/>
      <c r="J85" s="279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3462" t="s">
        <v>1576</v>
      </c>
      <c r="B86" s="3463"/>
      <c r="C86" s="1535"/>
      <c r="D86" s="1535" t="s">
        <v>1577</v>
      </c>
      <c r="E86" s="58" t="s">
        <v>1578</v>
      </c>
      <c r="F86" s="59"/>
      <c r="G86" s="59"/>
      <c r="H86" s="72"/>
      <c r="I86" s="608"/>
      <c r="J86" s="279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61">
        <v>1</v>
      </c>
      <c r="B87" s="54" t="s">
        <v>1597</v>
      </c>
      <c r="C87" s="2707">
        <f>ROUND(D47/(1+'数据-取费表'!F30),0)</f>
        <v>0</v>
      </c>
      <c r="D87" s="50" t="s">
        <v>41</v>
      </c>
      <c r="E87" s="2016"/>
      <c r="F87" s="2017"/>
      <c r="G87" s="2017"/>
      <c r="H87" s="73"/>
      <c r="I87" s="608"/>
      <c r="J87" s="279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63">
        <v>2</v>
      </c>
      <c r="B88" s="41" t="s">
        <v>1599</v>
      </c>
      <c r="C88" s="2707">
        <f>IF(H90="仅含出让金",C89+C92+C93+C94+C95+C96,C89+C93+C94+C95+C96)</f>
        <v>0</v>
      </c>
      <c r="D88" s="2719"/>
      <c r="E88" s="2016"/>
      <c r="F88" s="2017"/>
      <c r="G88" s="2017"/>
      <c r="H88" s="73"/>
      <c r="I88" s="608"/>
      <c r="J88" s="2796"/>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73</v>
      </c>
      <c r="B89" s="50" t="s">
        <v>1616</v>
      </c>
      <c r="C89" s="2715">
        <f>C90+C91</f>
        <v>0</v>
      </c>
      <c r="D89" s="2716"/>
      <c r="E89" s="2013"/>
      <c r="F89" s="2014"/>
      <c r="G89" s="2014"/>
      <c r="H89" s="2015"/>
      <c r="I89" s="608"/>
      <c r="J89" s="279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25">
      <c r="A90" s="49" t="s">
        <v>74</v>
      </c>
      <c r="B90" s="50" t="s">
        <v>1617</v>
      </c>
      <c r="C90" s="2720"/>
      <c r="D90" s="2716"/>
      <c r="E90" s="74" t="s">
        <v>1618</v>
      </c>
      <c r="F90" s="2014"/>
      <c r="G90" s="75" t="s">
        <v>1619</v>
      </c>
      <c r="H90" s="1416"/>
      <c r="I90" s="608"/>
      <c r="J90" s="2796"/>
      <c r="K90" s="2891" t="s">
        <v>2577</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4.25">
      <c r="A91" s="49" t="s">
        <v>75</v>
      </c>
      <c r="B91" s="50" t="s">
        <v>1607</v>
      </c>
      <c r="C91" s="2715">
        <f>ROUND(C90*D91,0)</f>
        <v>0</v>
      </c>
      <c r="D91" s="2716">
        <f>'数据-取费表'!E36+'数据-取费表'!E37</f>
        <v>3.0499999999999999E-2</v>
      </c>
      <c r="E91" s="74" t="s">
        <v>1620</v>
      </c>
      <c r="F91" s="2014"/>
      <c r="G91" s="2014"/>
      <c r="H91" s="2015"/>
      <c r="I91" s="608"/>
      <c r="J91" s="2796"/>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25">
      <c r="A92" s="49" t="s">
        <v>77</v>
      </c>
      <c r="B92" s="50" t="s">
        <v>1621</v>
      </c>
      <c r="C92" s="2720"/>
      <c r="D92" s="2716"/>
      <c r="E92" s="74" t="str">
        <f>IF(H90="-","土地取得成本中已包含该笔费用"," ")</f>
        <v xml:space="preserve"> </v>
      </c>
      <c r="F92" s="2014"/>
      <c r="G92" s="3471" t="s">
        <v>2494</v>
      </c>
      <c r="H92" s="3551"/>
      <c r="I92" s="608"/>
      <c r="J92" s="2796"/>
      <c r="K92" s="2891" t="s">
        <v>2578</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5">
        <f>IF(H93="——",成本法!C33,I93)</f>
        <v>0</v>
      </c>
      <c r="D93" s="2716"/>
      <c r="E93" s="3431" t="s">
        <v>1623</v>
      </c>
      <c r="F93" s="3432"/>
      <c r="G93" s="3432"/>
      <c r="H93" s="1417" t="s">
        <v>1624</v>
      </c>
      <c r="I93" s="2721"/>
      <c r="J93" s="2798"/>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5">
        <f>ROUND((C89+C92+C93)*D94,0)</f>
        <v>0</v>
      </c>
      <c r="D94" s="2716">
        <v>0.1</v>
      </c>
      <c r="E94" s="3431" t="s">
        <v>1626</v>
      </c>
      <c r="F94" s="3432"/>
      <c r="G94" s="3432"/>
      <c r="H94" s="3452"/>
      <c r="I94" s="608"/>
      <c r="J94" s="2796"/>
      <c r="K94" s="2892" t="s">
        <v>2579</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5">
        <f>ROUND(D47*D95/(1+'数据-取费表'!F30),0)</f>
        <v>0</v>
      </c>
      <c r="D95" s="2716">
        <f>'数据-取费表'!E31</f>
        <v>6.000000000000001E-3</v>
      </c>
      <c r="E95" s="3431" t="s">
        <v>1611</v>
      </c>
      <c r="F95" s="3432"/>
      <c r="G95" s="3432"/>
      <c r="H95" s="3452"/>
      <c r="I95" s="608"/>
      <c r="J95" s="279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5">
        <f>ROUND((C89+C92+C93)*D96,0)</f>
        <v>0</v>
      </c>
      <c r="D96" s="2716">
        <v>0.2</v>
      </c>
      <c r="E96" s="3431" t="s">
        <v>1628</v>
      </c>
      <c r="F96" s="3432"/>
      <c r="G96" s="3432"/>
      <c r="H96" s="3452"/>
      <c r="I96" s="608"/>
      <c r="J96" s="279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4.25">
      <c r="A97" s="53" t="s">
        <v>42</v>
      </c>
      <c r="B97" s="54" t="s">
        <v>1612</v>
      </c>
      <c r="C97" s="2707">
        <f>ROUND(C87-C88,0)</f>
        <v>0</v>
      </c>
      <c r="D97" s="50" t="s">
        <v>41</v>
      </c>
      <c r="E97" s="2016"/>
      <c r="F97" s="2017"/>
      <c r="G97" s="2017"/>
      <c r="H97" s="73"/>
      <c r="I97" s="608"/>
      <c r="J97" s="279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14.25">
      <c r="A98" s="53" t="s">
        <v>43</v>
      </c>
      <c r="B98" s="54" t="s">
        <v>1613</v>
      </c>
      <c r="C98" s="2717">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17"/>
      <c r="G98" s="2017"/>
      <c r="H98" s="73"/>
      <c r="I98" s="608"/>
      <c r="J98" s="2796"/>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5" thickBot="1">
      <c r="A99" s="66" t="s">
        <v>44</v>
      </c>
      <c r="B99" s="56" t="s">
        <v>1614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775"/>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5">
      <c r="A101" s="3449" t="s">
        <v>1630</v>
      </c>
      <c r="B101" s="3450"/>
      <c r="C101" s="3450"/>
      <c r="D101" s="3451"/>
      <c r="E101" s="1389"/>
      <c r="F101" s="3546" t="s">
        <v>2536</v>
      </c>
      <c r="G101" s="3547"/>
      <c r="H101" s="3547"/>
      <c r="I101" s="3548"/>
      <c r="J101" s="2799"/>
    </row>
    <row r="102" spans="1:36" ht="15">
      <c r="A102" s="3466" t="s">
        <v>1632</v>
      </c>
      <c r="B102" s="3467"/>
      <c r="C102" s="2722">
        <f>C4</f>
        <v>0</v>
      </c>
      <c r="D102" s="2723">
        <f>D4</f>
        <v>0</v>
      </c>
      <c r="E102" s="1389"/>
      <c r="F102" s="3468" t="s">
        <v>2537</v>
      </c>
      <c r="G102" s="3470"/>
      <c r="H102" s="3481" t="s">
        <v>2538</v>
      </c>
      <c r="I102" s="3469"/>
      <c r="J102" s="2779"/>
    </row>
    <row r="103" spans="1:36" ht="12.75">
      <c r="A103" s="3552" t="s">
        <v>2532</v>
      </c>
      <c r="B103" s="2235" t="str">
        <f>IF(H19="元","总价（元）","总价（万元）")</f>
        <v>总价（元）</v>
      </c>
      <c r="C103" s="1235" t="e">
        <f ca="1">C19</f>
        <v>#REF!</v>
      </c>
      <c r="D103" s="2726" t="e">
        <f ca="1">D19</f>
        <v>#REF!</v>
      </c>
      <c r="E103" s="1389"/>
      <c r="F103" s="3553"/>
      <c r="G103" s="3554"/>
      <c r="H103" s="3472">
        <f>典型户型修正!B25</f>
        <v>0</v>
      </c>
      <c r="I103" s="3469"/>
      <c r="J103" s="2779"/>
    </row>
    <row r="104" spans="1:36" ht="12.75">
      <c r="A104" s="3552"/>
      <c r="B104" s="2235" t="s">
        <v>2533</v>
      </c>
      <c r="C104" s="2727" t="e">
        <f ca="1">C20</f>
        <v>#REF!</v>
      </c>
      <c r="D104" s="2728" t="e">
        <f ca="1">D20</f>
        <v>#REF!</v>
      </c>
      <c r="E104" s="1389"/>
      <c r="F104" s="3455" t="s">
        <v>2539</v>
      </c>
      <c r="G104" s="3456"/>
      <c r="H104" s="2736" t="str">
        <f>C110</f>
        <v>总价（元）</v>
      </c>
      <c r="I104" s="2737">
        <f>H125</f>
        <v>0</v>
      </c>
      <c r="J104" s="2779"/>
    </row>
    <row r="105" spans="1:36" ht="12.75">
      <c r="A105" s="3552" t="s">
        <v>2534</v>
      </c>
      <c r="B105" s="2173" t="str">
        <f>B103</f>
        <v>总价（元）</v>
      </c>
      <c r="C105" s="12" t="e">
        <f ca="1">ROUND(IF('数据-取费表'!B4="总价",G19,IF(H19="元",G20*'数据-取费表'!E5,G20*'数据-取费表'!E5/10000)),0)</f>
        <v>#REF!</v>
      </c>
      <c r="D105" s="2729"/>
      <c r="E105" s="1389"/>
      <c r="F105" s="3455"/>
      <c r="G105" s="3456"/>
      <c r="H105" s="2736" t="s">
        <v>2540</v>
      </c>
      <c r="I105" s="52" t="e">
        <f>I125</f>
        <v>#DIV/0!</v>
      </c>
      <c r="J105" s="2763"/>
    </row>
    <row r="106" spans="1:36" ht="12.75">
      <c r="A106" s="3552"/>
      <c r="B106" s="2235" t="s">
        <v>2533</v>
      </c>
      <c r="C106" s="1409" t="e">
        <f ca="1">ROUND(IF('数据-取费表'!B4="楼面单价",G20,IF(H19="元",G19/'数据-取费表'!E5,G19*10000/'数据-取费表'!E5)),0)</f>
        <v>#REF!</v>
      </c>
      <c r="D106" s="2729"/>
      <c r="E106" s="1389"/>
      <c r="F106" s="3455"/>
      <c r="G106" s="3456"/>
      <c r="H106" s="3487"/>
      <c r="I106" s="3488"/>
      <c r="J106" s="2780"/>
    </row>
    <row r="107" spans="1:36" ht="12.75">
      <c r="A107" s="3559" t="s">
        <v>2535</v>
      </c>
      <c r="B107" s="2730" t="str">
        <f>B103</f>
        <v>总价（元）</v>
      </c>
      <c r="C107" s="2731">
        <f>H125</f>
        <v>0</v>
      </c>
      <c r="D107" s="2732"/>
      <c r="E107" s="1389"/>
      <c r="F107" s="3491" t="s">
        <v>2541</v>
      </c>
      <c r="G107" s="3492"/>
      <c r="H107" s="2738" t="str">
        <f>C112</f>
        <v>总额（元）</v>
      </c>
      <c r="I107" s="2737">
        <f>SUMIF(I108:I110,"&lt;9E307")</f>
        <v>0</v>
      </c>
      <c r="J107" s="2779"/>
    </row>
    <row r="108" spans="1:36" ht="15" thickBot="1">
      <c r="A108" s="3486"/>
      <c r="B108" s="2733" t="s">
        <v>2533</v>
      </c>
      <c r="C108" s="2734" t="e">
        <f>I125</f>
        <v>#DIV/0!</v>
      </c>
      <c r="D108" s="2735"/>
      <c r="E108" s="1389"/>
      <c r="F108" s="3457" t="s">
        <v>2542</v>
      </c>
      <c r="G108" s="3458"/>
      <c r="H108" s="2738" t="str">
        <f>C113</f>
        <v>总额（元）</v>
      </c>
      <c r="I108" s="2739">
        <f>IF(D38="同一抵押权人同一抵押物续贷",C38&amp;"（续贷，未扣减，详见特别提示）",C38)</f>
        <v>0</v>
      </c>
      <c r="J108" s="2763"/>
      <c r="L108" s="1392" t="str">
        <f>IF(D125=0,"本次评估不存在"&amp;A125&amp;"。","本次评估"&amp;A125&amp;"为"&amp;D125&amp;"元人民币。")</f>
        <v>本次评估不存在北京市房地产。</v>
      </c>
      <c r="M108" s="1389"/>
      <c r="N108" s="1389"/>
      <c r="O108" s="1389"/>
      <c r="P108" s="1389"/>
      <c r="Q108" s="1389"/>
    </row>
    <row r="109" spans="1:36" ht="15">
      <c r="A109" s="3555" t="s">
        <v>1633</v>
      </c>
      <c r="B109" s="3556"/>
      <c r="C109" s="3556"/>
      <c r="D109" s="3557"/>
      <c r="E109" s="1389"/>
      <c r="F109" s="3457" t="s">
        <v>2543</v>
      </c>
      <c r="G109" s="3458"/>
      <c r="H109" s="2738" t="str">
        <f>C114</f>
        <v>总额（元）</v>
      </c>
      <c r="I109" s="52">
        <f>C39</f>
        <v>0</v>
      </c>
      <c r="J109" s="2763"/>
    </row>
    <row r="110" spans="1:36" ht="12.75">
      <c r="A110" s="3455" t="s">
        <v>2546</v>
      </c>
      <c r="B110" s="3456"/>
      <c r="C110" s="2736" t="str">
        <f>B103</f>
        <v>总价（元）</v>
      </c>
      <c r="D110" s="2737">
        <f>H125</f>
        <v>0</v>
      </c>
      <c r="E110" s="1389"/>
      <c r="F110" s="3457" t="s">
        <v>2544</v>
      </c>
      <c r="G110" s="3458"/>
      <c r="H110" s="2738" t="str">
        <f>C115</f>
        <v>总额（元）</v>
      </c>
      <c r="I110" s="52">
        <f>C40</f>
        <v>0</v>
      </c>
      <c r="J110" s="2763"/>
    </row>
    <row r="111" spans="1:36" ht="12.75">
      <c r="A111" s="3455"/>
      <c r="B111" s="3456"/>
      <c r="C111" s="2736" t="s">
        <v>2547</v>
      </c>
      <c r="D111" s="52" t="e">
        <f>I125</f>
        <v>#DIV/0!</v>
      </c>
      <c r="E111" s="1389"/>
      <c r="F111" s="3455"/>
      <c r="G111" s="3456"/>
      <c r="H111" s="3489"/>
      <c r="I111" s="3490"/>
      <c r="J111" s="2781"/>
    </row>
    <row r="112" spans="1:36" ht="28.5" customHeight="1">
      <c r="A112" s="3526" t="s">
        <v>2541</v>
      </c>
      <c r="B112" s="3527"/>
      <c r="C112" s="2738" t="str">
        <f>IF(H19="元","总额（元）","总额（万元）")</f>
        <v>总额（元）</v>
      </c>
      <c r="D112" s="2737">
        <f>IF(D38="正常操作",I108+I109+I110,I109+I110)</f>
        <v>0</v>
      </c>
      <c r="E112" s="1389"/>
      <c r="F112" s="3438" t="str">
        <f>IF(项目基本情况!F5="已注销","——","3.房地产抵押价值")</f>
        <v>3.房地产抵押价值</v>
      </c>
      <c r="G112" s="3439"/>
      <c r="H112" s="1409" t="str">
        <f>C116</f>
        <v>总价（元）</v>
      </c>
      <c r="I112" s="2737">
        <f>IF(F112="——","——",I104-I107)</f>
        <v>0</v>
      </c>
      <c r="J112" s="2779"/>
    </row>
    <row r="113" spans="1:27" ht="12.75">
      <c r="A113" s="3457" t="s">
        <v>2548</v>
      </c>
      <c r="B113" s="3458"/>
      <c r="C113" s="2738" t="str">
        <f>C112</f>
        <v>总额（元）</v>
      </c>
      <c r="D113" s="52">
        <f>IF(D38="同一抵押权人同一抵押物续贷",C38&amp;"（未扣减，详见特别提示）",C38)</f>
        <v>0</v>
      </c>
      <c r="E113" s="1389"/>
      <c r="F113" s="3440"/>
      <c r="G113" s="3441"/>
      <c r="H113" s="2736" t="s">
        <v>2540</v>
      </c>
      <c r="I113" s="2740" t="e">
        <f>D117</f>
        <v>#DIV/0!</v>
      </c>
      <c r="J113" s="2782"/>
    </row>
    <row r="114" spans="1:27" ht="12.75">
      <c r="A114" s="3457" t="s">
        <v>2549</v>
      </c>
      <c r="B114" s="3458"/>
      <c r="C114" s="2738" t="str">
        <f>C112</f>
        <v>总额（元）</v>
      </c>
      <c r="D114" s="52">
        <f>C39</f>
        <v>0</v>
      </c>
      <c r="E114" s="1389"/>
      <c r="F114" s="3438" t="str">
        <f>IF(项目基本情况!F5="已注销及未注销","4.抵押担保权已注销时的房地产抵押价值",IF(项目基本情况!F5="已注销","3.抵押担保权已注销时的房地产抵押价值","——"))</f>
        <v>——</v>
      </c>
      <c r="G114" s="3439"/>
      <c r="H114" s="1409" t="str">
        <f>C118</f>
        <v>总价（元）</v>
      </c>
      <c r="I114" s="2737" t="str">
        <f>IF(F114="——","——",I104-I109-I110)</f>
        <v>——</v>
      </c>
      <c r="J114" s="2779"/>
    </row>
    <row r="115" spans="1:27" ht="12.75">
      <c r="A115" s="3457" t="s">
        <v>2550</v>
      </c>
      <c r="B115" s="3458"/>
      <c r="C115" s="2738" t="str">
        <f>C112</f>
        <v>总额（元）</v>
      </c>
      <c r="D115" s="52">
        <f>C40</f>
        <v>0</v>
      </c>
      <c r="E115" s="1389"/>
      <c r="F115" s="3440"/>
      <c r="G115" s="3441"/>
      <c r="H115" s="2736" t="s">
        <v>2540</v>
      </c>
      <c r="I115" s="52" t="str">
        <f>D119</f>
        <v>——</v>
      </c>
      <c r="J115" s="2763"/>
    </row>
    <row r="116" spans="1:27" ht="12.75">
      <c r="A116" s="3455" t="str">
        <f>IF(项目基本情况!F5="已注销","——","3.房地产抵押价值")</f>
        <v>3.房地产抵押价值</v>
      </c>
      <c r="B116" s="3456"/>
      <c r="C116" s="2736" t="str">
        <f>B103</f>
        <v>总价（元）</v>
      </c>
      <c r="D116" s="2737">
        <f>IF(A116="——","——",D110-D112)</f>
        <v>0</v>
      </c>
      <c r="E116" s="1389"/>
      <c r="F116" s="3438" t="str">
        <f>IF(项目基本情况!G5="抵押净值",IF(OR(项目基本情况!F5="已注销",项目基本情况!F5="房地产抵押价值"),"4.抵押净值","5.抵押净值"),"——")</f>
        <v>——</v>
      </c>
      <c r="G116" s="3439"/>
      <c r="H116" s="2736" t="str">
        <f>C120</f>
        <v>总价（元）</v>
      </c>
      <c r="I116" s="2737" t="str">
        <f>IF(F116="——","——",O61)</f>
        <v>——</v>
      </c>
      <c r="J116" s="2779"/>
    </row>
    <row r="117" spans="1:27" ht="13.5" thickBot="1">
      <c r="A117" s="3455"/>
      <c r="B117" s="3456"/>
      <c r="C117" s="2736" t="s">
        <v>2547</v>
      </c>
      <c r="D117" s="52" t="e">
        <f>ROUND(IF(D116=D110,D111,IF(H19="元",D116/B125,D116*10000/B125)),0)</f>
        <v>#DIV/0!</v>
      </c>
      <c r="E117" s="1389"/>
      <c r="F117" s="3518"/>
      <c r="G117" s="3519"/>
      <c r="H117" s="2741" t="s">
        <v>2540</v>
      </c>
      <c r="I117" s="2725" t="str">
        <f>D121</f>
        <v>——</v>
      </c>
      <c r="J117" s="2763"/>
    </row>
    <row r="118" spans="1:27" ht="15.75">
      <c r="A118" s="3455" t="str">
        <f>IF(项目基本情况!F5="已注销及未注销","4.抵押担保权已注销时的房地产抵押价值",IF(项目基本情况!F5="已注销","3.抵押担保权已注销时的房地产抵押价值","——"))</f>
        <v>——</v>
      </c>
      <c r="B118" s="3456"/>
      <c r="C118" s="2736" t="str">
        <f>B103</f>
        <v>总价（元）</v>
      </c>
      <c r="D118" s="2737" t="str">
        <f>IF(A118="——","——",D110-D114-D115)</f>
        <v>——</v>
      </c>
      <c r="E118" s="1389"/>
      <c r="F118" s="3433"/>
      <c r="G118" s="3433"/>
      <c r="H118" s="3474"/>
      <c r="I118" s="3474"/>
      <c r="J118" s="2783"/>
      <c r="O118" s="32"/>
      <c r="P118" s="32"/>
    </row>
    <row r="119" spans="1:27" s="1236" customFormat="1" ht="12.75">
      <c r="A119" s="3455"/>
      <c r="B119" s="3456"/>
      <c r="C119" s="2736" t="s">
        <v>2547</v>
      </c>
      <c r="D119" s="52" t="str">
        <f>IF(A118="——","——",IF(H19="元",ROUND(D118/B125,0),ROUND(D118*10000/B125,0)))</f>
        <v>——</v>
      </c>
      <c r="E119" s="1389"/>
      <c r="F119" s="3558" t="str">
        <f>IF(B33="总价","（以上估价结果中楼面单价为总价除以建筑面积得出）","（以上估价结果中总价为楼面单价乘以建筑面积得出）")</f>
        <v>（以上估价结果中总价为楼面单价乘以建筑面积得出）</v>
      </c>
      <c r="G119" s="3558"/>
      <c r="H119" s="3558"/>
      <c r="I119" s="3558"/>
      <c r="J119" s="2784"/>
      <c r="K119" s="659"/>
      <c r="L119" s="659"/>
      <c r="M119" s="659"/>
      <c r="N119" s="659"/>
      <c r="O119" s="32"/>
      <c r="P119" s="32"/>
      <c r="Q119" s="659"/>
      <c r="R119" s="659"/>
      <c r="S119" s="659"/>
      <c r="T119" s="659"/>
      <c r="U119" s="659"/>
      <c r="V119" s="659"/>
      <c r="W119" s="659"/>
      <c r="X119" s="659"/>
      <c r="Y119" s="659"/>
      <c r="Z119" s="659"/>
      <c r="AA119" s="659"/>
    </row>
    <row r="120" spans="1:27" s="1236" customFormat="1" ht="12.75">
      <c r="A120" s="3455" t="str">
        <f>IF(项目基本情况!G5="抵押净值",IF(OR(项目基本情况!F5="已注销",项目基本情况!F5="房地产抵押价值"),"4.抵押净值","5.抵押净值"),"——")</f>
        <v>——</v>
      </c>
      <c r="B120" s="3456"/>
      <c r="C120" s="2736" t="str">
        <f>B103</f>
        <v>总价（元）</v>
      </c>
      <c r="D120" s="2737" t="str">
        <f>IF(A120="——","——",O61)</f>
        <v>——</v>
      </c>
      <c r="E120" s="1389"/>
      <c r="F120" s="1443"/>
      <c r="G120" s="1443"/>
      <c r="H120" s="1443"/>
      <c r="I120" s="1443"/>
      <c r="J120" s="2784"/>
      <c r="K120" s="659"/>
      <c r="L120" s="659"/>
      <c r="M120" s="659"/>
      <c r="N120" s="659"/>
      <c r="O120" s="32"/>
      <c r="P120" s="32"/>
      <c r="Q120" s="659"/>
      <c r="R120" s="659"/>
      <c r="S120" s="659"/>
      <c r="T120" s="659"/>
      <c r="U120" s="659"/>
      <c r="V120" s="659"/>
      <c r="W120" s="659"/>
      <c r="X120" s="659"/>
      <c r="Y120" s="659"/>
      <c r="Z120" s="659"/>
      <c r="AA120" s="659"/>
    </row>
    <row r="121" spans="1:27" s="1236" customFormat="1" ht="13.5" thickBot="1">
      <c r="A121" s="3524"/>
      <c r="B121" s="3525"/>
      <c r="C121" s="2741" t="s">
        <v>2547</v>
      </c>
      <c r="D121" s="2725" t="str">
        <f>IF(D120=D110,D111,IF(A120="——","——",O63))</f>
        <v>——</v>
      </c>
      <c r="E121" s="1389"/>
      <c r="F121" s="1443"/>
      <c r="G121" s="1443"/>
      <c r="H121" s="1443"/>
      <c r="I121" s="1443"/>
      <c r="J121" s="2784"/>
      <c r="K121" s="659"/>
      <c r="L121" s="659"/>
      <c r="M121" s="659"/>
      <c r="N121" s="659"/>
      <c r="O121" s="32"/>
      <c r="P121" s="32"/>
      <c r="Q121" s="659"/>
      <c r="R121" s="659"/>
      <c r="S121" s="659"/>
      <c r="T121" s="659"/>
      <c r="U121" s="659"/>
      <c r="V121" s="659"/>
      <c r="W121" s="659"/>
      <c r="X121" s="659"/>
      <c r="Y121" s="659"/>
      <c r="Z121" s="659"/>
      <c r="AA121" s="659"/>
    </row>
    <row r="122" spans="1:27" s="1236" customFormat="1" ht="15">
      <c r="A122" s="3475" t="s">
        <v>1672</v>
      </c>
      <c r="B122" s="3476"/>
      <c r="C122" s="3476"/>
      <c r="D122" s="3476"/>
      <c r="E122" s="3476"/>
      <c r="F122" s="3476"/>
      <c r="G122" s="3476"/>
      <c r="H122" s="3476"/>
      <c r="I122" s="3476"/>
      <c r="J122" s="2785"/>
      <c r="K122" s="659"/>
      <c r="L122" s="659"/>
      <c r="M122" s="659"/>
      <c r="N122" s="659"/>
      <c r="O122" s="659"/>
      <c r="P122" s="659"/>
      <c r="Q122" s="659"/>
      <c r="R122" s="659"/>
      <c r="S122" s="659"/>
      <c r="T122" s="659"/>
      <c r="U122" s="659"/>
      <c r="V122" s="659"/>
      <c r="W122" s="659"/>
      <c r="X122" s="659"/>
      <c r="Y122" s="659"/>
      <c r="Z122" s="659"/>
      <c r="AA122" s="659"/>
    </row>
    <row r="123" spans="1:27" s="1236" customFormat="1" ht="12.75">
      <c r="A123" s="3448" t="s">
        <v>2551</v>
      </c>
      <c r="B123" s="3446" t="s">
        <v>2552</v>
      </c>
      <c r="C123" s="3446" t="s">
        <v>2558</v>
      </c>
      <c r="D123" s="3453" t="s">
        <v>2553</v>
      </c>
      <c r="E123" s="3454"/>
      <c r="F123" s="3444" t="s">
        <v>2559</v>
      </c>
      <c r="G123" s="3444"/>
      <c r="H123" s="3444" t="s">
        <v>2554</v>
      </c>
      <c r="I123" s="3445"/>
      <c r="J123" s="2763"/>
      <c r="K123" s="659"/>
      <c r="L123" s="659"/>
      <c r="M123" s="659"/>
      <c r="N123" s="659"/>
      <c r="O123" s="659"/>
      <c r="P123" s="659"/>
      <c r="Q123" s="659"/>
      <c r="R123" s="659"/>
      <c r="S123" s="659"/>
      <c r="T123" s="659"/>
      <c r="U123" s="659"/>
      <c r="V123" s="659"/>
      <c r="W123" s="659"/>
      <c r="X123" s="659"/>
      <c r="Y123" s="659"/>
      <c r="Z123" s="659"/>
      <c r="AA123" s="659"/>
    </row>
    <row r="124" spans="1:27" s="1236" customFormat="1" ht="12.75">
      <c r="A124" s="3448"/>
      <c r="B124" s="3447"/>
      <c r="C124" s="3447"/>
      <c r="D124" s="2020" t="s">
        <v>2555</v>
      </c>
      <c r="E124" s="2020" t="s">
        <v>2560</v>
      </c>
      <c r="F124" s="2020" t="s">
        <v>2555</v>
      </c>
      <c r="G124" s="2020" t="s">
        <v>2556</v>
      </c>
      <c r="H124" s="2020" t="s">
        <v>2555</v>
      </c>
      <c r="I124" s="52" t="s">
        <v>2556</v>
      </c>
      <c r="J124" s="2763"/>
      <c r="K124" s="659"/>
      <c r="L124" s="659"/>
      <c r="M124" s="659"/>
      <c r="N124" s="659"/>
      <c r="O124" s="659"/>
      <c r="P124" s="659"/>
      <c r="Q124" s="659"/>
      <c r="R124" s="659"/>
      <c r="S124" s="659"/>
      <c r="T124" s="659"/>
      <c r="U124" s="659"/>
      <c r="V124" s="659"/>
      <c r="W124" s="659"/>
      <c r="X124" s="659"/>
      <c r="Y124" s="659"/>
      <c r="Z124" s="659"/>
      <c r="AA124" s="659"/>
    </row>
    <row r="125" spans="1:27" s="1236" customFormat="1" ht="12.75">
      <c r="A125" s="2010" t="str">
        <f>项目基本情况!I1</f>
        <v>北京市房地产</v>
      </c>
      <c r="B125" s="2020">
        <f>典型户型修正!B25</f>
        <v>0</v>
      </c>
      <c r="C125" s="1384"/>
      <c r="D125" s="2020">
        <f>C36</f>
        <v>0</v>
      </c>
      <c r="E125" s="2020" t="e">
        <f>ROUND(IF(H19="元",D125/B125,D125*10000/B125),0)</f>
        <v>#DIV/0!</v>
      </c>
      <c r="F125" s="2020">
        <f>C37</f>
        <v>0</v>
      </c>
      <c r="G125" s="2020" t="e">
        <f>ROUND(IF(H19="元",F125/B125,F125*10000/B125),0)</f>
        <v>#DIV/0!</v>
      </c>
      <c r="H125" s="2020">
        <f>C34</f>
        <v>0</v>
      </c>
      <c r="I125" s="52" t="e">
        <f>C35</f>
        <v>#DIV/0!</v>
      </c>
      <c r="J125" s="2763"/>
      <c r="K125" s="659"/>
      <c r="L125" s="659"/>
      <c r="M125" s="659"/>
      <c r="N125" s="659"/>
      <c r="O125" s="659"/>
      <c r="P125" s="659"/>
      <c r="Q125" s="659"/>
      <c r="R125" s="659"/>
      <c r="S125" s="659"/>
      <c r="T125" s="659"/>
      <c r="U125" s="659"/>
      <c r="V125" s="659"/>
      <c r="W125" s="659"/>
      <c r="X125" s="659"/>
      <c r="Y125" s="659"/>
      <c r="Z125" s="659"/>
      <c r="AA125" s="659"/>
    </row>
    <row r="126" spans="1:27" s="1236" customFormat="1" ht="12.75">
      <c r="A126" s="3448" t="s">
        <v>2557</v>
      </c>
      <c r="B126" s="3444"/>
      <c r="C126" s="3444"/>
      <c r="D126" s="3479" t="str">
        <f>IF(H19="元",NUMBERSTRING(INT(D125),2)&amp;"元整",NUMBERSTRING(INT(D125*10000),2)&amp;"元整")</f>
        <v>零元整</v>
      </c>
      <c r="E126" s="3480"/>
      <c r="F126" s="3479" t="str">
        <f>IF(H19="元",NUMBERSTRING(INT(F125),2)&amp;"元整",NUMBERSTRING(INT(F125*10000),2)&amp;"元整")</f>
        <v>零元整</v>
      </c>
      <c r="G126" s="3480"/>
      <c r="H126" s="3479" t="str">
        <f>IF(H19="元",NUMBERSTRING(INT(H125),2)&amp;"元整",NUMBERSTRING(INT(H125*10000),2)&amp;"元整")</f>
        <v>零元整</v>
      </c>
      <c r="I126" s="3528"/>
      <c r="J126" s="2786"/>
      <c r="K126" s="659"/>
      <c r="L126" s="659"/>
      <c r="M126" s="659"/>
      <c r="N126" s="659"/>
      <c r="O126" s="659"/>
      <c r="P126" s="659"/>
      <c r="Q126" s="659"/>
      <c r="R126" s="659"/>
      <c r="S126" s="659"/>
      <c r="T126" s="659"/>
      <c r="U126" s="659"/>
      <c r="V126" s="659"/>
      <c r="W126" s="659"/>
      <c r="X126" s="659"/>
      <c r="Y126" s="659"/>
      <c r="Z126" s="659"/>
      <c r="AA126" s="659"/>
    </row>
    <row r="127" spans="1:27" s="1236" customFormat="1" ht="12.75">
      <c r="A127" s="3468" t="str">
        <f>IF(项目基本情况!D5="房地产市场价值","——",MID(A112,3,LEN(A112)-2))</f>
        <v>估价师所知悉的法定优先受偿款</v>
      </c>
      <c r="B127" s="3481"/>
      <c r="C127" s="3470"/>
      <c r="D127" s="3472">
        <f>I107</f>
        <v>0</v>
      </c>
      <c r="E127" s="3481"/>
      <c r="F127" s="3481"/>
      <c r="G127" s="3481"/>
      <c r="H127" s="3481"/>
      <c r="I127" s="3469"/>
      <c r="J127" s="2779"/>
      <c r="K127" s="659"/>
      <c r="L127" s="659"/>
      <c r="M127" s="659"/>
      <c r="N127" s="659"/>
      <c r="O127" s="659"/>
      <c r="P127" s="659"/>
      <c r="Q127" s="659"/>
      <c r="R127" s="659"/>
      <c r="S127" s="659"/>
      <c r="T127" s="659"/>
      <c r="U127" s="659"/>
      <c r="V127" s="659"/>
      <c r="W127" s="659"/>
      <c r="X127" s="659"/>
      <c r="Y127" s="659"/>
      <c r="Z127" s="659"/>
      <c r="AA127" s="659"/>
    </row>
    <row r="128" spans="1:27" s="1236" customFormat="1" ht="12.75">
      <c r="A128" s="3482" t="s">
        <v>2557</v>
      </c>
      <c r="B128" s="3483"/>
      <c r="C128" s="3484"/>
      <c r="D128" s="3520">
        <f>H111</f>
        <v>0</v>
      </c>
      <c r="E128" s="3521"/>
      <c r="F128" s="3521"/>
      <c r="G128" s="3521"/>
      <c r="H128" s="3521"/>
      <c r="I128" s="3522"/>
      <c r="J128" s="2787"/>
      <c r="K128" s="659"/>
      <c r="L128" s="659"/>
      <c r="M128" s="659"/>
      <c r="N128" s="659"/>
      <c r="O128" s="659"/>
      <c r="P128" s="659"/>
      <c r="Q128" s="659"/>
      <c r="R128" s="659"/>
      <c r="S128" s="659"/>
      <c r="T128" s="659"/>
      <c r="U128" s="659"/>
      <c r="V128" s="659"/>
      <c r="W128" s="659"/>
      <c r="X128" s="659"/>
      <c r="Y128" s="659"/>
      <c r="Z128" s="659"/>
      <c r="AA128" s="659"/>
    </row>
    <row r="129" spans="1:27" s="1236" customFormat="1" ht="12.75">
      <c r="A129" s="3455" t="str">
        <f>IF(项目基本情况!D5="房地产市场价值","——",MID(A116,3,LEN(A116)-2))</f>
        <v>房地产抵押价值</v>
      </c>
      <c r="B129" s="3456"/>
      <c r="C129" s="3456"/>
      <c r="D129" s="3472">
        <f>I112</f>
        <v>0</v>
      </c>
      <c r="E129" s="3481"/>
      <c r="F129" s="3481"/>
      <c r="G129" s="3481"/>
      <c r="H129" s="3481"/>
      <c r="I129" s="3469"/>
      <c r="J129" s="2779"/>
      <c r="K129" s="659"/>
      <c r="L129" s="659"/>
      <c r="M129" s="659"/>
      <c r="N129" s="659"/>
      <c r="O129" s="659"/>
      <c r="P129" s="659"/>
      <c r="Q129" s="659"/>
      <c r="R129" s="659"/>
      <c r="S129" s="659"/>
      <c r="T129" s="659"/>
      <c r="U129" s="659"/>
      <c r="V129" s="659"/>
      <c r="W129" s="659"/>
      <c r="X129" s="659"/>
      <c r="Y129" s="659"/>
      <c r="Z129" s="659"/>
      <c r="AA129" s="659"/>
    </row>
    <row r="130" spans="1:27" s="1236" customFormat="1" ht="12.75">
      <c r="A130" s="3448" t="s">
        <v>2557</v>
      </c>
      <c r="B130" s="3444"/>
      <c r="C130" s="3444"/>
      <c r="D130" s="3520" t="e">
        <f>I113</f>
        <v>#DIV/0!</v>
      </c>
      <c r="E130" s="3521"/>
      <c r="F130" s="3521"/>
      <c r="G130" s="3521"/>
      <c r="H130" s="3521"/>
      <c r="I130" s="3522"/>
      <c r="J130" s="2787"/>
      <c r="K130" s="659"/>
      <c r="L130" s="659"/>
      <c r="M130" s="659"/>
      <c r="N130" s="659"/>
      <c r="O130" s="659"/>
      <c r="P130" s="659"/>
      <c r="Q130" s="659"/>
      <c r="R130" s="659"/>
      <c r="S130" s="659"/>
      <c r="T130" s="659"/>
      <c r="U130" s="659"/>
      <c r="V130" s="659"/>
      <c r="W130" s="659"/>
      <c r="X130" s="659"/>
      <c r="Y130" s="659"/>
      <c r="Z130" s="659"/>
      <c r="AA130" s="659"/>
    </row>
    <row r="131" spans="1:27" s="1236" customFormat="1" ht="13.5" thickBot="1">
      <c r="A131" s="3455" t="str">
        <f>IF(项目基本情况!D5="房地产市场价值","——",MID(A118,3,LEN(A118)-2))</f>
        <v/>
      </c>
      <c r="B131" s="3456"/>
      <c r="C131" s="3456"/>
      <c r="D131" s="3428" t="str">
        <f>I114</f>
        <v>——</v>
      </c>
      <c r="E131" s="3429"/>
      <c r="F131" s="3429"/>
      <c r="G131" s="3429"/>
      <c r="H131" s="3429"/>
      <c r="I131" s="3430"/>
      <c r="J131" s="2779"/>
      <c r="K131" s="659"/>
      <c r="L131" s="659"/>
      <c r="M131" s="659"/>
      <c r="N131" s="659"/>
      <c r="O131" s="659"/>
      <c r="P131" s="659"/>
      <c r="Q131" s="659"/>
      <c r="R131" s="659"/>
      <c r="S131" s="659"/>
      <c r="T131" s="659"/>
      <c r="U131" s="659"/>
      <c r="V131" s="659"/>
      <c r="W131" s="659"/>
      <c r="X131" s="659"/>
      <c r="Y131" s="659"/>
      <c r="Z131" s="659"/>
      <c r="AA131" s="659"/>
    </row>
    <row r="132" spans="1:27" s="1236" customFormat="1" ht="14.25" thickTop="1" thickBot="1">
      <c r="A132" s="3448" t="s">
        <v>2557</v>
      </c>
      <c r="B132" s="3444"/>
      <c r="C132" s="3495"/>
      <c r="D132" s="3473" t="str">
        <f>I115</f>
        <v>——</v>
      </c>
      <c r="E132" s="3473"/>
      <c r="F132" s="3473"/>
      <c r="G132" s="3473"/>
      <c r="H132" s="3473"/>
      <c r="I132" s="3473"/>
      <c r="J132" s="2787"/>
      <c r="K132" s="659"/>
      <c r="L132" s="659"/>
      <c r="M132" s="659"/>
      <c r="N132" s="659"/>
      <c r="O132" s="659"/>
      <c r="P132" s="659"/>
      <c r="Q132" s="659"/>
      <c r="R132" s="659"/>
      <c r="S132" s="659"/>
      <c r="T132" s="659"/>
      <c r="U132" s="659"/>
      <c r="V132" s="659"/>
      <c r="W132" s="659"/>
      <c r="X132" s="659"/>
      <c r="Y132" s="659"/>
      <c r="Z132" s="659"/>
      <c r="AA132" s="659"/>
    </row>
    <row r="133" spans="1:27" s="1236" customFormat="1" ht="14.25" thickTop="1" thickBot="1">
      <c r="A133" s="3455" t="str">
        <f>IF(项目基本情况!D5="房地产市场价值","——",MID(F116,3,LEN(F116)-2))</f>
        <v/>
      </c>
      <c r="B133" s="3456"/>
      <c r="C133" s="3472"/>
      <c r="D133" s="3523" t="str">
        <f>I116</f>
        <v>——</v>
      </c>
      <c r="E133" s="3523"/>
      <c r="F133" s="3523"/>
      <c r="G133" s="3523"/>
      <c r="H133" s="3523"/>
      <c r="I133" s="3523"/>
      <c r="J133" s="2779"/>
      <c r="K133" s="659"/>
      <c r="L133" s="659"/>
      <c r="M133" s="659"/>
      <c r="N133" s="659"/>
      <c r="O133" s="659"/>
      <c r="P133" s="659"/>
      <c r="Q133" s="659"/>
      <c r="R133" s="659"/>
      <c r="S133" s="659"/>
      <c r="T133" s="659"/>
      <c r="U133" s="659"/>
      <c r="V133" s="659"/>
      <c r="W133" s="659"/>
      <c r="X133" s="659"/>
      <c r="Y133" s="659"/>
      <c r="Z133" s="659"/>
      <c r="AA133" s="659"/>
    </row>
    <row r="134" spans="1:27" s="1236" customFormat="1" ht="14.25" thickTop="1" thickBot="1">
      <c r="A134" s="3511" t="s">
        <v>2557</v>
      </c>
      <c r="B134" s="3512"/>
      <c r="C134" s="3512"/>
      <c r="D134" s="3529">
        <f>H118</f>
        <v>0</v>
      </c>
      <c r="E134" s="3530"/>
      <c r="F134" s="3530"/>
      <c r="G134" s="3530"/>
      <c r="H134" s="3530"/>
      <c r="I134" s="3531"/>
      <c r="J134" s="2787"/>
      <c r="K134" s="659"/>
      <c r="L134" s="659"/>
      <c r="M134" s="659"/>
      <c r="N134" s="659"/>
      <c r="O134" s="659"/>
      <c r="P134" s="659"/>
      <c r="Q134" s="659"/>
      <c r="R134" s="659"/>
      <c r="S134" s="659"/>
      <c r="T134" s="659"/>
      <c r="U134" s="659"/>
      <c r="V134" s="659"/>
      <c r="W134" s="659"/>
      <c r="X134" s="659"/>
      <c r="Y134" s="659"/>
      <c r="Z134" s="659"/>
      <c r="AA134" s="659"/>
    </row>
    <row r="135" spans="1:27" s="1236" customFormat="1" ht="12.75">
      <c r="A135" s="1409" t="str">
        <f>IF(H19="元","单位：平方米、元、元/平方米（币种：人民币）","单位：平方米、万元、元/平方米（币种：人民币）")</f>
        <v>单位：平方米、元、元/平方米（币种：人民币）</v>
      </c>
      <c r="B135" s="1409"/>
      <c r="C135" s="1409"/>
      <c r="D135" s="1409"/>
      <c r="E135" s="1409"/>
      <c r="F135" s="1409"/>
      <c r="G135" s="1409"/>
      <c r="H135" s="1409"/>
      <c r="I135" s="1409"/>
      <c r="J135" s="2788"/>
      <c r="K135" s="659"/>
      <c r="L135" s="659"/>
      <c r="M135" s="659"/>
      <c r="N135" s="659"/>
      <c r="O135" s="659"/>
      <c r="P135" s="659"/>
      <c r="Q135" s="659"/>
      <c r="R135" s="659"/>
      <c r="S135" s="659"/>
      <c r="T135" s="659"/>
      <c r="U135" s="659"/>
      <c r="V135" s="659"/>
      <c r="W135" s="659"/>
      <c r="X135" s="659"/>
      <c r="Y135" s="659"/>
      <c r="Z135" s="659"/>
      <c r="AA135" s="659"/>
    </row>
    <row r="136" spans="1:27" s="1236" customFormat="1" ht="13.5" thickBot="1">
      <c r="A136" s="3516" t="str">
        <f>IF(B33="总价","（以上估价结果中楼面单价为总价除以建筑面积得出）","（以上估价结果中总价为楼面单价乘以建筑面积得出）")</f>
        <v>（以上估价结果中总价为楼面单价乘以建筑面积得出）</v>
      </c>
      <c r="B136" s="3516"/>
      <c r="C136" s="3516"/>
      <c r="D136" s="3516"/>
      <c r="E136" s="3516"/>
      <c r="F136" s="3516"/>
      <c r="G136" s="3516"/>
      <c r="H136" s="3516"/>
      <c r="I136" s="3516"/>
      <c r="J136" s="2781"/>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89"/>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89"/>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89"/>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0"/>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89"/>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0"/>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1"/>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0"/>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0"/>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1"/>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1"/>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0"/>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0"/>
    </row>
    <row r="152" spans="1:27" s="659" customFormat="1" ht="21.75" customHeight="1">
      <c r="J152" s="2790"/>
    </row>
    <row r="153" spans="1:27" s="659" customFormat="1" ht="21.75" customHeight="1">
      <c r="J153" s="2790"/>
    </row>
    <row r="154" spans="1:27" s="659" customFormat="1" ht="21.75" customHeight="1">
      <c r="J154" s="2790"/>
    </row>
    <row r="155" spans="1:27" s="659" customFormat="1" ht="21.75" customHeight="1">
      <c r="J155" s="2790"/>
    </row>
    <row r="156" spans="1:27" s="659" customFormat="1" ht="21.75" customHeight="1">
      <c r="J156" s="2790"/>
    </row>
    <row r="157" spans="1:27" s="659" customFormat="1" ht="21.75" customHeight="1">
      <c r="J157" s="2790"/>
    </row>
    <row r="158" spans="1:27" s="659" customFormat="1" ht="21.75" customHeight="1">
      <c r="J158" s="2790"/>
    </row>
    <row r="159" spans="1:27" s="659" customFormat="1" ht="21.75" customHeight="1">
      <c r="J159" s="2790"/>
    </row>
    <row r="160" spans="1:27"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27" s="659" customFormat="1" ht="21.75" customHeight="1">
      <c r="J369" s="2790"/>
    </row>
    <row r="370" spans="10:27" s="659" customFormat="1" ht="21.75" customHeight="1">
      <c r="J370" s="2790"/>
    </row>
    <row r="371" spans="10:27" s="659" customFormat="1" ht="21.75" customHeight="1">
      <c r="J371" s="2790"/>
    </row>
    <row r="372" spans="10:27" s="659" customFormat="1" ht="21.75" customHeight="1">
      <c r="J372" s="2790"/>
    </row>
    <row r="373" spans="10:27" s="659" customFormat="1" ht="21.75" customHeight="1">
      <c r="J373" s="2790"/>
    </row>
    <row r="374" spans="10:27" s="659" customFormat="1" ht="21.75" customHeight="1">
      <c r="J374" s="2790"/>
    </row>
    <row r="375" spans="10:27" s="659" customFormat="1" ht="21.75" customHeight="1">
      <c r="J375" s="2790"/>
    </row>
    <row r="376" spans="10:27" s="659" customFormat="1" ht="21.75" customHeight="1">
      <c r="J376" s="2790"/>
    </row>
    <row r="377" spans="10:27" s="659" customFormat="1" ht="21.75" customHeight="1">
      <c r="J377" s="2790"/>
    </row>
    <row r="378" spans="10:27" s="659" customFormat="1" ht="21.75" customHeight="1">
      <c r="J378" s="2790"/>
    </row>
    <row r="379" spans="10:27" s="659" customFormat="1" ht="21.75" customHeight="1">
      <c r="J379" s="2790"/>
    </row>
    <row r="380" spans="10:27" s="659" customFormat="1" ht="21.75" customHeight="1">
      <c r="J380" s="2790"/>
    </row>
    <row r="381" spans="10:27" s="659" customFormat="1" ht="21.75" customHeight="1">
      <c r="J381" s="2790"/>
    </row>
    <row r="382" spans="10:27" s="659" customFormat="1" ht="21.75" customHeight="1">
      <c r="J382" s="2790"/>
    </row>
    <row r="383" spans="10:27" s="1236" customFormat="1" ht="21.75" customHeight="1">
      <c r="J383" s="2760"/>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0"/>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0"/>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0"/>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0"/>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0"/>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0"/>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0"/>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0"/>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0"/>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0"/>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0"/>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0"/>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0"/>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0"/>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0"/>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0"/>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0"/>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0"/>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0"/>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0"/>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0"/>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0"/>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0"/>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0"/>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53" sqref="G5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1831651</v>
      </c>
      <c r="C2" s="79" t="str">
        <f>'数据-取费表'!B3</f>
        <v>元</v>
      </c>
      <c r="D2" s="1444" t="s">
        <v>1001</v>
      </c>
      <c r="E2" s="1109" t="e">
        <f ca="1">SUMIF(INDIRECT("'"&amp;G2&amp;"'"&amp;"!A:A"),"承租人权益价值",INDIRECT("'"&amp;G2&amp;"'"&amp;"!c:c"))</f>
        <v>#REF!</v>
      </c>
      <c r="F2" s="1445" t="str">
        <f>C2</f>
        <v>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24839</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903"/>
      <c r="I4" s="2903"/>
      <c r="J4" s="2903"/>
      <c r="K4" s="2903"/>
      <c r="L4" s="2903"/>
      <c r="M4" s="2903"/>
      <c r="N4" s="2903"/>
      <c r="O4" s="2903"/>
      <c r="P4" s="2903"/>
      <c r="Q4" s="2903"/>
      <c r="R4" s="2903"/>
      <c r="S4" s="2903"/>
      <c r="T4" s="2903"/>
      <c r="U4" s="2903"/>
      <c r="V4" s="2903"/>
      <c r="W4" s="2903"/>
      <c r="X4" s="2903"/>
      <c r="Y4" s="2903"/>
      <c r="Z4" s="2903"/>
      <c r="AA4" s="2903"/>
      <c r="AB4" s="2903"/>
      <c r="AC4" s="2903"/>
      <c r="AD4" s="2903"/>
      <c r="AE4" s="2903"/>
      <c r="AF4" s="2903"/>
      <c r="AG4" s="2903"/>
      <c r="AH4" s="2903"/>
      <c r="AI4" s="2903"/>
      <c r="AJ4" s="2903"/>
      <c r="AK4" s="2903"/>
      <c r="AL4" s="2903"/>
      <c r="AM4" s="2903"/>
      <c r="AN4" s="2903"/>
      <c r="AO4" s="2903"/>
      <c r="AP4" s="2903"/>
      <c r="AQ4" s="2903"/>
      <c r="AR4" s="2903"/>
      <c r="AS4" s="2903"/>
      <c r="AT4" s="2903"/>
      <c r="AU4" s="2903"/>
      <c r="AV4" s="2903"/>
      <c r="AW4" s="2903"/>
      <c r="AX4" s="2903"/>
      <c r="AY4" s="2903"/>
      <c r="AZ4" s="2903"/>
      <c r="BA4" s="2903"/>
      <c r="BB4" s="2903"/>
      <c r="BC4" s="2903"/>
      <c r="BD4" s="2903"/>
      <c r="BE4" s="2903"/>
      <c r="BF4" s="2903"/>
      <c r="BG4" s="2903"/>
      <c r="BH4" s="2903"/>
      <c r="BI4" s="2903"/>
      <c r="BJ4" s="2903"/>
      <c r="BK4" s="2903"/>
      <c r="BL4" s="2903"/>
      <c r="BM4" s="2903"/>
      <c r="BN4" s="2903"/>
      <c r="BO4" s="2903"/>
      <c r="BP4" s="2903"/>
      <c r="BQ4" s="2903"/>
      <c r="BR4" s="2903"/>
      <c r="BS4" s="2903"/>
      <c r="BT4" s="2903"/>
      <c r="BU4" s="2903"/>
      <c r="BV4" s="2903"/>
      <c r="BW4" s="2903"/>
      <c r="BX4" s="2903"/>
      <c r="BY4" s="2903"/>
      <c r="BZ4" s="2903"/>
      <c r="CA4" s="2903"/>
      <c r="CB4" s="2903"/>
      <c r="CC4" s="2903"/>
      <c r="CD4" s="2903"/>
      <c r="CE4" s="2903"/>
      <c r="CF4" s="2903"/>
      <c r="CG4" s="2903"/>
      <c r="CH4" s="2903"/>
      <c r="CI4" s="2903"/>
      <c r="CJ4" s="2903"/>
      <c r="CK4" s="2903"/>
      <c r="CL4" s="2903"/>
      <c r="CM4" s="2903"/>
      <c r="CN4" s="2903"/>
      <c r="CO4" s="2903"/>
      <c r="CP4" s="2903"/>
      <c r="CQ4" s="2903"/>
      <c r="CR4" s="2903"/>
      <c r="CS4" s="2903"/>
      <c r="CT4" s="2903"/>
      <c r="CU4" s="2903"/>
      <c r="CV4" s="2903"/>
      <c r="CW4" s="2903"/>
      <c r="CX4" s="2903"/>
      <c r="CY4" s="2903"/>
      <c r="CZ4" s="2903"/>
      <c r="DA4" s="2903"/>
      <c r="DB4" s="2903"/>
      <c r="DC4" s="2903"/>
      <c r="DD4" s="2903"/>
      <c r="DE4" s="2903"/>
      <c r="DF4" s="2903"/>
      <c r="DG4" s="2903"/>
      <c r="DH4" s="2903"/>
      <c r="DI4" s="2903"/>
      <c r="DJ4" s="2903"/>
      <c r="DK4" s="2903"/>
      <c r="DL4" s="2903"/>
      <c r="DM4" s="2903"/>
      <c r="DN4" s="2903"/>
      <c r="DO4" s="2903"/>
      <c r="DP4" s="2903"/>
      <c r="DQ4" s="2903"/>
      <c r="DR4" s="2903"/>
      <c r="DS4" s="2903"/>
    </row>
    <row r="5" spans="1:123" s="91" customFormat="1" ht="13.5" customHeight="1">
      <c r="A5" s="120" t="s">
        <v>1678</v>
      </c>
      <c r="B5" s="89" t="s">
        <v>1679</v>
      </c>
      <c r="C5" s="111">
        <f>C6+C7+C8</f>
        <v>1045248</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v>1000000</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14748</v>
      </c>
      <c r="D8" s="1099"/>
      <c r="E8" s="115"/>
      <c r="F8" s="1098"/>
      <c r="G8" s="1446"/>
    </row>
    <row r="9" spans="1:123" s="91" customFormat="1" ht="13.5" customHeight="1">
      <c r="A9" s="951" t="s">
        <v>763</v>
      </c>
      <c r="B9" s="97" t="s">
        <v>1689</v>
      </c>
      <c r="C9" s="1100">
        <f>ROUND(D9*E9,0)</f>
        <v>0</v>
      </c>
      <c r="D9" s="1101">
        <f>IF('数据-取费表'!B10="住宅",IF(B1="仅计算典型户型",'数据-取费表'!E5,'数据-取费表'!B5),0)</f>
        <v>0</v>
      </c>
      <c r="E9" s="1100">
        <f>'数据-取费表'!E11</f>
        <v>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14748</v>
      </c>
      <c r="D10" s="1101">
        <f>IF('数据-取费表'!B10&lt;&gt;"住宅",IF(B1="仅计算典型户型",'数据-取费表'!E5,'数据-取费表'!B5),0)</f>
        <v>73.739999999999995</v>
      </c>
      <c r="E10" s="1100">
        <f>'数据-取费表'!E12</f>
        <v>200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14748</v>
      </c>
      <c r="D19" s="1104">
        <f>IF(B1="仅计算典型户型",'数据-取费表'!E5,'数据-取费表'!B5)</f>
        <v>73.739999999999995</v>
      </c>
      <c r="E19" s="111">
        <f>'数据-取费表'!E15</f>
        <v>200</v>
      </c>
      <c r="F19" s="112"/>
      <c r="G19" s="1446"/>
    </row>
    <row r="20" spans="1:123" s="91" customFormat="1" ht="13.5" customHeight="1">
      <c r="A20" s="120" t="s">
        <v>1702</v>
      </c>
      <c r="B20" s="89" t="s">
        <v>1703</v>
      </c>
      <c r="C20" s="99">
        <f>ROUND((C5+C19)*F20,0)</f>
        <v>21200</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91800</v>
      </c>
      <c r="D22" s="101">
        <f ca="1">C26</f>
        <v>8.0000000000000004E-4</v>
      </c>
      <c r="E22" s="102" t="s">
        <v>1707</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89645</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1265</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890</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52" t="s">
        <v>1720</v>
      </c>
      <c r="B27" s="110" t="s">
        <v>1721</v>
      </c>
      <c r="C27" s="111">
        <f>C28</f>
        <v>162179</v>
      </c>
      <c r="D27" s="101">
        <f>C29</f>
        <v>3.0000000000000001E-3</v>
      </c>
      <c r="E27" s="102" t="s">
        <v>1707</v>
      </c>
      <c r="F27" s="112">
        <f>'数据-取费表'!E28</f>
        <v>0.15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162179</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1446717</v>
      </c>
      <c r="D31" s="1104"/>
      <c r="E31" s="111"/>
      <c r="F31" s="1105"/>
      <c r="G31" s="100" t="s">
        <v>1729</v>
      </c>
    </row>
    <row r="32" spans="1:123" s="88" customFormat="1" ht="15.75">
      <c r="A32" s="117" t="s">
        <v>1730</v>
      </c>
      <c r="B32" s="118"/>
      <c r="C32" s="1106"/>
      <c r="D32" s="1106"/>
      <c r="E32" s="1106"/>
      <c r="F32" s="1106"/>
      <c r="G32" s="119"/>
      <c r="H32" s="2903"/>
      <c r="I32" s="2903"/>
      <c r="J32" s="2903"/>
      <c r="K32" s="2903"/>
      <c r="L32" s="2903"/>
      <c r="M32" s="2903"/>
      <c r="N32" s="2903"/>
      <c r="O32" s="2903"/>
      <c r="P32" s="2903"/>
      <c r="Q32" s="2903"/>
      <c r="R32" s="2903"/>
      <c r="S32" s="2903"/>
      <c r="T32" s="2903"/>
      <c r="U32" s="2903"/>
      <c r="V32" s="2903"/>
      <c r="W32" s="2903"/>
      <c r="X32" s="2903"/>
      <c r="Y32" s="2903"/>
      <c r="Z32" s="2903"/>
      <c r="AA32" s="2903"/>
      <c r="AB32" s="2903"/>
      <c r="AC32" s="2903"/>
      <c r="AD32" s="2903"/>
      <c r="AE32" s="2903"/>
      <c r="AF32" s="2903"/>
      <c r="AG32" s="2903"/>
      <c r="AH32" s="2903"/>
      <c r="AI32" s="2903"/>
      <c r="AJ32" s="2903"/>
      <c r="AK32" s="2903"/>
      <c r="AL32" s="2903"/>
      <c r="AM32" s="2903"/>
      <c r="AN32" s="2903"/>
      <c r="AO32" s="2903"/>
      <c r="AP32" s="2903"/>
      <c r="AQ32" s="2903"/>
      <c r="AR32" s="2903"/>
      <c r="AS32" s="2903"/>
      <c r="AT32" s="2903"/>
      <c r="AU32" s="2903"/>
      <c r="AV32" s="2903"/>
      <c r="AW32" s="2903"/>
      <c r="AX32" s="2903"/>
      <c r="AY32" s="2903"/>
      <c r="AZ32" s="2903"/>
      <c r="BA32" s="2903"/>
      <c r="BB32" s="2903"/>
      <c r="BC32" s="2903"/>
      <c r="BD32" s="2903"/>
      <c r="BE32" s="2903"/>
      <c r="BF32" s="2903"/>
      <c r="BG32" s="2903"/>
      <c r="BH32" s="2903"/>
      <c r="BI32" s="2903"/>
      <c r="BJ32" s="2903"/>
      <c r="BK32" s="2903"/>
      <c r="BL32" s="2903"/>
      <c r="BM32" s="2903"/>
      <c r="BN32" s="2903"/>
      <c r="BO32" s="2903"/>
      <c r="BP32" s="2903"/>
      <c r="BQ32" s="2903"/>
      <c r="BR32" s="2903"/>
      <c r="BS32" s="2903"/>
      <c r="BT32" s="2903"/>
      <c r="BU32" s="2903"/>
      <c r="BV32" s="2903"/>
      <c r="BW32" s="2903"/>
      <c r="BX32" s="2903"/>
      <c r="BY32" s="2903"/>
      <c r="BZ32" s="2903"/>
      <c r="CA32" s="2903"/>
      <c r="CB32" s="2903"/>
      <c r="CC32" s="2903"/>
      <c r="CD32" s="2903"/>
      <c r="CE32" s="2903"/>
      <c r="CF32" s="2903"/>
      <c r="CG32" s="2903"/>
      <c r="CH32" s="2903"/>
      <c r="CI32" s="2903"/>
      <c r="CJ32" s="2903"/>
      <c r="CK32" s="2903"/>
      <c r="CL32" s="2903"/>
      <c r="CM32" s="2903"/>
      <c r="CN32" s="2903"/>
      <c r="CO32" s="2903"/>
      <c r="CP32" s="2903"/>
      <c r="CQ32" s="2903"/>
      <c r="CR32" s="2903"/>
      <c r="CS32" s="2903"/>
      <c r="CT32" s="2903"/>
      <c r="CU32" s="2903"/>
      <c r="CV32" s="2903"/>
      <c r="CW32" s="2903"/>
      <c r="CX32" s="2903"/>
      <c r="CY32" s="2903"/>
      <c r="CZ32" s="2903"/>
      <c r="DA32" s="2903"/>
      <c r="DB32" s="2903"/>
      <c r="DC32" s="2903"/>
      <c r="DD32" s="2903"/>
      <c r="DE32" s="2903"/>
      <c r="DF32" s="2903"/>
      <c r="DG32" s="2903"/>
      <c r="DH32" s="2903"/>
      <c r="DI32" s="2903"/>
      <c r="DJ32" s="2903"/>
      <c r="DK32" s="2903"/>
      <c r="DL32" s="2903"/>
      <c r="DM32" s="2903"/>
      <c r="DN32" s="2903"/>
      <c r="DO32" s="2903"/>
      <c r="DP32" s="2903"/>
      <c r="DQ32" s="2903"/>
      <c r="DR32" s="2903"/>
      <c r="DS32" s="2903"/>
    </row>
    <row r="33" spans="1:123" s="91" customFormat="1" ht="13.5" customHeight="1">
      <c r="A33" s="120" t="s">
        <v>1731</v>
      </c>
      <c r="B33" s="89" t="s">
        <v>1732</v>
      </c>
      <c r="C33" s="121">
        <f>SUM(C34:C38)</f>
        <v>307569</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280212</v>
      </c>
      <c r="D34" s="1096"/>
      <c r="E34" s="115"/>
      <c r="F34" s="1107" t="str">
        <f>IF('数据-取费表'!B26=0,"",'数据-取费表'!E20)</f>
        <v/>
      </c>
      <c r="G34" s="95"/>
    </row>
    <row r="35" spans="1:123" ht="13.5" customHeight="1">
      <c r="A35" s="92" t="s">
        <v>1685</v>
      </c>
      <c r="B35" s="93" t="s">
        <v>1734</v>
      </c>
      <c r="C35" s="115">
        <f>ROUND(C34*F35,0)</f>
        <v>8406</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14748</v>
      </c>
      <c r="D37" s="1096">
        <f>IF(B1="仅计算典型户型",'数据-取费表'!E5,'数据-取费表'!B5)</f>
        <v>73.739999999999995</v>
      </c>
      <c r="E37" s="115">
        <f>'数据-取费表'!E23</f>
        <v>200</v>
      </c>
      <c r="F37" s="1108"/>
      <c r="G37" s="124" t="s">
        <v>1739</v>
      </c>
    </row>
    <row r="38" spans="1:123" ht="13.5" customHeight="1">
      <c r="A38" s="92" t="s">
        <v>1740</v>
      </c>
      <c r="B38" s="93" t="s">
        <v>1741</v>
      </c>
      <c r="C38" s="115">
        <f>ROUND(C34*F38,0)</f>
        <v>4203</v>
      </c>
      <c r="D38" s="115"/>
      <c r="E38" s="115"/>
      <c r="F38" s="1108">
        <f>'数据-取费表'!E24</f>
        <v>1.4999999999999999E-2</v>
      </c>
      <c r="G38" s="95" t="s">
        <v>1735</v>
      </c>
    </row>
    <row r="39" spans="1:123" s="91" customFormat="1" ht="13.5" customHeight="1">
      <c r="A39" s="120" t="s">
        <v>1700</v>
      </c>
      <c r="B39" s="89" t="s">
        <v>1703</v>
      </c>
      <c r="C39" s="99">
        <f>ROUND(C33*F20,0)</f>
        <v>6151</v>
      </c>
      <c r="D39" s="99"/>
      <c r="E39" s="99"/>
      <c r="F39" s="2805">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0.02</v>
      </c>
      <c r="D40" s="102" t="s">
        <v>1743</v>
      </c>
      <c r="E40" s="99"/>
      <c r="F40" s="2805">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13176</v>
      </c>
      <c r="D41" s="101">
        <f ca="1">C44</f>
        <v>8.0000000000000004E-4</v>
      </c>
      <c r="E41" s="102" t="s">
        <v>1743</v>
      </c>
      <c r="F41" s="2805">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12918</v>
      </c>
      <c r="D42" s="104"/>
      <c r="E42" s="104"/>
      <c r="F42" s="105"/>
      <c r="G42" s="3561" t="s">
        <v>1745</v>
      </c>
    </row>
    <row r="43" spans="1:123" ht="13.5" customHeight="1">
      <c r="A43" s="92" t="s">
        <v>1685</v>
      </c>
      <c r="B43" s="93" t="s">
        <v>1714</v>
      </c>
      <c r="C43" s="104">
        <f ca="1">ROUND(IF('数据-取费表'!B24&lt;=1,C39*F22*'数据-取费表'!B23/2,C39*(POWER((1+F22),'数据-取费表'!B23/2)-1)),0)</f>
        <v>258</v>
      </c>
      <c r="D43" s="104"/>
      <c r="E43" s="104"/>
      <c r="F43" s="105"/>
      <c r="G43" s="3562"/>
    </row>
    <row r="44" spans="1:123" ht="13.5" customHeight="1">
      <c r="A44" s="92" t="s">
        <v>1687</v>
      </c>
      <c r="B44" s="93" t="s">
        <v>1716</v>
      </c>
      <c r="C44" s="104">
        <f ca="1">ROUND(IF('数据-取费表'!B24&lt;=1,C40*F22*'数据-取费表'!B23/2,C40*(POWER((1+F22),'数据-取费表'!B23/2)-1)),4)</f>
        <v>8.0000000000000004E-4</v>
      </c>
      <c r="D44" s="104"/>
      <c r="E44" s="104"/>
      <c r="F44" s="105"/>
      <c r="G44" s="3563"/>
    </row>
    <row r="45" spans="1:123" s="91" customFormat="1" ht="13.5" customHeight="1">
      <c r="A45" s="120" t="s">
        <v>1709</v>
      </c>
      <c r="B45" s="110" t="s">
        <v>1721</v>
      </c>
      <c r="C45" s="111">
        <f>C46</f>
        <v>47058</v>
      </c>
      <c r="D45" s="101">
        <f>C47</f>
        <v>3.0000000000000001E-3</v>
      </c>
      <c r="E45" s="102" t="s">
        <v>1743</v>
      </c>
      <c r="F45" s="2806">
        <f>F27</f>
        <v>0.15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47058</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5">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405194</v>
      </c>
      <c r="D49" s="99"/>
      <c r="E49" s="99"/>
      <c r="F49" s="126"/>
      <c r="G49" s="100" t="s">
        <v>1753</v>
      </c>
    </row>
    <row r="50" spans="1:123" s="122" customFormat="1" ht="24">
      <c r="A50" s="952" t="s">
        <v>1754</v>
      </c>
      <c r="B50" s="89" t="s">
        <v>1755</v>
      </c>
      <c r="C50" s="99"/>
      <c r="D50" s="99"/>
      <c r="E50" s="99"/>
      <c r="F50" s="126">
        <f>IF('数据-取费表'!B26=0,'数据-取费表'!E20,1)</f>
        <v>0.95</v>
      </c>
      <c r="G50" s="113" t="s">
        <v>1756</v>
      </c>
    </row>
    <row r="51" spans="1:123" ht="16.5" customHeight="1">
      <c r="A51" s="952" t="s">
        <v>1757</v>
      </c>
      <c r="B51" s="89" t="s">
        <v>1758</v>
      </c>
      <c r="C51" s="99">
        <f ca="1">ROUND(C49*F50,0)</f>
        <v>384934</v>
      </c>
      <c r="D51" s="99"/>
      <c r="E51" s="99"/>
      <c r="F51" s="126"/>
      <c r="G51" s="100" t="s">
        <v>1759</v>
      </c>
    </row>
    <row r="52" spans="1:123" s="88" customFormat="1" ht="16.5" thickBot="1">
      <c r="A52" s="127" t="s">
        <v>1760</v>
      </c>
      <c r="B52" s="128"/>
      <c r="C52" s="129">
        <f ca="1">C31+C51</f>
        <v>1831651</v>
      </c>
      <c r="D52" s="128"/>
      <c r="E52" s="128"/>
      <c r="F52" s="128"/>
      <c r="G52" s="130"/>
      <c r="H52" s="2903"/>
      <c r="I52" s="2903"/>
      <c r="J52" s="2903"/>
      <c r="K52" s="2903"/>
      <c r="L52" s="2903"/>
      <c r="M52" s="2903"/>
      <c r="N52" s="2903"/>
      <c r="O52" s="2903"/>
      <c r="P52" s="2903"/>
      <c r="Q52" s="2903"/>
      <c r="R52" s="2903"/>
      <c r="S52" s="2903"/>
      <c r="T52" s="2903"/>
      <c r="U52" s="2903"/>
      <c r="V52" s="2903"/>
      <c r="W52" s="2903"/>
      <c r="X52" s="2903"/>
      <c r="Y52" s="2903"/>
      <c r="Z52" s="2903"/>
      <c r="AA52" s="2903"/>
      <c r="AB52" s="2903"/>
      <c r="AC52" s="2903"/>
      <c r="AD52" s="2903"/>
      <c r="AE52" s="2903"/>
      <c r="AF52" s="2903"/>
      <c r="AG52" s="2903"/>
      <c r="AH52" s="2903"/>
      <c r="AI52" s="2903"/>
      <c r="AJ52" s="2903"/>
      <c r="AK52" s="2903"/>
      <c r="AL52" s="2903"/>
      <c r="AM52" s="2903"/>
      <c r="AN52" s="2903"/>
      <c r="AO52" s="2903"/>
      <c r="AP52" s="2903"/>
      <c r="AQ52" s="2903"/>
      <c r="AR52" s="2903"/>
      <c r="AS52" s="2903"/>
      <c r="AT52" s="2903"/>
      <c r="AU52" s="2903"/>
      <c r="AV52" s="2903"/>
      <c r="AW52" s="2903"/>
      <c r="AX52" s="2903"/>
      <c r="AY52" s="2903"/>
      <c r="AZ52" s="2903"/>
      <c r="BA52" s="2903"/>
      <c r="BB52" s="2903"/>
      <c r="BC52" s="2903"/>
      <c r="BD52" s="2903"/>
      <c r="BE52" s="2903"/>
      <c r="BF52" s="2903"/>
      <c r="BG52" s="2903"/>
      <c r="BH52" s="2903"/>
      <c r="BI52" s="2903"/>
      <c r="BJ52" s="2903"/>
      <c r="BK52" s="2903"/>
      <c r="BL52" s="2903"/>
      <c r="BM52" s="2903"/>
      <c r="BN52" s="2903"/>
      <c r="BO52" s="2903"/>
      <c r="BP52" s="2903"/>
      <c r="BQ52" s="2903"/>
      <c r="BR52" s="2903"/>
      <c r="BS52" s="2903"/>
      <c r="BT52" s="2903"/>
      <c r="BU52" s="2903"/>
      <c r="BV52" s="2903"/>
      <c r="BW52" s="2903"/>
      <c r="BX52" s="2903"/>
      <c r="BY52" s="2903"/>
      <c r="BZ52" s="2903"/>
      <c r="CA52" s="2903"/>
      <c r="CB52" s="2903"/>
      <c r="CC52" s="2903"/>
      <c r="CD52" s="2903"/>
      <c r="CE52" s="2903"/>
      <c r="CF52" s="2903"/>
      <c r="CG52" s="2903"/>
      <c r="CH52" s="2903"/>
      <c r="CI52" s="2903"/>
      <c r="CJ52" s="2903"/>
      <c r="CK52" s="2903"/>
      <c r="CL52" s="2903"/>
      <c r="CM52" s="2903"/>
      <c r="CN52" s="2903"/>
      <c r="CO52" s="2903"/>
      <c r="CP52" s="2903"/>
      <c r="CQ52" s="2903"/>
      <c r="CR52" s="2903"/>
      <c r="CS52" s="2903"/>
      <c r="CT52" s="2903"/>
      <c r="CU52" s="2903"/>
      <c r="CV52" s="2903"/>
      <c r="CW52" s="2903"/>
      <c r="CX52" s="2903"/>
      <c r="CY52" s="2903"/>
      <c r="CZ52" s="2903"/>
      <c r="DA52" s="2903"/>
      <c r="DB52" s="2903"/>
      <c r="DC52" s="2903"/>
      <c r="DD52" s="2903"/>
      <c r="DE52" s="2903"/>
      <c r="DF52" s="2903"/>
      <c r="DG52" s="2903"/>
      <c r="DH52" s="2903"/>
      <c r="DI52" s="2903"/>
      <c r="DJ52" s="2903"/>
      <c r="DK52" s="2903"/>
      <c r="DL52" s="2903"/>
      <c r="DM52" s="2903"/>
      <c r="DN52" s="2903"/>
      <c r="DO52" s="2903"/>
      <c r="DP52" s="2903"/>
      <c r="DQ52" s="2903"/>
      <c r="DR52" s="2903"/>
      <c r="DS52" s="2903"/>
    </row>
    <row r="55" spans="1:123" ht="15">
      <c r="B55" s="132" t="s">
        <v>1761</v>
      </c>
      <c r="C55" s="133"/>
    </row>
    <row r="56" spans="1:123">
      <c r="B56" s="135" t="s">
        <v>1762</v>
      </c>
      <c r="C56" s="136">
        <f ca="1">ROUND(C51/C52,3)</f>
        <v>0.21</v>
      </c>
    </row>
    <row r="57" spans="1:123">
      <c r="B57" s="135" t="s">
        <v>1763</v>
      </c>
      <c r="C57" s="137">
        <f ca="1">1-C56</f>
        <v>0.79</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60" t="s">
        <v>1047</v>
      </c>
      <c r="D1" s="1053"/>
      <c r="E1" s="882"/>
      <c r="F1" s="882"/>
      <c r="G1" s="882"/>
      <c r="H1" s="882"/>
      <c r="I1" s="882"/>
      <c r="J1" s="882"/>
      <c r="K1" s="882"/>
    </row>
    <row r="2" spans="1:33" s="139" customFormat="1" ht="18" customHeight="1">
      <c r="A2" s="81" t="s">
        <v>1048</v>
      </c>
      <c r="B2" s="84">
        <f ca="1">IF(C2="元",C32,ROUND(C32/10000,0))</f>
        <v>14618</v>
      </c>
      <c r="C2" s="1329" t="str">
        <f>'数据-取费表'!B3</f>
        <v>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5.0000000000000044E-2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-14748</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-14748</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-295</v>
      </c>
      <c r="D22" s="180"/>
      <c r="E22" s="180"/>
      <c r="F22" s="181">
        <f>'数据-取费表'!E25</f>
        <v>0.02</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0.02</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4.2000000000000003E-2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-2256</v>
      </c>
      <c r="D28" s="183">
        <f>C29</f>
        <v>0.15440000000000001</v>
      </c>
      <c r="E28" s="189" t="s">
        <v>12</v>
      </c>
      <c r="F28" s="200">
        <f>'数据-取费表'!E28</f>
        <v>0.15</v>
      </c>
      <c r="G28" s="185"/>
      <c r="H28" s="186"/>
      <c r="I28" s="186"/>
      <c r="J28" s="186"/>
      <c r="K28" s="187"/>
    </row>
    <row r="29" spans="1:33" s="204" customFormat="1" ht="13.5" customHeight="1">
      <c r="A29" s="954" t="s">
        <v>1102</v>
      </c>
      <c r="B29" s="202" t="s">
        <v>1103</v>
      </c>
      <c r="C29" s="193">
        <f>ROUND((1+C24)*F28,4)</f>
        <v>0.15440000000000001</v>
      </c>
      <c r="D29" s="193"/>
      <c r="E29" s="194"/>
      <c r="F29" s="203"/>
      <c r="G29" s="147" t="s">
        <v>1104</v>
      </c>
      <c r="H29" s="170"/>
      <c r="I29" s="170"/>
      <c r="J29" s="170"/>
      <c r="K29" s="171"/>
    </row>
    <row r="30" spans="1:33" s="204" customFormat="1" ht="13.5" customHeight="1">
      <c r="A30" s="954" t="s">
        <v>1105</v>
      </c>
      <c r="B30" s="202" t="s">
        <v>1106</v>
      </c>
      <c r="C30" s="205">
        <f>ROUND((C21+C22+C23)*F28,0)</f>
        <v>-2256</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14618</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Normal="60" zoomScaleSheetLayoutView="100" workbookViewId="0">
      <selection activeCell="K41" sqref="K41"/>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2144</v>
      </c>
      <c r="C1" s="1567" t="s">
        <v>2506</v>
      </c>
      <c r="D1" s="1566"/>
      <c r="E1" s="1569" t="s">
        <v>2504</v>
      </c>
      <c r="F1" s="1570" t="s">
        <v>2004</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f>IF(D2="——",IF(C2="元",ROUND(C50*D3,0),ROUND(C50*D3/10000,0)),IF(C2="元",ROUND(C50*D3,0),ROUND(C50*D3/10000,0))-E2)</f>
        <v>1741296</v>
      </c>
      <c r="C2" s="1579" t="str">
        <f>'数据-取费表'!B3</f>
        <v>元</v>
      </c>
      <c r="D2" s="1580" t="s">
        <v>1001</v>
      </c>
      <c r="E2" s="2406" t="e">
        <f ca="1">SUMIF(INDIRECT("'"&amp;G2&amp;"'"&amp;"!A:A"),"承租人权益价值",INDIRECT("'"&amp;G2&amp;"'"&amp;"!c:c"))</f>
        <v>#REF!</v>
      </c>
      <c r="F2" s="1582" t="str">
        <f>C2</f>
        <v>元</v>
      </c>
      <c r="G2" s="1583"/>
      <c r="H2" s="2929"/>
      <c r="I2" s="2929"/>
      <c r="J2" s="2929"/>
      <c r="K2" s="2929"/>
      <c r="L2" s="2931"/>
      <c r="M2" s="2929"/>
      <c r="N2" s="2929"/>
      <c r="O2" s="2929"/>
      <c r="P2" s="1885"/>
      <c r="Q2" s="1885"/>
      <c r="R2" s="1885"/>
      <c r="S2" s="1885"/>
      <c r="T2" s="1885"/>
      <c r="U2" s="1885"/>
      <c r="V2" s="1885"/>
      <c r="W2" s="1885"/>
      <c r="X2" s="1885"/>
      <c r="Y2" s="1885"/>
      <c r="Z2" s="1885"/>
      <c r="AA2" s="1885"/>
      <c r="AB2" s="2407"/>
      <c r="AC2" s="1893"/>
    </row>
    <row r="3" spans="1:29" s="1888" customFormat="1" ht="28.5" customHeight="1" thickBot="1">
      <c r="A3" s="1587" t="s">
        <v>1675</v>
      </c>
      <c r="B3" s="1891">
        <f>ROUND(IF(D2="——",C50,IF(C2="万元",B2*10000/D3,B2/D3)),0)</f>
        <v>23614</v>
      </c>
      <c r="C3" s="1588" t="s">
        <v>2005</v>
      </c>
      <c r="D3" s="1588">
        <f>IF(C1="仅计算典型户型",'数据-取费表'!E5,'数据-取费表'!B5)</f>
        <v>73.739999999999995</v>
      </c>
      <c r="F3" s="2928"/>
      <c r="G3" s="2929"/>
      <c r="H3" s="2929"/>
      <c r="I3" s="2929"/>
      <c r="J3" s="2929"/>
      <c r="K3" s="2930"/>
      <c r="L3" s="2931"/>
      <c r="M3" s="2929"/>
      <c r="N3" s="2929"/>
      <c r="O3" s="2929"/>
      <c r="P3" s="2936"/>
      <c r="Q3" s="1880"/>
      <c r="R3" s="1880"/>
      <c r="S3" s="1880"/>
      <c r="T3" s="1880"/>
      <c r="U3" s="1880"/>
      <c r="V3" s="1880"/>
      <c r="W3" s="1880"/>
      <c r="X3" s="1885"/>
      <c r="Y3" s="1880"/>
      <c r="Z3" s="1880"/>
      <c r="AA3" s="1880"/>
      <c r="AB3" s="2408"/>
      <c r="AC3" s="1893"/>
    </row>
    <row r="4" spans="1:29" ht="15">
      <c r="A4" s="1591" t="s">
        <v>2006</v>
      </c>
      <c r="B4" s="1592"/>
      <c r="C4" s="3576" t="s">
        <v>2007</v>
      </c>
      <c r="D4" s="3577"/>
      <c r="E4" s="3578" t="s">
        <v>2008</v>
      </c>
      <c r="F4" s="3579"/>
      <c r="G4" s="3576" t="s">
        <v>2009</v>
      </c>
      <c r="H4" s="3577"/>
      <c r="I4" s="3576" t="s">
        <v>2010</v>
      </c>
      <c r="J4" s="3577"/>
      <c r="K4" s="1894" t="s">
        <v>2011</v>
      </c>
      <c r="L4" s="2914"/>
      <c r="M4" s="2915"/>
      <c r="N4" s="2915"/>
      <c r="O4" s="2915"/>
      <c r="P4" s="3580" t="s">
        <v>2012</v>
      </c>
      <c r="Q4" s="3581"/>
      <c r="R4" s="3586" t="s">
        <v>2008</v>
      </c>
      <c r="S4" s="3587"/>
      <c r="T4" s="3586" t="s">
        <v>2009</v>
      </c>
      <c r="U4" s="3587"/>
      <c r="V4" s="3592" t="s">
        <v>2010</v>
      </c>
      <c r="W4" s="3592"/>
      <c r="X4" s="2003"/>
      <c r="Y4" s="3586" t="s">
        <v>2012</v>
      </c>
      <c r="Z4" s="3587"/>
      <c r="AA4" s="3573" t="s">
        <v>2008</v>
      </c>
      <c r="AB4" s="3573" t="s">
        <v>2009</v>
      </c>
      <c r="AC4" s="3573" t="s">
        <v>2010</v>
      </c>
    </row>
    <row r="5" spans="1:29" ht="15">
      <c r="A5" s="1596"/>
      <c r="B5" s="1597"/>
      <c r="C5" s="3569" t="s">
        <v>3079</v>
      </c>
      <c r="D5" s="3570"/>
      <c r="E5" s="3593" t="s">
        <v>3080</v>
      </c>
      <c r="F5" s="3594"/>
      <c r="G5" s="3569" t="s">
        <v>3081</v>
      </c>
      <c r="H5" s="3570"/>
      <c r="I5" s="3569" t="s">
        <v>3086</v>
      </c>
      <c r="J5" s="3570"/>
      <c r="K5" s="1894"/>
      <c r="L5" s="2914"/>
      <c r="M5" s="2915"/>
      <c r="N5" s="2915"/>
      <c r="O5" s="2915"/>
      <c r="P5" s="3582"/>
      <c r="Q5" s="3583"/>
      <c r="R5" s="3588"/>
      <c r="S5" s="3589"/>
      <c r="T5" s="3588"/>
      <c r="U5" s="3589"/>
      <c r="V5" s="3592"/>
      <c r="W5" s="3592"/>
      <c r="X5" s="2003"/>
      <c r="Y5" s="3588"/>
      <c r="Z5" s="3589"/>
      <c r="AA5" s="3574"/>
      <c r="AB5" s="3574"/>
      <c r="AC5" s="3574"/>
    </row>
    <row r="6" spans="1:29" ht="15.75" thickBot="1">
      <c r="A6" s="1599"/>
      <c r="B6" s="1600"/>
      <c r="C6" s="3566" t="s">
        <v>2017</v>
      </c>
      <c r="D6" s="3567"/>
      <c r="E6" s="3564" t="s">
        <v>2017</v>
      </c>
      <c r="F6" s="3565"/>
      <c r="G6" s="3566" t="s">
        <v>2017</v>
      </c>
      <c r="H6" s="3567"/>
      <c r="I6" s="3566" t="s">
        <v>2017</v>
      </c>
      <c r="J6" s="3567"/>
      <c r="K6" s="1894" t="s">
        <v>2018</v>
      </c>
      <c r="L6" s="2914"/>
      <c r="M6" s="2915"/>
      <c r="N6" s="2915"/>
      <c r="O6" s="2915"/>
      <c r="P6" s="3584"/>
      <c r="Q6" s="3585"/>
      <c r="R6" s="3588"/>
      <c r="S6" s="3589"/>
      <c r="T6" s="3590"/>
      <c r="U6" s="3591"/>
      <c r="V6" s="3592"/>
      <c r="W6" s="3592"/>
      <c r="X6" s="2003"/>
      <c r="Y6" s="3590"/>
      <c r="Z6" s="3591"/>
      <c r="AA6" s="3575"/>
      <c r="AB6" s="3575"/>
      <c r="AC6" s="3575"/>
    </row>
    <row r="7" spans="1:29" s="1613" customFormat="1" ht="15.75" thickBot="1">
      <c r="A7" s="1601" t="s">
        <v>2019</v>
      </c>
      <c r="B7" s="1602"/>
      <c r="C7" s="1603">
        <f>'数据-取费表'!B2</f>
        <v>44675</v>
      </c>
      <c r="D7" s="1604">
        <v>100</v>
      </c>
      <c r="E7" s="1605">
        <v>44652</v>
      </c>
      <c r="F7" s="1606">
        <f>SUMIF(59:59,YEAR(E7)&amp;"-"&amp;MONTH(E7),60:60)</f>
        <v>100</v>
      </c>
      <c r="G7" s="1895">
        <v>44652</v>
      </c>
      <c r="H7" s="1604">
        <f>SUMIF(59:59,YEAR(G7)&amp;"-"&amp;MONTH(G7),60:60)</f>
        <v>100</v>
      </c>
      <c r="I7" s="1895">
        <v>44652</v>
      </c>
      <c r="J7" s="1604">
        <f>SUMIF(59:59,YEAR(I7)&amp;"-"&amp;MONTH(I7),60:60)</f>
        <v>100</v>
      </c>
      <c r="K7" s="1896"/>
      <c r="L7" s="2914"/>
      <c r="M7" s="2887"/>
      <c r="N7" s="2887"/>
      <c r="O7" s="2887"/>
      <c r="P7" s="3571" t="s">
        <v>2020</v>
      </c>
      <c r="Q7" s="3595"/>
      <c r="R7" s="1609" t="s">
        <v>25</v>
      </c>
      <c r="S7" s="1610">
        <f t="shared" ref="S7:S15" si="0">F7</f>
        <v>100</v>
      </c>
      <c r="T7" s="1609" t="s">
        <v>25</v>
      </c>
      <c r="U7" s="1610">
        <f t="shared" ref="U7:U15" si="1">H7</f>
        <v>100</v>
      </c>
      <c r="V7" s="1609" t="s">
        <v>25</v>
      </c>
      <c r="W7" s="1610">
        <f t="shared" ref="W7:W15" si="2">J7</f>
        <v>100</v>
      </c>
      <c r="X7" s="1611"/>
      <c r="Y7" s="3571" t="s">
        <v>2020</v>
      </c>
      <c r="Z7" s="3572"/>
      <c r="AA7" s="1612">
        <f>D7/F7</f>
        <v>1</v>
      </c>
      <c r="AB7" s="1612">
        <f>D7/H7</f>
        <v>1</v>
      </c>
      <c r="AC7" s="1612">
        <f>D7/J7</f>
        <v>1</v>
      </c>
    </row>
    <row r="8" spans="1:29" s="1613" customFormat="1" ht="15.75" thickBot="1">
      <c r="A8" s="1601" t="s">
        <v>2021</v>
      </c>
      <c r="B8" s="1602"/>
      <c r="C8" s="1614" t="s">
        <v>2022</v>
      </c>
      <c r="D8" s="1604">
        <v>100</v>
      </c>
      <c r="E8" s="1614" t="s">
        <v>2639</v>
      </c>
      <c r="F8" s="1606">
        <f>SUMIF(62:62,E8,63:63)-SUMIF(62:62,C8,63:63)+100</f>
        <v>100</v>
      </c>
      <c r="G8" s="1614" t="s">
        <v>2639</v>
      </c>
      <c r="H8" s="1604">
        <f>SUMIF(62:62,G8,63:63)-SUMIF(62:62,C8,63:63)+100</f>
        <v>100</v>
      </c>
      <c r="I8" s="1614" t="s">
        <v>2639</v>
      </c>
      <c r="J8" s="1604">
        <f>SUMIF(62:62,I8,63:63)-SUMIF(62:62,C8,63:63)+100</f>
        <v>100</v>
      </c>
      <c r="K8" s="1896"/>
      <c r="L8" s="2914"/>
      <c r="M8" s="2887"/>
      <c r="N8" s="2887"/>
      <c r="O8" s="2887"/>
      <c r="P8" s="3571" t="s">
        <v>2023</v>
      </c>
      <c r="Q8" s="3572"/>
      <c r="R8" s="1609" t="s">
        <v>25</v>
      </c>
      <c r="S8" s="1610">
        <f t="shared" si="0"/>
        <v>100</v>
      </c>
      <c r="T8" s="1609" t="s">
        <v>25</v>
      </c>
      <c r="U8" s="1610">
        <f t="shared" si="1"/>
        <v>100</v>
      </c>
      <c r="V8" s="1609" t="s">
        <v>25</v>
      </c>
      <c r="W8" s="1610">
        <f t="shared" si="2"/>
        <v>100</v>
      </c>
      <c r="X8" s="1611"/>
      <c r="Y8" s="3571" t="s">
        <v>2023</v>
      </c>
      <c r="Z8" s="3572"/>
      <c r="AA8" s="1612">
        <f t="shared" ref="AA8:AA47" si="3">D8/F8</f>
        <v>1</v>
      </c>
      <c r="AB8" s="1612">
        <f t="shared" ref="AB8:AB47" si="4">D8/H8</f>
        <v>1</v>
      </c>
      <c r="AC8" s="1612">
        <f t="shared" ref="AC8:AC47" si="5">D8/J8</f>
        <v>1</v>
      </c>
    </row>
    <row r="9" spans="1:29" s="1613" customFormat="1">
      <c r="A9" s="1995" t="s">
        <v>2024</v>
      </c>
      <c r="B9" s="1616" t="s">
        <v>2025</v>
      </c>
      <c r="C9" s="3326" t="s">
        <v>3068</v>
      </c>
      <c r="D9" s="1618">
        <v>100</v>
      </c>
      <c r="E9" s="1621" t="s">
        <v>3043</v>
      </c>
      <c r="F9" s="1618">
        <f>SUMIF(64:64,E9,65:65)-SUMIF(64:64,C9,65:65)+100</f>
        <v>100</v>
      </c>
      <c r="G9" s="1621" t="s">
        <v>3043</v>
      </c>
      <c r="H9" s="1618">
        <f>SUMIF(64:64,G9,65:65)-SUMIF(64:64,C9,65:65)+100</f>
        <v>100</v>
      </c>
      <c r="I9" s="1621" t="s">
        <v>3043</v>
      </c>
      <c r="J9" s="1618">
        <f>SUMIF(64:64,I9,65:65)-SUMIF(64:64,C9,65:65)+100</f>
        <v>100</v>
      </c>
      <c r="K9" s="1896"/>
      <c r="L9" s="2914"/>
      <c r="M9" s="2887"/>
      <c r="N9" s="2887"/>
      <c r="O9" s="2887"/>
      <c r="P9" s="3568" t="s">
        <v>2026</v>
      </c>
      <c r="Q9" s="2832" t="str">
        <f t="shared" ref="Q9:Q15" si="6">B9</f>
        <v>用途</v>
      </c>
      <c r="R9" s="1609" t="s">
        <v>25</v>
      </c>
      <c r="S9" s="1610">
        <f t="shared" si="0"/>
        <v>100</v>
      </c>
      <c r="T9" s="1609" t="s">
        <v>25</v>
      </c>
      <c r="U9" s="1610">
        <f t="shared" si="1"/>
        <v>100</v>
      </c>
      <c r="V9" s="1609" t="s">
        <v>25</v>
      </c>
      <c r="W9" s="1610">
        <f t="shared" si="2"/>
        <v>100</v>
      </c>
      <c r="X9" s="1611"/>
      <c r="Y9" s="3494" t="s">
        <v>2027</v>
      </c>
      <c r="Z9" s="1622" t="str">
        <f t="shared" ref="Z9:Z15" si="7">Q9</f>
        <v>用途</v>
      </c>
      <c r="AA9" s="1612">
        <f t="shared" si="3"/>
        <v>1</v>
      </c>
      <c r="AB9" s="1612">
        <f t="shared" si="4"/>
        <v>1</v>
      </c>
      <c r="AC9" s="1612">
        <f t="shared" si="5"/>
        <v>1</v>
      </c>
    </row>
    <row r="10" spans="1:29" s="1630" customFormat="1" ht="27">
      <c r="A10" s="1623"/>
      <c r="B10" s="1624" t="s">
        <v>2028</v>
      </c>
      <c r="C10" s="1625" t="s">
        <v>3069</v>
      </c>
      <c r="D10" s="1626">
        <v>100</v>
      </c>
      <c r="E10" s="1625" t="s">
        <v>3069</v>
      </c>
      <c r="F10" s="1626">
        <f>SUMIF(66:66,E10,67:67)-SUMIF(66:66,C10,67:67)+100</f>
        <v>100</v>
      </c>
      <c r="G10" s="1625" t="s">
        <v>3069</v>
      </c>
      <c r="H10" s="1626">
        <f>SUMIF(66:66,G10,67:67)-SUMIF(66:66,C10,67:67)+100</f>
        <v>100</v>
      </c>
      <c r="I10" s="1625" t="s">
        <v>3069</v>
      </c>
      <c r="J10" s="1626">
        <f>SUMIF(66:66,I10,67:67)-SUMIF(66:66,C10,67:67)+100</f>
        <v>100</v>
      </c>
      <c r="K10" s="1921">
        <v>1</v>
      </c>
      <c r="L10" s="2916"/>
      <c r="M10" s="2917"/>
      <c r="N10" s="2917"/>
      <c r="O10" s="2917"/>
      <c r="P10" s="3568"/>
      <c r="Q10" s="2832" t="str">
        <f t="shared" si="6"/>
        <v>土地使用年限（年）</v>
      </c>
      <c r="R10" s="1609" t="s">
        <v>25</v>
      </c>
      <c r="S10" s="1610">
        <f t="shared" si="0"/>
        <v>100</v>
      </c>
      <c r="T10" s="1609" t="s">
        <v>25</v>
      </c>
      <c r="U10" s="1610">
        <f t="shared" si="1"/>
        <v>100</v>
      </c>
      <c r="V10" s="1609" t="s">
        <v>25</v>
      </c>
      <c r="W10" s="1610">
        <f t="shared" si="2"/>
        <v>100</v>
      </c>
      <c r="X10" s="1611"/>
      <c r="Y10" s="3494"/>
      <c r="Z10" s="1622" t="str">
        <f t="shared" si="7"/>
        <v>土地使用年限（年）</v>
      </c>
      <c r="AA10" s="1612">
        <f t="shared" si="3"/>
        <v>1</v>
      </c>
      <c r="AB10" s="1612">
        <f t="shared" si="4"/>
        <v>1</v>
      </c>
      <c r="AC10" s="1612">
        <f t="shared" si="5"/>
        <v>1</v>
      </c>
    </row>
    <row r="11" spans="1:29" ht="15">
      <c r="A11" s="1631"/>
      <c r="B11" s="1624" t="s">
        <v>2029</v>
      </c>
      <c r="C11" s="1632"/>
      <c r="D11" s="1626">
        <v>100</v>
      </c>
      <c r="E11" s="1632"/>
      <c r="F11" s="1626">
        <f>LOOKUP(E11,69:69,70:70)-LOOKUP(C11,69:69,70:70)+100</f>
        <v>100</v>
      </c>
      <c r="G11" s="1633"/>
      <c r="H11" s="1626">
        <f>LOOKUP(G11,69:69,70:70)-LOOKUP(C11,69:69,70:70)+100</f>
        <v>100</v>
      </c>
      <c r="I11" s="1632"/>
      <c r="J11" s="1626">
        <f>LOOKUP(I11,69:69,70:70)-LOOKUP(C11,69:69,70:70)+100</f>
        <v>100</v>
      </c>
      <c r="K11" s="1921"/>
      <c r="L11" s="2918"/>
      <c r="M11" s="2915"/>
      <c r="N11" s="2915"/>
      <c r="O11" s="2915"/>
      <c r="P11" s="3568"/>
      <c r="Q11" s="2832" t="str">
        <f t="shared" si="6"/>
        <v>容积率</v>
      </c>
      <c r="R11" s="1609" t="s">
        <v>25</v>
      </c>
      <c r="S11" s="1610">
        <f t="shared" si="0"/>
        <v>100</v>
      </c>
      <c r="T11" s="1609" t="s">
        <v>25</v>
      </c>
      <c r="U11" s="1610">
        <f t="shared" si="1"/>
        <v>100</v>
      </c>
      <c r="V11" s="1609" t="s">
        <v>25</v>
      </c>
      <c r="W11" s="1610">
        <f t="shared" si="2"/>
        <v>100</v>
      </c>
      <c r="X11" s="1611"/>
      <c r="Y11" s="3494"/>
      <c r="Z11" s="1622" t="str">
        <f t="shared" si="7"/>
        <v>容积率</v>
      </c>
      <c r="AA11" s="1612">
        <f t="shared" si="3"/>
        <v>1</v>
      </c>
      <c r="AB11" s="1612">
        <f t="shared" si="4"/>
        <v>1</v>
      </c>
      <c r="AC11" s="1612">
        <f t="shared" si="5"/>
        <v>1</v>
      </c>
    </row>
    <row r="12" spans="1:29" s="1613" customFormat="1" ht="15">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4"/>
      <c r="M12" s="2887"/>
      <c r="N12" s="2887"/>
      <c r="O12" s="2887"/>
      <c r="P12" s="3568"/>
      <c r="Q12" s="2832">
        <f t="shared" si="6"/>
        <v>111</v>
      </c>
      <c r="R12" s="1609" t="s">
        <v>25</v>
      </c>
      <c r="S12" s="1610">
        <f t="shared" si="0"/>
        <v>100</v>
      </c>
      <c r="T12" s="1609" t="s">
        <v>25</v>
      </c>
      <c r="U12" s="1610">
        <f t="shared" si="1"/>
        <v>100</v>
      </c>
      <c r="V12" s="1609" t="s">
        <v>25</v>
      </c>
      <c r="W12" s="1610">
        <f t="shared" si="2"/>
        <v>100</v>
      </c>
      <c r="X12" s="1611"/>
      <c r="Y12" s="3494"/>
      <c r="Z12" s="1622">
        <f t="shared" si="7"/>
        <v>111</v>
      </c>
      <c r="AA12" s="1612">
        <f>D12/F12</f>
        <v>1</v>
      </c>
      <c r="AB12" s="1612">
        <f>D12/H12</f>
        <v>1</v>
      </c>
      <c r="AC12" s="1612">
        <f>D12/J12</f>
        <v>1</v>
      </c>
    </row>
    <row r="13" spans="1:29" ht="15">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19"/>
      <c r="M13" s="2915"/>
      <c r="N13" s="2915"/>
      <c r="O13" s="2915"/>
      <c r="P13" s="3568"/>
      <c r="Q13" s="2832">
        <f t="shared" si="6"/>
        <v>111</v>
      </c>
      <c r="R13" s="1609" t="s">
        <v>25</v>
      </c>
      <c r="S13" s="1610">
        <f t="shared" si="0"/>
        <v>100</v>
      </c>
      <c r="T13" s="1609" t="s">
        <v>25</v>
      </c>
      <c r="U13" s="1610">
        <f t="shared" si="1"/>
        <v>100</v>
      </c>
      <c r="V13" s="1609" t="s">
        <v>25</v>
      </c>
      <c r="W13" s="1610">
        <f t="shared" si="2"/>
        <v>100</v>
      </c>
      <c r="X13" s="1611"/>
      <c r="Y13" s="3494"/>
      <c r="Z13" s="1622">
        <f t="shared" si="7"/>
        <v>111</v>
      </c>
      <c r="AA13" s="1612">
        <f t="shared" si="3"/>
        <v>1</v>
      </c>
      <c r="AB13" s="1612">
        <f t="shared" si="4"/>
        <v>1</v>
      </c>
      <c r="AC13" s="1612">
        <f t="shared" si="5"/>
        <v>1</v>
      </c>
    </row>
    <row r="14" spans="1:29" ht="15.75"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19"/>
      <c r="M14" s="2915"/>
      <c r="N14" s="2915"/>
      <c r="O14" s="2915"/>
      <c r="P14" s="3568"/>
      <c r="Q14" s="2832">
        <f t="shared" si="6"/>
        <v>111</v>
      </c>
      <c r="R14" s="1609" t="s">
        <v>25</v>
      </c>
      <c r="S14" s="1610">
        <f t="shared" si="0"/>
        <v>100</v>
      </c>
      <c r="T14" s="1609" t="s">
        <v>25</v>
      </c>
      <c r="U14" s="1610">
        <f t="shared" si="1"/>
        <v>100</v>
      </c>
      <c r="V14" s="1609" t="s">
        <v>25</v>
      </c>
      <c r="W14" s="1610">
        <f t="shared" si="2"/>
        <v>100</v>
      </c>
      <c r="X14" s="1611"/>
      <c r="Y14" s="3494"/>
      <c r="Z14" s="1622">
        <f t="shared" si="7"/>
        <v>111</v>
      </c>
      <c r="AA14" s="1612">
        <f t="shared" si="3"/>
        <v>1</v>
      </c>
      <c r="AB14" s="1612">
        <f t="shared" si="4"/>
        <v>1</v>
      </c>
      <c r="AC14" s="1612">
        <f t="shared" si="5"/>
        <v>1</v>
      </c>
    </row>
    <row r="15" spans="1:29" ht="71.25">
      <c r="A15" s="1646" t="s">
        <v>2030</v>
      </c>
      <c r="B15" s="2411" t="s">
        <v>2145</v>
      </c>
      <c r="C15" s="1902" t="str">
        <f>估价对象房地状况!C5</f>
        <v>估价对象位于XX商圈，周边办公楼项目较多，入驻率高，办公集聚程度较好</v>
      </c>
      <c r="D15" s="1649">
        <v>100</v>
      </c>
      <c r="E15" s="1652"/>
      <c r="F15" s="1649">
        <f>SUMIF(77:77,E16,78:78)-SUMIF(77:77,C16,78:78)+100</f>
        <v>100</v>
      </c>
      <c r="G15" s="1650"/>
      <c r="H15" s="1649">
        <f>SUMIF(77:77,G16,78:78)-SUMIF(77:77,C16,78:78)+100</f>
        <v>100</v>
      </c>
      <c r="I15" s="1650"/>
      <c r="J15" s="1649">
        <f>SUMIF(77:77,I16,78:78)-SUMIF(77:77,C16,78:78)+100</f>
        <v>100</v>
      </c>
      <c r="K15" s="2391">
        <v>2</v>
      </c>
      <c r="L15" s="2919"/>
      <c r="M15" s="2915"/>
      <c r="N15" s="2915"/>
      <c r="O15" s="2915"/>
      <c r="P15" s="3596" t="s">
        <v>2031</v>
      </c>
      <c r="Q15" s="2833" t="str">
        <f t="shared" si="6"/>
        <v>办公集聚程度</v>
      </c>
      <c r="R15" s="1654" t="s">
        <v>25</v>
      </c>
      <c r="S15" s="1655">
        <f t="shared" si="0"/>
        <v>100</v>
      </c>
      <c r="T15" s="1654" t="s">
        <v>25</v>
      </c>
      <c r="U15" s="1655">
        <f t="shared" si="1"/>
        <v>100</v>
      </c>
      <c r="V15" s="1654" t="s">
        <v>25</v>
      </c>
      <c r="W15" s="1655">
        <f t="shared" si="2"/>
        <v>100</v>
      </c>
      <c r="X15" s="2003"/>
      <c r="Y15" s="3596" t="s">
        <v>2031</v>
      </c>
      <c r="Z15" s="2007" t="str">
        <f t="shared" si="7"/>
        <v>办公集聚程度</v>
      </c>
      <c r="AA15" s="1998">
        <f t="shared" si="3"/>
        <v>1</v>
      </c>
      <c r="AB15" s="1998">
        <f t="shared" si="4"/>
        <v>1</v>
      </c>
      <c r="AC15" s="1998">
        <f t="shared" si="5"/>
        <v>1</v>
      </c>
    </row>
    <row r="16" spans="1:29" ht="15">
      <c r="A16" s="1631"/>
      <c r="B16" s="2412"/>
      <c r="C16" s="1904" t="s">
        <v>30</v>
      </c>
      <c r="D16" s="1660"/>
      <c r="E16" s="1904" t="s">
        <v>30</v>
      </c>
      <c r="F16" s="1660"/>
      <c r="G16" s="1904" t="s">
        <v>30</v>
      </c>
      <c r="H16" s="1664"/>
      <c r="I16" s="1904" t="s">
        <v>30</v>
      </c>
      <c r="J16" s="1660"/>
      <c r="K16" s="2392"/>
      <c r="L16" s="2919"/>
      <c r="M16" s="2915"/>
      <c r="N16" s="2915"/>
      <c r="O16" s="2915"/>
      <c r="P16" s="3597"/>
      <c r="Q16" s="2833"/>
      <c r="R16" s="1654"/>
      <c r="S16" s="1655"/>
      <c r="T16" s="1654"/>
      <c r="U16" s="1655"/>
      <c r="V16" s="1654"/>
      <c r="W16" s="1655"/>
      <c r="X16" s="2003"/>
      <c r="Y16" s="3597"/>
      <c r="Z16" s="2007"/>
      <c r="AA16" s="1998">
        <v>1</v>
      </c>
      <c r="AB16" s="1998">
        <v>1</v>
      </c>
      <c r="AC16" s="1998">
        <v>1</v>
      </c>
    </row>
    <row r="17" spans="1:29" ht="85.5">
      <c r="A17" s="1631"/>
      <c r="B17" s="2413" t="s">
        <v>1466</v>
      </c>
      <c r="C17" s="1909" t="str">
        <f>估价对象房地状况!C6</f>
        <v>估价对象周边道路状况、公共交通通达情况、停车便捷程度，综合评价交通便捷度较好</v>
      </c>
      <c r="D17" s="1664">
        <v>100</v>
      </c>
      <c r="E17" s="1670"/>
      <c r="F17" s="1664">
        <f>SUMIF(79:79,E18,80:80)-SUMIF(79:79,C18,80:80)+100</f>
        <v>100</v>
      </c>
      <c r="G17" s="1668"/>
      <c r="H17" s="1671">
        <f>SUMIF(79:79,G18,80:80)-SUMIF(79:79,C18,80:80)+100</f>
        <v>100</v>
      </c>
      <c r="I17" s="1668"/>
      <c r="J17" s="1671">
        <f>SUMIF(79:79,I18,80:80)-SUMIF(79:79,C18,80:80)+100</f>
        <v>100</v>
      </c>
      <c r="K17" s="2391">
        <v>2</v>
      </c>
      <c r="L17" s="2919"/>
      <c r="M17" s="2915"/>
      <c r="N17" s="2915"/>
      <c r="O17" s="2915"/>
      <c r="P17" s="3597"/>
      <c r="Q17" s="2833" t="str">
        <f>B17</f>
        <v>交通便捷度</v>
      </c>
      <c r="R17" s="1654" t="s">
        <v>25</v>
      </c>
      <c r="S17" s="1655">
        <f>F17</f>
        <v>100</v>
      </c>
      <c r="T17" s="1654" t="s">
        <v>25</v>
      </c>
      <c r="U17" s="1655">
        <f>H17</f>
        <v>100</v>
      </c>
      <c r="V17" s="1654" t="s">
        <v>25</v>
      </c>
      <c r="W17" s="1655">
        <f>J17</f>
        <v>100</v>
      </c>
      <c r="X17" s="2003"/>
      <c r="Y17" s="3597"/>
      <c r="Z17" s="2007" t="str">
        <f>Q17</f>
        <v>交通便捷度</v>
      </c>
      <c r="AA17" s="1998">
        <f t="shared" si="3"/>
        <v>1</v>
      </c>
      <c r="AB17" s="1998">
        <f t="shared" si="4"/>
        <v>1</v>
      </c>
      <c r="AC17" s="1998">
        <f t="shared" si="5"/>
        <v>1</v>
      </c>
    </row>
    <row r="18" spans="1:29" ht="15">
      <c r="A18" s="1631"/>
      <c r="B18" s="2414"/>
      <c r="C18" s="1904" t="s">
        <v>30</v>
      </c>
      <c r="D18" s="1664"/>
      <c r="E18" s="1904" t="s">
        <v>30</v>
      </c>
      <c r="F18" s="1664"/>
      <c r="G18" s="1904" t="s">
        <v>30</v>
      </c>
      <c r="H18" s="1660"/>
      <c r="I18" s="1904" t="s">
        <v>30</v>
      </c>
      <c r="J18" s="1660"/>
      <c r="K18" s="2392"/>
      <c r="L18" s="2919"/>
      <c r="M18" s="2915"/>
      <c r="N18" s="2915"/>
      <c r="O18" s="2915"/>
      <c r="P18" s="3597"/>
      <c r="Q18" s="2833"/>
      <c r="R18" s="1654"/>
      <c r="S18" s="1655"/>
      <c r="T18" s="1654"/>
      <c r="U18" s="1655"/>
      <c r="V18" s="1654"/>
      <c r="W18" s="1655"/>
      <c r="X18" s="2003"/>
      <c r="Y18" s="3597"/>
      <c r="Z18" s="2007"/>
      <c r="AA18" s="1998">
        <v>1</v>
      </c>
      <c r="AB18" s="1998">
        <v>1</v>
      </c>
      <c r="AC18" s="1998">
        <v>1</v>
      </c>
    </row>
    <row r="19" spans="1:29" ht="42.75">
      <c r="A19" s="1631"/>
      <c r="B19" s="2413" t="s">
        <v>2146</v>
      </c>
      <c r="C19" s="1909" t="str">
        <f>估价对象房地状况!C7</f>
        <v>估价对象所在区域公共配套设施齐备情况</v>
      </c>
      <c r="D19" s="1671">
        <v>100</v>
      </c>
      <c r="E19" s="1678"/>
      <c r="F19" s="1671">
        <f>SUMIF(81:81,E20,82:82)-SUMIF(81:81,C20,82:82)+100</f>
        <v>100</v>
      </c>
      <c r="G19" s="1676"/>
      <c r="H19" s="1664">
        <f>SUMIF(81:81,G20,82:82)-SUMIF(81:81,C20,82:82)+100</f>
        <v>100</v>
      </c>
      <c r="I19" s="1676"/>
      <c r="J19" s="1664">
        <f>SUMIF(81:81,I20,82:82)-SUMIF(81:81,C20,82:82)+100</f>
        <v>100</v>
      </c>
      <c r="K19" s="2391">
        <v>2</v>
      </c>
      <c r="L19" s="2919"/>
      <c r="M19" s="2915"/>
      <c r="N19" s="2915"/>
      <c r="O19" s="2915"/>
      <c r="P19" s="3597"/>
      <c r="Q19" s="2833" t="str">
        <f>B19</f>
        <v>公共配套设施</v>
      </c>
      <c r="R19" s="1654" t="s">
        <v>25</v>
      </c>
      <c r="S19" s="1655">
        <f>F19</f>
        <v>100</v>
      </c>
      <c r="T19" s="1654" t="s">
        <v>25</v>
      </c>
      <c r="U19" s="1655">
        <f>H19</f>
        <v>100</v>
      </c>
      <c r="V19" s="1654" t="s">
        <v>25</v>
      </c>
      <c r="W19" s="1655">
        <f>J19</f>
        <v>100</v>
      </c>
      <c r="X19" s="2003"/>
      <c r="Y19" s="3597"/>
      <c r="Z19" s="2007" t="str">
        <f>Q19</f>
        <v>公共配套设施</v>
      </c>
      <c r="AA19" s="1998">
        <f t="shared" si="3"/>
        <v>1</v>
      </c>
      <c r="AB19" s="1998">
        <f t="shared" si="4"/>
        <v>1</v>
      </c>
      <c r="AC19" s="1998">
        <f t="shared" si="5"/>
        <v>1</v>
      </c>
    </row>
    <row r="20" spans="1:29" ht="15">
      <c r="A20" s="1631"/>
      <c r="B20" s="2414"/>
      <c r="C20" s="1904" t="s">
        <v>30</v>
      </c>
      <c r="D20" s="1660"/>
      <c r="E20" s="1904" t="s">
        <v>30</v>
      </c>
      <c r="F20" s="1660"/>
      <c r="G20" s="1904" t="s">
        <v>30</v>
      </c>
      <c r="H20" s="1660"/>
      <c r="I20" s="1904" t="s">
        <v>30</v>
      </c>
      <c r="J20" s="1660"/>
      <c r="K20" s="2392"/>
      <c r="L20" s="2919"/>
      <c r="M20" s="2915"/>
      <c r="N20" s="2915"/>
      <c r="O20" s="2915"/>
      <c r="P20" s="3597"/>
      <c r="Q20" s="2833"/>
      <c r="R20" s="1654"/>
      <c r="S20" s="1655"/>
      <c r="T20" s="1654"/>
      <c r="U20" s="1655"/>
      <c r="V20" s="1654"/>
      <c r="W20" s="1655"/>
      <c r="X20" s="2003"/>
      <c r="Y20" s="3597"/>
      <c r="Z20" s="2007"/>
      <c r="AA20" s="1998">
        <v>1</v>
      </c>
      <c r="AB20" s="1998">
        <v>1</v>
      </c>
      <c r="AC20" s="1998">
        <v>1</v>
      </c>
    </row>
    <row r="21" spans="1:29" ht="28.5">
      <c r="A21" s="1631"/>
      <c r="B21" s="2415" t="s">
        <v>2147</v>
      </c>
      <c r="C21" s="1909" t="str">
        <f>估价对象房地状况!C8</f>
        <v>估价对象所在区域基础设施水平</v>
      </c>
      <c r="D21" s="1671">
        <v>100</v>
      </c>
      <c r="E21" s="1678"/>
      <c r="F21" s="1671">
        <f>SUMIF(83:83,E22,84:84)-SUMIF(83:83,C22,84:84)+100</f>
        <v>100</v>
      </c>
      <c r="G21" s="1676"/>
      <c r="H21" s="1664">
        <f>SUMIF(83:83,G22,84:84)-SUMIF(83:83,C22,84:84)+100</f>
        <v>100</v>
      </c>
      <c r="I21" s="1676"/>
      <c r="J21" s="1664">
        <f>SUMIF(83:83,I22,84:84)-SUMIF(83:83,C22,84:84)+100</f>
        <v>100</v>
      </c>
      <c r="K21" s="2391">
        <v>2</v>
      </c>
      <c r="L21" s="2919"/>
      <c r="M21" s="2915"/>
      <c r="N21" s="2915"/>
      <c r="O21" s="2915"/>
      <c r="P21" s="3597"/>
      <c r="Q21" s="2833" t="str">
        <f>B21</f>
        <v>基础设施水平</v>
      </c>
      <c r="R21" s="1654" t="s">
        <v>25</v>
      </c>
      <c r="S21" s="1655">
        <f>F21</f>
        <v>100</v>
      </c>
      <c r="T21" s="1654" t="s">
        <v>25</v>
      </c>
      <c r="U21" s="1655">
        <f>H21</f>
        <v>100</v>
      </c>
      <c r="V21" s="1654" t="s">
        <v>25</v>
      </c>
      <c r="W21" s="1655">
        <f>J21</f>
        <v>100</v>
      </c>
      <c r="X21" s="2003"/>
      <c r="Y21" s="3597"/>
      <c r="Z21" s="2007" t="str">
        <f>Q21</f>
        <v>基础设施水平</v>
      </c>
      <c r="AA21" s="1998">
        <f t="shared" ref="AA21" si="8">D21/F21</f>
        <v>1</v>
      </c>
      <c r="AB21" s="1998">
        <f t="shared" ref="AB21" si="9">D21/H21</f>
        <v>1</v>
      </c>
      <c r="AC21" s="1998">
        <f t="shared" ref="AC21" si="10">D21/J21</f>
        <v>1</v>
      </c>
    </row>
    <row r="22" spans="1:29" ht="15">
      <c r="A22" s="1631"/>
      <c r="B22" s="2415"/>
      <c r="C22" s="1908" t="s">
        <v>3063</v>
      </c>
      <c r="D22" s="1660"/>
      <c r="E22" s="1908" t="s">
        <v>3063</v>
      </c>
      <c r="F22" s="1660"/>
      <c r="G22" s="1908" t="s">
        <v>3063</v>
      </c>
      <c r="H22" s="1660"/>
      <c r="I22" s="1908" t="s">
        <v>3063</v>
      </c>
      <c r="J22" s="1660"/>
      <c r="K22" s="2393"/>
      <c r="L22" s="2919"/>
      <c r="M22" s="2915"/>
      <c r="N22" s="2915"/>
      <c r="O22" s="2915"/>
      <c r="P22" s="3597"/>
      <c r="Q22" s="2833"/>
      <c r="R22" s="1654"/>
      <c r="S22" s="1655"/>
      <c r="T22" s="1654"/>
      <c r="U22" s="1655"/>
      <c r="V22" s="1654"/>
      <c r="W22" s="1655"/>
      <c r="X22" s="2003"/>
      <c r="Y22" s="3597"/>
      <c r="Z22" s="2007"/>
      <c r="AA22" s="1998">
        <v>1</v>
      </c>
      <c r="AB22" s="1998">
        <v>1</v>
      </c>
      <c r="AC22" s="1998">
        <v>1</v>
      </c>
    </row>
    <row r="23" spans="1:29" ht="57">
      <c r="A23" s="1631"/>
      <c r="B23" s="2413" t="s">
        <v>2148</v>
      </c>
      <c r="C23" s="1909" t="str">
        <f>估价对象房地状况!C9</f>
        <v>区域自然环境：；人文环境；综合评价环境状况一般</v>
      </c>
      <c r="D23" s="1664">
        <v>100</v>
      </c>
      <c r="E23" s="1670"/>
      <c r="F23" s="1664">
        <f>SUMIF(85:85,E24,86:86)-SUMIF(85:85,C24,86:86)+100</f>
        <v>100</v>
      </c>
      <c r="G23" s="1668"/>
      <c r="H23" s="1664">
        <f>SUMIF(85:85,G24,86:86)-SUMIF(85:85,C24,86:86)+100</f>
        <v>100</v>
      </c>
      <c r="I23" s="1668"/>
      <c r="J23" s="1664">
        <f>SUMIF(85:85,I24,86:86)-SUMIF(85:85,C24,86:86)+100</f>
        <v>100</v>
      </c>
      <c r="K23" s="2391">
        <v>2</v>
      </c>
      <c r="L23" s="2919"/>
      <c r="M23" s="2915"/>
      <c r="N23" s="2915"/>
      <c r="O23" s="2915"/>
      <c r="P23" s="3597"/>
      <c r="Q23" s="2833" t="str">
        <f>B23</f>
        <v>环境质量</v>
      </c>
      <c r="R23" s="1654" t="s">
        <v>25</v>
      </c>
      <c r="S23" s="1655">
        <f>F23</f>
        <v>100</v>
      </c>
      <c r="T23" s="1654" t="s">
        <v>25</v>
      </c>
      <c r="U23" s="1655">
        <f>H23</f>
        <v>100</v>
      </c>
      <c r="V23" s="1654" t="s">
        <v>25</v>
      </c>
      <c r="W23" s="1655">
        <f>J23</f>
        <v>100</v>
      </c>
      <c r="X23" s="2003"/>
      <c r="Y23" s="3597"/>
      <c r="Z23" s="2007" t="str">
        <f>Q23</f>
        <v>环境质量</v>
      </c>
      <c r="AA23" s="1998">
        <f t="shared" si="3"/>
        <v>1</v>
      </c>
      <c r="AB23" s="1998">
        <f t="shared" si="4"/>
        <v>1</v>
      </c>
      <c r="AC23" s="1998">
        <f t="shared" si="5"/>
        <v>1</v>
      </c>
    </row>
    <row r="24" spans="1:29" ht="15">
      <c r="A24" s="1631"/>
      <c r="B24" s="2415"/>
      <c r="C24" s="1904" t="s">
        <v>30</v>
      </c>
      <c r="D24" s="1660"/>
      <c r="E24" s="1904" t="s">
        <v>30</v>
      </c>
      <c r="F24" s="1660"/>
      <c r="G24" s="1904" t="s">
        <v>30</v>
      </c>
      <c r="H24" s="1660"/>
      <c r="I24" s="1904" t="s">
        <v>30</v>
      </c>
      <c r="J24" s="1660"/>
      <c r="K24" s="2392"/>
      <c r="L24" s="2919"/>
      <c r="M24" s="2915"/>
      <c r="N24" s="2915"/>
      <c r="O24" s="2915"/>
      <c r="P24" s="3597"/>
      <c r="Q24" s="2833"/>
      <c r="R24" s="1654"/>
      <c r="S24" s="1655"/>
      <c r="T24" s="1654"/>
      <c r="U24" s="1655"/>
      <c r="V24" s="1654"/>
      <c r="W24" s="1655"/>
      <c r="X24" s="2003"/>
      <c r="Y24" s="3597"/>
      <c r="Z24" s="2007"/>
      <c r="AA24" s="1998">
        <v>1</v>
      </c>
      <c r="AB24" s="1998">
        <v>1</v>
      </c>
      <c r="AC24" s="1998">
        <v>1</v>
      </c>
    </row>
    <row r="25" spans="1:29" ht="27">
      <c r="A25" s="1596"/>
      <c r="B25" s="2413" t="s">
        <v>2149</v>
      </c>
      <c r="C25" s="3327"/>
      <c r="D25" s="1640">
        <v>100</v>
      </c>
      <c r="E25" s="1639"/>
      <c r="F25" s="1640">
        <f>SUMIF(87:87,E26,88:88)-SUMIF(87:87,C26,88:88)+100</f>
        <v>100</v>
      </c>
      <c r="G25" s="2416"/>
      <c r="H25" s="1640">
        <f>SUMIF(87:87,G26,88:88)-SUMIF(87:87,C26,88:88)+100</f>
        <v>100</v>
      </c>
      <c r="I25" s="1639"/>
      <c r="J25" s="1640">
        <f>SUMIF(87:87,I26,88:88)-SUMIF(87:87,C26,88:88)+100</f>
        <v>100</v>
      </c>
      <c r="K25" s="2391">
        <v>2</v>
      </c>
      <c r="L25" s="2919"/>
      <c r="M25" s="2915"/>
      <c r="N25" s="2915"/>
      <c r="O25" s="2915"/>
      <c r="P25" s="3597"/>
      <c r="Q25" s="2833" t="str">
        <f>B25</f>
        <v>毗邻道路的类型与等级</v>
      </c>
      <c r="R25" s="1654" t="s">
        <v>25</v>
      </c>
      <c r="S25" s="1655">
        <f>F25</f>
        <v>100</v>
      </c>
      <c r="T25" s="1654" t="s">
        <v>25</v>
      </c>
      <c r="U25" s="1655">
        <f>H25</f>
        <v>100</v>
      </c>
      <c r="V25" s="1654" t="s">
        <v>25</v>
      </c>
      <c r="W25" s="1655">
        <f>J25</f>
        <v>100</v>
      </c>
      <c r="X25" s="2003"/>
      <c r="Y25" s="3597"/>
      <c r="Z25" s="2007" t="str">
        <f>Q25</f>
        <v>毗邻道路的类型与等级</v>
      </c>
      <c r="AA25" s="1998">
        <f t="shared" si="3"/>
        <v>1</v>
      </c>
      <c r="AB25" s="1998">
        <f t="shared" si="4"/>
        <v>1</v>
      </c>
      <c r="AC25" s="1998">
        <f t="shared" si="5"/>
        <v>1</v>
      </c>
    </row>
    <row r="26" spans="1:29" ht="15">
      <c r="A26" s="1596"/>
      <c r="B26" s="2414"/>
      <c r="C26" s="1912" t="s">
        <v>3082</v>
      </c>
      <c r="D26" s="1640"/>
      <c r="E26" s="1912" t="s">
        <v>3082</v>
      </c>
      <c r="F26" s="1640"/>
      <c r="G26" s="1912" t="s">
        <v>3082</v>
      </c>
      <c r="H26" s="1640"/>
      <c r="I26" s="1912" t="s">
        <v>3082</v>
      </c>
      <c r="J26" s="1640"/>
      <c r="K26" s="2392"/>
      <c r="L26" s="2919"/>
      <c r="M26" s="2915"/>
      <c r="N26" s="2915"/>
      <c r="O26" s="2915"/>
      <c r="P26" s="3597"/>
      <c r="Q26" s="2833"/>
      <c r="R26" s="1654"/>
      <c r="S26" s="1655"/>
      <c r="T26" s="1654"/>
      <c r="U26" s="1655"/>
      <c r="V26" s="1654"/>
      <c r="W26" s="1655"/>
      <c r="X26" s="2003"/>
      <c r="Y26" s="3597"/>
      <c r="Z26" s="2007"/>
      <c r="AA26" s="1998">
        <v>1</v>
      </c>
      <c r="AB26" s="1998">
        <v>1</v>
      </c>
      <c r="AC26" s="1998">
        <v>1</v>
      </c>
    </row>
    <row r="27" spans="1:29" ht="15">
      <c r="A27" s="1631"/>
      <c r="B27" s="2414" t="s">
        <v>2122</v>
      </c>
      <c r="C27" s="1912" t="s">
        <v>3047</v>
      </c>
      <c r="D27" s="1640">
        <v>100</v>
      </c>
      <c r="E27" s="1920" t="s">
        <v>3047</v>
      </c>
      <c r="F27" s="1640">
        <f>SUMIF(89:89,E27,90:90)-SUMIF(89:89,C27,90:90)+100</f>
        <v>100</v>
      </c>
      <c r="G27" s="1912" t="s">
        <v>3047</v>
      </c>
      <c r="H27" s="1640">
        <f>SUMIF(89:89,G27,90:90)-SUMIF(89:89,C27,90:90)+100</f>
        <v>100</v>
      </c>
      <c r="I27" s="1920" t="s">
        <v>3047</v>
      </c>
      <c r="J27" s="1640">
        <f>SUMIF(89:89,I27,90:90)-SUMIF(89:89,C27,90:90)+100</f>
        <v>100</v>
      </c>
      <c r="K27" s="1921">
        <v>2</v>
      </c>
      <c r="L27" s="2919"/>
      <c r="M27" s="2915"/>
      <c r="N27" s="2915"/>
      <c r="O27" s="2915"/>
      <c r="P27" s="3597"/>
      <c r="Q27" s="2833" t="str">
        <f t="shared" ref="Q27:Q47" si="11">B27</f>
        <v>楼层</v>
      </c>
      <c r="R27" s="1654" t="s">
        <v>25</v>
      </c>
      <c r="S27" s="1655">
        <f>F27</f>
        <v>100</v>
      </c>
      <c r="T27" s="1654" t="s">
        <v>25</v>
      </c>
      <c r="U27" s="1655">
        <f>H27</f>
        <v>100</v>
      </c>
      <c r="V27" s="1654" t="s">
        <v>25</v>
      </c>
      <c r="W27" s="1655">
        <f>J27</f>
        <v>100</v>
      </c>
      <c r="X27" s="2003"/>
      <c r="Y27" s="3597"/>
      <c r="Z27" s="2007" t="str">
        <f>Q27</f>
        <v>楼层</v>
      </c>
      <c r="AA27" s="1998">
        <f t="shared" si="3"/>
        <v>1</v>
      </c>
      <c r="AB27" s="1998">
        <f t="shared" si="4"/>
        <v>1</v>
      </c>
      <c r="AC27" s="1998">
        <f t="shared" si="5"/>
        <v>1</v>
      </c>
    </row>
    <row r="28" spans="1:29" s="1613" customFormat="1" ht="15">
      <c r="A28" s="1634"/>
      <c r="B28" s="2413" t="s">
        <v>2150</v>
      </c>
      <c r="C28" s="2417"/>
      <c r="D28" s="1685">
        <v>100</v>
      </c>
      <c r="E28" s="2395"/>
      <c r="F28" s="1685">
        <f>SUMIF(91:91,E28,92:92)-SUMIF(91:91,C28,92:92)+100</f>
        <v>100</v>
      </c>
      <c r="G28" s="2417"/>
      <c r="H28" s="1685">
        <f>SUMIF(91:91,G28,92:92)-SUMIF(91:91,C28,92:92)+100</f>
        <v>100</v>
      </c>
      <c r="I28" s="2395"/>
      <c r="J28" s="1685">
        <f>SUMIF(91:91,I28,92:92)-SUMIF(91:91,C28,92:92)+100</f>
        <v>100</v>
      </c>
      <c r="K28" s="1921"/>
      <c r="L28" s="2914"/>
      <c r="M28" s="2887"/>
      <c r="N28" s="2887"/>
      <c r="O28" s="2887"/>
      <c r="P28" s="3597"/>
      <c r="Q28" s="2832" t="str">
        <f t="shared" si="11"/>
        <v>朝向</v>
      </c>
      <c r="R28" s="1609" t="s">
        <v>25</v>
      </c>
      <c r="S28" s="1610">
        <f>F28</f>
        <v>100</v>
      </c>
      <c r="T28" s="1609" t="s">
        <v>25</v>
      </c>
      <c r="U28" s="1610">
        <f>H28</f>
        <v>100</v>
      </c>
      <c r="V28" s="1609" t="s">
        <v>25</v>
      </c>
      <c r="W28" s="1610">
        <f>J28</f>
        <v>100</v>
      </c>
      <c r="X28" s="1611"/>
      <c r="Y28" s="3597"/>
      <c r="Z28" s="1622" t="str">
        <f>Q28</f>
        <v>朝向</v>
      </c>
      <c r="AA28" s="1998">
        <f>D28/F28</f>
        <v>1</v>
      </c>
      <c r="AB28" s="1998">
        <f>D28/H28</f>
        <v>1</v>
      </c>
      <c r="AC28" s="1998">
        <f>D28/J28</f>
        <v>1</v>
      </c>
    </row>
    <row r="29" spans="1:29" ht="15">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19"/>
      <c r="M29" s="2915"/>
      <c r="N29" s="2915"/>
      <c r="O29" s="2915"/>
      <c r="P29" s="3597"/>
      <c r="Q29" s="2833">
        <f t="shared" si="11"/>
        <v>111</v>
      </c>
      <c r="R29" s="1654" t="s">
        <v>25</v>
      </c>
      <c r="S29" s="1655">
        <f t="shared" ref="S29:S47" si="12">F29</f>
        <v>100</v>
      </c>
      <c r="T29" s="1654" t="s">
        <v>25</v>
      </c>
      <c r="U29" s="1655">
        <f t="shared" ref="U29:U47" si="13">H29</f>
        <v>100</v>
      </c>
      <c r="V29" s="1654" t="s">
        <v>25</v>
      </c>
      <c r="W29" s="1655">
        <f t="shared" ref="W29:W47" si="14">J29</f>
        <v>100</v>
      </c>
      <c r="X29" s="2003"/>
      <c r="Y29" s="3597"/>
      <c r="Z29" s="2007">
        <f t="shared" ref="Z29:Z47" si="15">Q29</f>
        <v>111</v>
      </c>
      <c r="AA29" s="1998">
        <f t="shared" si="3"/>
        <v>1</v>
      </c>
      <c r="AB29" s="1998">
        <f t="shared" si="4"/>
        <v>1</v>
      </c>
      <c r="AC29" s="1998">
        <f t="shared" si="5"/>
        <v>1</v>
      </c>
    </row>
    <row r="30" spans="1:29" ht="15">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19"/>
      <c r="M30" s="2915"/>
      <c r="N30" s="2915"/>
      <c r="O30" s="2915"/>
      <c r="P30" s="3597"/>
      <c r="Q30" s="2833">
        <f t="shared" si="11"/>
        <v>111</v>
      </c>
      <c r="R30" s="1654" t="s">
        <v>25</v>
      </c>
      <c r="S30" s="1655">
        <f t="shared" si="12"/>
        <v>100</v>
      </c>
      <c r="T30" s="1654" t="s">
        <v>25</v>
      </c>
      <c r="U30" s="1655">
        <f t="shared" si="13"/>
        <v>100</v>
      </c>
      <c r="V30" s="1654" t="s">
        <v>25</v>
      </c>
      <c r="W30" s="1655">
        <f t="shared" si="14"/>
        <v>100</v>
      </c>
      <c r="X30" s="2003"/>
      <c r="Y30" s="3597"/>
      <c r="Z30" s="2007">
        <f t="shared" si="15"/>
        <v>111</v>
      </c>
      <c r="AA30" s="1998">
        <f t="shared" si="3"/>
        <v>1</v>
      </c>
      <c r="AB30" s="1998">
        <f t="shared" si="4"/>
        <v>1</v>
      </c>
      <c r="AC30" s="1998">
        <f t="shared" si="5"/>
        <v>1</v>
      </c>
    </row>
    <row r="31" spans="1:29" ht="15">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19"/>
      <c r="M31" s="2915"/>
      <c r="N31" s="2915"/>
      <c r="O31" s="2915"/>
      <c r="P31" s="3597"/>
      <c r="Q31" s="2833">
        <f t="shared" si="11"/>
        <v>111</v>
      </c>
      <c r="R31" s="1654" t="s">
        <v>25</v>
      </c>
      <c r="S31" s="1655">
        <f t="shared" si="12"/>
        <v>100</v>
      </c>
      <c r="T31" s="1654" t="s">
        <v>25</v>
      </c>
      <c r="U31" s="1655">
        <f t="shared" si="13"/>
        <v>100</v>
      </c>
      <c r="V31" s="1654" t="s">
        <v>25</v>
      </c>
      <c r="W31" s="1655">
        <f t="shared" si="14"/>
        <v>100</v>
      </c>
      <c r="X31" s="2003"/>
      <c r="Y31" s="3597"/>
      <c r="Z31" s="2007">
        <f t="shared" si="15"/>
        <v>111</v>
      </c>
      <c r="AA31" s="1998">
        <f t="shared" si="3"/>
        <v>1</v>
      </c>
      <c r="AB31" s="1998">
        <f t="shared" si="4"/>
        <v>1</v>
      </c>
      <c r="AC31" s="1998">
        <f t="shared" si="5"/>
        <v>1</v>
      </c>
    </row>
    <row r="32" spans="1:29" ht="15.75"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19"/>
      <c r="M32" s="2915"/>
      <c r="N32" s="2915"/>
      <c r="O32" s="2915"/>
      <c r="P32" s="3597"/>
      <c r="Q32" s="2833">
        <f t="shared" si="11"/>
        <v>111</v>
      </c>
      <c r="R32" s="1654" t="s">
        <v>25</v>
      </c>
      <c r="S32" s="1655">
        <f t="shared" si="12"/>
        <v>100</v>
      </c>
      <c r="T32" s="1654" t="s">
        <v>25</v>
      </c>
      <c r="U32" s="1655">
        <f t="shared" si="13"/>
        <v>100</v>
      </c>
      <c r="V32" s="1654" t="s">
        <v>25</v>
      </c>
      <c r="W32" s="1655">
        <f t="shared" si="14"/>
        <v>100</v>
      </c>
      <c r="X32" s="2003"/>
      <c r="Y32" s="3597"/>
      <c r="Z32" s="2007">
        <f t="shared" si="15"/>
        <v>111</v>
      </c>
      <c r="AA32" s="1998">
        <f t="shared" si="3"/>
        <v>1</v>
      </c>
      <c r="AB32" s="1998">
        <f t="shared" si="4"/>
        <v>1</v>
      </c>
      <c r="AC32" s="1998">
        <f t="shared" si="5"/>
        <v>1</v>
      </c>
    </row>
    <row r="33" spans="1:29" ht="15">
      <c r="A33" s="1646" t="s">
        <v>2035</v>
      </c>
      <c r="B33" s="1616" t="s">
        <v>2151</v>
      </c>
      <c r="C33" s="2421" t="s">
        <v>3083</v>
      </c>
      <c r="D33" s="1691">
        <v>100</v>
      </c>
      <c r="E33" s="2421" t="s">
        <v>3083</v>
      </c>
      <c r="F33" s="1683">
        <f>SUMIF(101:101,E33,102:102)-SUMIF(101:101,C33,102:102)+100</f>
        <v>100</v>
      </c>
      <c r="G33" s="2421" t="s">
        <v>3083</v>
      </c>
      <c r="H33" s="1640">
        <f>SUMIF(101:101,G33,102:102)-SUMIF(101:101,C33,102:102)+100</f>
        <v>100</v>
      </c>
      <c r="I33" s="2421" t="s">
        <v>3083</v>
      </c>
      <c r="J33" s="1691">
        <f>SUMIF(101:101,I33,102:102)-SUMIF(101:101,C33,102:102)+100</f>
        <v>100</v>
      </c>
      <c r="K33" s="1921">
        <v>2</v>
      </c>
      <c r="L33" s="2919"/>
      <c r="M33" s="2915"/>
      <c r="N33" s="2915"/>
      <c r="O33" s="2915"/>
      <c r="P33" s="3598" t="s">
        <v>2037</v>
      </c>
      <c r="Q33" s="2833" t="str">
        <f t="shared" si="11"/>
        <v>建筑类型</v>
      </c>
      <c r="R33" s="1654" t="s">
        <v>25</v>
      </c>
      <c r="S33" s="1655">
        <f t="shared" si="12"/>
        <v>100</v>
      </c>
      <c r="T33" s="1654" t="s">
        <v>25</v>
      </c>
      <c r="U33" s="1655">
        <f t="shared" si="13"/>
        <v>100</v>
      </c>
      <c r="V33" s="1654" t="s">
        <v>25</v>
      </c>
      <c r="W33" s="1655">
        <f t="shared" si="14"/>
        <v>100</v>
      </c>
      <c r="X33" s="2003"/>
      <c r="Y33" s="3599" t="s">
        <v>2037</v>
      </c>
      <c r="Z33" s="2007" t="str">
        <f t="shared" si="15"/>
        <v>建筑类型</v>
      </c>
      <c r="AA33" s="1998">
        <f t="shared" si="3"/>
        <v>1</v>
      </c>
      <c r="AB33" s="1998">
        <f t="shared" si="4"/>
        <v>1</v>
      </c>
      <c r="AC33" s="1998">
        <f t="shared" si="5"/>
        <v>1</v>
      </c>
    </row>
    <row r="34" spans="1:29" s="1700" customFormat="1" ht="15">
      <c r="A34" s="1693"/>
      <c r="B34" s="1624" t="s">
        <v>2038</v>
      </c>
      <c r="C34" s="1694">
        <f>项目基本情况!C12</f>
        <v>73.739999999999995</v>
      </c>
      <c r="D34" s="1626">
        <v>100</v>
      </c>
      <c r="E34" s="1633">
        <v>62.28</v>
      </c>
      <c r="F34" s="1628">
        <f>LOOKUP(E34,104:104,105:105)-LOOKUP(C34,104:104,105:105)+100</f>
        <v>100</v>
      </c>
      <c r="G34" s="1632">
        <v>61.58</v>
      </c>
      <c r="H34" s="1626">
        <f>LOOKUP(G34,104:104,105:105)-LOOKUP(C34,104:104,105:105)+100</f>
        <v>100</v>
      </c>
      <c r="I34" s="1632">
        <v>62.93</v>
      </c>
      <c r="J34" s="1626">
        <f>LOOKUP(I34,104:104,105:105)-LOOKUP(C34,104:104,105:105)+100</f>
        <v>100</v>
      </c>
      <c r="K34" s="1918"/>
      <c r="L34" s="2918"/>
      <c r="M34" s="1988"/>
      <c r="N34" s="1988"/>
      <c r="O34" s="1988"/>
      <c r="P34" s="3599"/>
      <c r="Q34" s="1695" t="str">
        <f t="shared" si="11"/>
        <v>项目建筑规模</v>
      </c>
      <c r="R34" s="1696" t="s">
        <v>25</v>
      </c>
      <c r="S34" s="1697">
        <f t="shared" si="12"/>
        <v>100</v>
      </c>
      <c r="T34" s="1696" t="s">
        <v>25</v>
      </c>
      <c r="U34" s="1697">
        <f t="shared" si="13"/>
        <v>100</v>
      </c>
      <c r="V34" s="1696" t="s">
        <v>25</v>
      </c>
      <c r="W34" s="1697">
        <f t="shared" si="14"/>
        <v>100</v>
      </c>
      <c r="X34" s="1698"/>
      <c r="Y34" s="3599"/>
      <c r="Z34" s="1699" t="str">
        <f t="shared" si="15"/>
        <v>项目建筑规模</v>
      </c>
      <c r="AA34" s="1998">
        <f t="shared" si="3"/>
        <v>1</v>
      </c>
      <c r="AB34" s="1998">
        <f t="shared" si="4"/>
        <v>1</v>
      </c>
      <c r="AC34" s="1998">
        <f t="shared" si="5"/>
        <v>1</v>
      </c>
    </row>
    <row r="35" spans="1:29" ht="15">
      <c r="A35" s="1701"/>
      <c r="B35" s="1624" t="s">
        <v>2039</v>
      </c>
      <c r="C35" s="1681" t="s">
        <v>3050</v>
      </c>
      <c r="D35" s="1640">
        <v>100</v>
      </c>
      <c r="E35" s="1681" t="s">
        <v>3050</v>
      </c>
      <c r="F35" s="1683">
        <f>SUMIF(106:106,E35,107:107)-SUMIF(106:106,C35,107:107)+100</f>
        <v>100</v>
      </c>
      <c r="G35" s="1681" t="s">
        <v>3050</v>
      </c>
      <c r="H35" s="1640">
        <f>SUMIF(106:106,G35,107:107)-SUMIF(106:106,C35,107:107)+100</f>
        <v>100</v>
      </c>
      <c r="I35" s="1681" t="s">
        <v>3050</v>
      </c>
      <c r="J35" s="1640">
        <f>SUMIF(106:106,I35,107:107)-SUMIF(106:106,C35,107:107)+100</f>
        <v>100</v>
      </c>
      <c r="K35" s="1921">
        <v>1</v>
      </c>
      <c r="L35" s="2919"/>
      <c r="M35" s="2915"/>
      <c r="N35" s="2915"/>
      <c r="O35" s="2915"/>
      <c r="P35" s="3599"/>
      <c r="Q35" s="2833" t="str">
        <f t="shared" si="11"/>
        <v>建筑结构</v>
      </c>
      <c r="R35" s="1654" t="s">
        <v>25</v>
      </c>
      <c r="S35" s="1655">
        <f t="shared" si="12"/>
        <v>100</v>
      </c>
      <c r="T35" s="1654" t="s">
        <v>25</v>
      </c>
      <c r="U35" s="1655">
        <f t="shared" si="13"/>
        <v>100</v>
      </c>
      <c r="V35" s="1654" t="s">
        <v>25</v>
      </c>
      <c r="W35" s="1655">
        <f t="shared" si="14"/>
        <v>100</v>
      </c>
      <c r="X35" s="2003"/>
      <c r="Y35" s="3599"/>
      <c r="Z35" s="2007" t="str">
        <f t="shared" si="15"/>
        <v>建筑结构</v>
      </c>
      <c r="AA35" s="1998">
        <f t="shared" si="3"/>
        <v>1</v>
      </c>
      <c r="AB35" s="1998">
        <f t="shared" si="4"/>
        <v>1</v>
      </c>
      <c r="AC35" s="1998">
        <f t="shared" si="5"/>
        <v>1</v>
      </c>
    </row>
    <row r="36" spans="1:29" ht="15">
      <c r="A36" s="1701"/>
      <c r="B36" s="1624" t="s">
        <v>2124</v>
      </c>
      <c r="C36" s="1681" t="s">
        <v>3052</v>
      </c>
      <c r="D36" s="1640">
        <v>100</v>
      </c>
      <c r="E36" s="1681" t="s">
        <v>3052</v>
      </c>
      <c r="F36" s="1683">
        <f>SUMIF(108:108,E36,109:109)-SUMIF(108:108,C36,109:109)+100</f>
        <v>100</v>
      </c>
      <c r="G36" s="1681" t="s">
        <v>3052</v>
      </c>
      <c r="H36" s="1640">
        <f>SUMIF(108:108,G36,109:109)-SUMIF(108:108,C36,109:109)+100</f>
        <v>100</v>
      </c>
      <c r="I36" s="1681" t="s">
        <v>3052</v>
      </c>
      <c r="J36" s="1640">
        <f>SUMIF(108:108,I36,109:109)-SUMIF(108:108,C36,109:109)+100</f>
        <v>100</v>
      </c>
      <c r="K36" s="1921">
        <v>2</v>
      </c>
      <c r="L36" s="2919"/>
      <c r="M36" s="2915"/>
      <c r="N36" s="2915"/>
      <c r="O36" s="2915"/>
      <c r="P36" s="3599"/>
      <c r="Q36" s="2833" t="str">
        <f t="shared" si="11"/>
        <v>公共部分装修</v>
      </c>
      <c r="R36" s="1654" t="s">
        <v>25</v>
      </c>
      <c r="S36" s="1655">
        <f t="shared" si="12"/>
        <v>100</v>
      </c>
      <c r="T36" s="1654" t="s">
        <v>25</v>
      </c>
      <c r="U36" s="1655">
        <f t="shared" si="13"/>
        <v>100</v>
      </c>
      <c r="V36" s="1654" t="s">
        <v>25</v>
      </c>
      <c r="W36" s="1655">
        <f t="shared" si="14"/>
        <v>100</v>
      </c>
      <c r="X36" s="2003"/>
      <c r="Y36" s="3599"/>
      <c r="Z36" s="2007" t="str">
        <f t="shared" si="15"/>
        <v>公共部分装修</v>
      </c>
      <c r="AA36" s="1998">
        <f t="shared" si="3"/>
        <v>1</v>
      </c>
      <c r="AB36" s="1998">
        <f t="shared" si="4"/>
        <v>1</v>
      </c>
      <c r="AC36" s="1998">
        <f t="shared" si="5"/>
        <v>1</v>
      </c>
    </row>
    <row r="37" spans="1:29" ht="15">
      <c r="A37" s="1701"/>
      <c r="B37" s="1624" t="s">
        <v>2125</v>
      </c>
      <c r="C37" s="1705">
        <f>'数据-取费表'!E20</f>
        <v>0.95</v>
      </c>
      <c r="D37" s="1640">
        <v>100</v>
      </c>
      <c r="E37" s="1705">
        <f>C37</f>
        <v>0.95</v>
      </c>
      <c r="F37" s="1683">
        <f>LOOKUP(E37,111:111,112:112)-LOOKUP(C37,111:111,112:112)+100</f>
        <v>100</v>
      </c>
      <c r="G37" s="1705">
        <f>E37</f>
        <v>0.95</v>
      </c>
      <c r="H37" s="1683">
        <f>LOOKUP(G37,111:111,112:112)-LOOKUP(C37,111:111,112:112)+100</f>
        <v>100</v>
      </c>
      <c r="I37" s="1705">
        <f>ROUND(1-(2022-2016)/60,2)</f>
        <v>0.9</v>
      </c>
      <c r="J37" s="1640">
        <f>LOOKUP(I37,111:111,112:112)-LOOKUP(C37,111:111,112:112)+100</f>
        <v>100</v>
      </c>
      <c r="K37" s="1921">
        <v>2</v>
      </c>
      <c r="L37" s="2919"/>
      <c r="M37" s="2915"/>
      <c r="N37" s="2915"/>
      <c r="O37" s="2915"/>
      <c r="P37" s="3599"/>
      <c r="Q37" s="2833" t="str">
        <f t="shared" si="11"/>
        <v>成新度</v>
      </c>
      <c r="R37" s="1654" t="s">
        <v>25</v>
      </c>
      <c r="S37" s="1655">
        <f t="shared" si="12"/>
        <v>100</v>
      </c>
      <c r="T37" s="1654" t="s">
        <v>25</v>
      </c>
      <c r="U37" s="1655">
        <f t="shared" si="13"/>
        <v>100</v>
      </c>
      <c r="V37" s="1654" t="s">
        <v>25</v>
      </c>
      <c r="W37" s="1655">
        <f t="shared" si="14"/>
        <v>100</v>
      </c>
      <c r="X37" s="2003"/>
      <c r="Y37" s="3599"/>
      <c r="Z37" s="2007" t="str">
        <f t="shared" si="15"/>
        <v>成新度</v>
      </c>
      <c r="AA37" s="1998">
        <f t="shared" si="3"/>
        <v>1</v>
      </c>
      <c r="AB37" s="1998">
        <f t="shared" si="4"/>
        <v>1</v>
      </c>
      <c r="AC37" s="1998">
        <f t="shared" si="5"/>
        <v>1</v>
      </c>
    </row>
    <row r="38" spans="1:29" s="1613" customFormat="1" ht="15">
      <c r="A38" s="1704"/>
      <c r="B38" s="1624" t="s">
        <v>2152</v>
      </c>
      <c r="C38" s="1681" t="s">
        <v>3056</v>
      </c>
      <c r="D38" s="1626">
        <v>100</v>
      </c>
      <c r="E38" s="1681" t="s">
        <v>3056</v>
      </c>
      <c r="F38" s="1683">
        <f>SUMIF(113:113,E38,114:114)-SUMIF(113:113,C38,114:114)+100</f>
        <v>100</v>
      </c>
      <c r="G38" s="1681" t="s">
        <v>3056</v>
      </c>
      <c r="H38" s="1640">
        <f>SUMIF(113:113,G38,114:114)-SUMIF(113:113,C38,114:114)+100</f>
        <v>100</v>
      </c>
      <c r="I38" s="1681" t="s">
        <v>3056</v>
      </c>
      <c r="J38" s="1640">
        <f>SUMIF(113:113,I38,114:114)-SUMIF(113:113,C38,114:114)+100</f>
        <v>100</v>
      </c>
      <c r="K38" s="1921">
        <v>2</v>
      </c>
      <c r="L38" s="2914"/>
      <c r="M38" s="2887"/>
      <c r="N38" s="2887"/>
      <c r="O38" s="2887"/>
      <c r="P38" s="3599"/>
      <c r="Q38" s="2832" t="str">
        <f t="shared" si="11"/>
        <v>写字楼等级</v>
      </c>
      <c r="R38" s="1609" t="s">
        <v>25</v>
      </c>
      <c r="S38" s="1610">
        <f t="shared" si="12"/>
        <v>100</v>
      </c>
      <c r="T38" s="1609" t="s">
        <v>25</v>
      </c>
      <c r="U38" s="1610">
        <f t="shared" si="13"/>
        <v>100</v>
      </c>
      <c r="V38" s="1609" t="s">
        <v>25</v>
      </c>
      <c r="W38" s="1610">
        <f t="shared" si="14"/>
        <v>100</v>
      </c>
      <c r="X38" s="1611"/>
      <c r="Y38" s="3599"/>
      <c r="Z38" s="1622" t="str">
        <f t="shared" si="15"/>
        <v>写字楼等级</v>
      </c>
      <c r="AA38" s="1612">
        <f t="shared" si="3"/>
        <v>1</v>
      </c>
      <c r="AB38" s="1612">
        <f t="shared" si="4"/>
        <v>1</v>
      </c>
      <c r="AC38" s="1612">
        <f t="shared" si="5"/>
        <v>1</v>
      </c>
    </row>
    <row r="39" spans="1:29" ht="15">
      <c r="A39" s="1701"/>
      <c r="B39" s="1624" t="s">
        <v>2153</v>
      </c>
      <c r="C39" s="1681" t="s">
        <v>3060</v>
      </c>
      <c r="D39" s="1640">
        <v>100</v>
      </c>
      <c r="E39" s="1681" t="s">
        <v>3060</v>
      </c>
      <c r="F39" s="1683">
        <f>SUMIF(115:115,E39,116:116)-SUMIF(115:115,C39,116:116)+100</f>
        <v>100</v>
      </c>
      <c r="G39" s="1681" t="s">
        <v>3060</v>
      </c>
      <c r="H39" s="1640">
        <f>SUMIF(115:115,G39,116:116)-SUMIF(115:115,C39,116:116)+100</f>
        <v>100</v>
      </c>
      <c r="I39" s="1681" t="s">
        <v>3060</v>
      </c>
      <c r="J39" s="1640">
        <f>SUMIF(115:115,I39,116:116)-SUMIF(115:115,C39,116:116)+100</f>
        <v>100</v>
      </c>
      <c r="K39" s="1921">
        <v>2</v>
      </c>
      <c r="L39" s="2919"/>
      <c r="M39" s="2915"/>
      <c r="N39" s="2915"/>
      <c r="O39" s="2915"/>
      <c r="P39" s="3599" t="s">
        <v>2037</v>
      </c>
      <c r="Q39" s="2833" t="str">
        <f t="shared" si="11"/>
        <v>物业管理</v>
      </c>
      <c r="R39" s="1654" t="s">
        <v>25</v>
      </c>
      <c r="S39" s="1655">
        <f t="shared" si="12"/>
        <v>100</v>
      </c>
      <c r="T39" s="1654" t="s">
        <v>25</v>
      </c>
      <c r="U39" s="1655">
        <f t="shared" si="13"/>
        <v>100</v>
      </c>
      <c r="V39" s="1654" t="s">
        <v>25</v>
      </c>
      <c r="W39" s="1655">
        <f t="shared" si="14"/>
        <v>100</v>
      </c>
      <c r="X39" s="2003"/>
      <c r="Y39" s="3599" t="s">
        <v>2037</v>
      </c>
      <c r="Z39" s="2007" t="str">
        <f t="shared" si="15"/>
        <v>物业管理</v>
      </c>
      <c r="AA39" s="1998">
        <f t="shared" si="3"/>
        <v>1</v>
      </c>
      <c r="AB39" s="1998">
        <f t="shared" si="4"/>
        <v>1</v>
      </c>
      <c r="AC39" s="1998">
        <f t="shared" si="5"/>
        <v>1</v>
      </c>
    </row>
    <row r="40" spans="1:29" ht="15">
      <c r="A40" s="1701"/>
      <c r="B40" s="1624" t="s">
        <v>2126</v>
      </c>
      <c r="C40" s="1681" t="s">
        <v>3064</v>
      </c>
      <c r="D40" s="1640">
        <v>100</v>
      </c>
      <c r="E40" s="1681" t="s">
        <v>3064</v>
      </c>
      <c r="F40" s="1683">
        <f>SUMIF(117:117,E40,118:118)-SUMIF(117:117,C40,118:118)+100</f>
        <v>100</v>
      </c>
      <c r="G40" s="1681" t="s">
        <v>3064</v>
      </c>
      <c r="H40" s="1640">
        <f>SUMIF(117:117,G40,118:118)-SUMIF(117:117,C40,118:118)+100</f>
        <v>100</v>
      </c>
      <c r="I40" s="1681" t="s">
        <v>3064</v>
      </c>
      <c r="J40" s="1640">
        <f>SUMIF(117:117,I40,118:118)-SUMIF(117:117,C40,118:118)+100</f>
        <v>100</v>
      </c>
      <c r="K40" s="1921">
        <v>2</v>
      </c>
      <c r="L40" s="2919"/>
      <c r="M40" s="2915"/>
      <c r="N40" s="2915"/>
      <c r="O40" s="2915"/>
      <c r="P40" s="3599"/>
      <c r="Q40" s="2833" t="str">
        <f t="shared" si="11"/>
        <v>市政基础设施</v>
      </c>
      <c r="R40" s="1654" t="s">
        <v>25</v>
      </c>
      <c r="S40" s="1655">
        <f t="shared" si="12"/>
        <v>100</v>
      </c>
      <c r="T40" s="1654" t="s">
        <v>25</v>
      </c>
      <c r="U40" s="1655">
        <f t="shared" si="13"/>
        <v>100</v>
      </c>
      <c r="V40" s="1654" t="s">
        <v>25</v>
      </c>
      <c r="W40" s="1655">
        <f t="shared" si="14"/>
        <v>100</v>
      </c>
      <c r="X40" s="2003"/>
      <c r="Y40" s="3599"/>
      <c r="Z40" s="2007" t="str">
        <f t="shared" si="15"/>
        <v>市政基础设施</v>
      </c>
      <c r="AA40" s="1998">
        <f t="shared" si="3"/>
        <v>1</v>
      </c>
      <c r="AB40" s="1998">
        <f t="shared" si="4"/>
        <v>1</v>
      </c>
      <c r="AC40" s="1998">
        <f t="shared" si="5"/>
        <v>1</v>
      </c>
    </row>
    <row r="41" spans="1:29" ht="15">
      <c r="A41" s="1701"/>
      <c r="B41" s="1624" t="s">
        <v>2128</v>
      </c>
      <c r="C41" s="1920"/>
      <c r="D41" s="1640">
        <v>100</v>
      </c>
      <c r="E41" s="1920"/>
      <c r="F41" s="1683">
        <f>SUMIF(119:119,E41,120:120)-SUMIF(119:119,C41,120:120)+100</f>
        <v>100</v>
      </c>
      <c r="G41" s="1920"/>
      <c r="H41" s="1640">
        <f>SUMIF(119:119,G41,120:120)-SUMIF(119:119,C41,120:120)+100</f>
        <v>100</v>
      </c>
      <c r="I41" s="1920"/>
      <c r="J41" s="1640">
        <f>SUMIF(119:119,I41,120:120)-SUMIF(119:119,C41,120:120)+100</f>
        <v>100</v>
      </c>
      <c r="K41" s="1921"/>
      <c r="L41" s="2919"/>
      <c r="M41" s="2915"/>
      <c r="N41" s="2915"/>
      <c r="O41" s="2915"/>
      <c r="P41" s="3599"/>
      <c r="Q41" s="2833" t="str">
        <f t="shared" si="11"/>
        <v>层高</v>
      </c>
      <c r="R41" s="1654" t="s">
        <v>25</v>
      </c>
      <c r="S41" s="1655">
        <f t="shared" si="12"/>
        <v>100</v>
      </c>
      <c r="T41" s="1654" t="s">
        <v>25</v>
      </c>
      <c r="U41" s="1655">
        <f t="shared" si="13"/>
        <v>100</v>
      </c>
      <c r="V41" s="1654" t="s">
        <v>25</v>
      </c>
      <c r="W41" s="1655">
        <f t="shared" si="14"/>
        <v>100</v>
      </c>
      <c r="X41" s="2003"/>
      <c r="Y41" s="3599"/>
      <c r="Z41" s="2007" t="str">
        <f t="shared" si="15"/>
        <v>层高</v>
      </c>
      <c r="AA41" s="1998">
        <f t="shared" si="3"/>
        <v>1</v>
      </c>
      <c r="AB41" s="1998">
        <f t="shared" si="4"/>
        <v>1</v>
      </c>
      <c r="AC41" s="1998">
        <f t="shared" si="5"/>
        <v>1</v>
      </c>
    </row>
    <row r="42" spans="1:29" s="1700" customFormat="1" ht="15">
      <c r="A42" s="1693"/>
      <c r="B42" s="1999" t="s">
        <v>2154</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8"/>
      <c r="M42" s="1988"/>
      <c r="N42" s="1988"/>
      <c r="O42" s="1988"/>
      <c r="P42" s="3599"/>
      <c r="Q42" s="1695" t="str">
        <f t="shared" si="11"/>
        <v>单套建筑面积</v>
      </c>
      <c r="R42" s="1696" t="s">
        <v>25</v>
      </c>
      <c r="S42" s="1697">
        <f t="shared" si="12"/>
        <v>100</v>
      </c>
      <c r="T42" s="1696" t="s">
        <v>25</v>
      </c>
      <c r="U42" s="1697">
        <f t="shared" si="13"/>
        <v>100</v>
      </c>
      <c r="V42" s="1696" t="s">
        <v>25</v>
      </c>
      <c r="W42" s="1697">
        <f t="shared" si="14"/>
        <v>100</v>
      </c>
      <c r="X42" s="1698"/>
      <c r="Y42" s="3599"/>
      <c r="Z42" s="1699" t="str">
        <f t="shared" si="15"/>
        <v>单套建筑面积</v>
      </c>
      <c r="AA42" s="1998">
        <f t="shared" si="3"/>
        <v>1</v>
      </c>
      <c r="AB42" s="1998">
        <f t="shared" si="4"/>
        <v>1</v>
      </c>
      <c r="AC42" s="1998">
        <f t="shared" si="5"/>
        <v>1</v>
      </c>
    </row>
    <row r="43" spans="1:29" ht="15">
      <c r="A43" s="1701"/>
      <c r="B43" s="1624" t="s">
        <v>2131</v>
      </c>
      <c r="C43" s="1681" t="s">
        <v>3052</v>
      </c>
      <c r="D43" s="1640">
        <v>100</v>
      </c>
      <c r="E43" s="1681" t="s">
        <v>3052</v>
      </c>
      <c r="F43" s="1683">
        <f>SUMIF(123:123,E43,124:124)-SUMIF(123:123,C43,124:124)+100</f>
        <v>100</v>
      </c>
      <c r="G43" s="1681" t="s">
        <v>3052</v>
      </c>
      <c r="H43" s="1640">
        <f>SUMIF(123:123,G43,124:124)-SUMIF(123:123,C43,124:124)+100</f>
        <v>100</v>
      </c>
      <c r="I43" s="1681" t="s">
        <v>3087</v>
      </c>
      <c r="J43" s="1640">
        <f>SUMIF(123:123,I43,124:124)-SUMIF(123:123,C43,124:124)+100</f>
        <v>98</v>
      </c>
      <c r="K43" s="1921">
        <v>2</v>
      </c>
      <c r="L43" s="2919"/>
      <c r="M43" s="2915"/>
      <c r="N43" s="2915"/>
      <c r="O43" s="2915"/>
      <c r="P43" s="3599"/>
      <c r="Q43" s="2833" t="str">
        <f t="shared" si="11"/>
        <v>内部装修</v>
      </c>
      <c r="R43" s="1654" t="s">
        <v>25</v>
      </c>
      <c r="S43" s="1655">
        <f t="shared" si="12"/>
        <v>100</v>
      </c>
      <c r="T43" s="1654" t="s">
        <v>25</v>
      </c>
      <c r="U43" s="1655">
        <f t="shared" si="13"/>
        <v>100</v>
      </c>
      <c r="V43" s="1654" t="s">
        <v>25</v>
      </c>
      <c r="W43" s="1655">
        <f t="shared" si="14"/>
        <v>98</v>
      </c>
      <c r="X43" s="2003"/>
      <c r="Y43" s="3599"/>
      <c r="Z43" s="2007" t="str">
        <f t="shared" si="15"/>
        <v>内部装修</v>
      </c>
      <c r="AA43" s="1998">
        <f t="shared" si="3"/>
        <v>1</v>
      </c>
      <c r="AB43" s="1998">
        <f t="shared" si="4"/>
        <v>1</v>
      </c>
      <c r="AC43" s="1998">
        <f t="shared" si="5"/>
        <v>1.0204081632653061</v>
      </c>
    </row>
    <row r="44" spans="1:29" ht="15">
      <c r="A44" s="1701"/>
      <c r="B44" s="1624" t="s">
        <v>2048</v>
      </c>
      <c r="C44" s="1681" t="s">
        <v>30</v>
      </c>
      <c r="D44" s="1640">
        <v>100</v>
      </c>
      <c r="E44" s="1681" t="s">
        <v>30</v>
      </c>
      <c r="F44" s="1683">
        <f>SUMIF(125:125,E44,126:126)-SUMIF(125:125,C44,126:126)+100</f>
        <v>100</v>
      </c>
      <c r="G44" s="1681" t="s">
        <v>30</v>
      </c>
      <c r="H44" s="1640">
        <f>SUMIF(125:125,G44,126:126)-SUMIF(125:125,C44,126:126)+100</f>
        <v>100</v>
      </c>
      <c r="I44" s="1681" t="s">
        <v>30</v>
      </c>
      <c r="J44" s="1640">
        <f>SUMIF(125:125,I44,126:126)-SUMIF(125:125,C44,126:126)+100</f>
        <v>100</v>
      </c>
      <c r="K44" s="1921">
        <v>2</v>
      </c>
      <c r="L44" s="2919"/>
      <c r="M44" s="2915"/>
      <c r="N44" s="2915"/>
      <c r="O44" s="2915"/>
      <c r="P44" s="3599"/>
      <c r="Q44" s="2833" t="str">
        <f t="shared" si="11"/>
        <v>内部装修维护情况</v>
      </c>
      <c r="R44" s="1654" t="s">
        <v>25</v>
      </c>
      <c r="S44" s="1655">
        <f t="shared" si="12"/>
        <v>100</v>
      </c>
      <c r="T44" s="1654" t="s">
        <v>25</v>
      </c>
      <c r="U44" s="1655">
        <f t="shared" si="13"/>
        <v>100</v>
      </c>
      <c r="V44" s="1654" t="s">
        <v>25</v>
      </c>
      <c r="W44" s="1655">
        <f t="shared" si="14"/>
        <v>100</v>
      </c>
      <c r="X44" s="2003"/>
      <c r="Y44" s="3599"/>
      <c r="Z44" s="2007" t="str">
        <f t="shared" si="15"/>
        <v>内部装修维护情况</v>
      </c>
      <c r="AA44" s="1998">
        <f t="shared" si="3"/>
        <v>1</v>
      </c>
      <c r="AB44" s="1998">
        <f t="shared" si="4"/>
        <v>1</v>
      </c>
      <c r="AC44" s="1998">
        <f t="shared" si="5"/>
        <v>1</v>
      </c>
    </row>
    <row r="45" spans="1:29" s="1613" customFormat="1" ht="15">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4"/>
      <c r="M45" s="2887"/>
      <c r="N45" s="2887"/>
      <c r="O45" s="2887"/>
      <c r="P45" s="3599"/>
      <c r="Q45" s="2832">
        <f t="shared" si="11"/>
        <v>111</v>
      </c>
      <c r="R45" s="1609" t="s">
        <v>25</v>
      </c>
      <c r="S45" s="1610">
        <f t="shared" si="12"/>
        <v>100</v>
      </c>
      <c r="T45" s="1609" t="s">
        <v>25</v>
      </c>
      <c r="U45" s="1610">
        <f t="shared" si="13"/>
        <v>100</v>
      </c>
      <c r="V45" s="1609" t="s">
        <v>25</v>
      </c>
      <c r="W45" s="1610">
        <f t="shared" si="14"/>
        <v>100</v>
      </c>
      <c r="X45" s="1611"/>
      <c r="Y45" s="3599"/>
      <c r="Z45" s="1622">
        <f t="shared" si="15"/>
        <v>111</v>
      </c>
      <c r="AA45" s="1612">
        <f t="shared" si="3"/>
        <v>1</v>
      </c>
      <c r="AB45" s="1612">
        <f t="shared" si="4"/>
        <v>1</v>
      </c>
      <c r="AC45" s="1612">
        <f t="shared" si="5"/>
        <v>1</v>
      </c>
    </row>
    <row r="46" spans="1:29" ht="15">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19"/>
      <c r="M46" s="2915"/>
      <c r="N46" s="2915"/>
      <c r="O46" s="2915"/>
      <c r="P46" s="3599"/>
      <c r="Q46" s="2833">
        <f t="shared" si="11"/>
        <v>111</v>
      </c>
      <c r="R46" s="1654" t="s">
        <v>25</v>
      </c>
      <c r="S46" s="1655">
        <f t="shared" si="12"/>
        <v>100</v>
      </c>
      <c r="T46" s="1654" t="s">
        <v>25</v>
      </c>
      <c r="U46" s="1655">
        <f t="shared" si="13"/>
        <v>100</v>
      </c>
      <c r="V46" s="1654" t="s">
        <v>25</v>
      </c>
      <c r="W46" s="1655">
        <f t="shared" si="14"/>
        <v>100</v>
      </c>
      <c r="X46" s="2003"/>
      <c r="Y46" s="3599"/>
      <c r="Z46" s="2007">
        <f t="shared" si="15"/>
        <v>111</v>
      </c>
      <c r="AA46" s="1998">
        <f t="shared" si="3"/>
        <v>1</v>
      </c>
      <c r="AB46" s="1998">
        <f t="shared" si="4"/>
        <v>1</v>
      </c>
      <c r="AC46" s="1998">
        <f t="shared" si="5"/>
        <v>1</v>
      </c>
    </row>
    <row r="47" spans="1:29" ht="15.75"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19"/>
      <c r="M47" s="2915"/>
      <c r="N47" s="2915"/>
      <c r="O47" s="2915"/>
      <c r="P47" s="3600"/>
      <c r="Q47" s="2833">
        <f t="shared" si="11"/>
        <v>111</v>
      </c>
      <c r="R47" s="1654" t="s">
        <v>25</v>
      </c>
      <c r="S47" s="1655">
        <f t="shared" si="12"/>
        <v>100</v>
      </c>
      <c r="T47" s="1654" t="s">
        <v>25</v>
      </c>
      <c r="U47" s="1655">
        <f t="shared" si="13"/>
        <v>100</v>
      </c>
      <c r="V47" s="1654" t="s">
        <v>25</v>
      </c>
      <c r="W47" s="1655">
        <f t="shared" si="14"/>
        <v>100</v>
      </c>
      <c r="X47" s="2003"/>
      <c r="Y47" s="3600"/>
      <c r="Z47" s="2007">
        <f t="shared" si="15"/>
        <v>111</v>
      </c>
      <c r="AA47" s="1998">
        <f t="shared" si="3"/>
        <v>1</v>
      </c>
      <c r="AB47" s="1998">
        <f t="shared" si="4"/>
        <v>1</v>
      </c>
      <c r="AC47" s="1998">
        <f t="shared" si="5"/>
        <v>1</v>
      </c>
    </row>
    <row r="48" spans="1:29" ht="15">
      <c r="A48" s="1710" t="s">
        <v>2049</v>
      </c>
      <c r="B48" s="1711"/>
      <c r="C48" s="1712" t="s">
        <v>1</v>
      </c>
      <c r="D48" s="1713"/>
      <c r="E48" s="1714">
        <f>ROUND(23282*C51,0)</f>
        <v>23282</v>
      </c>
      <c r="F48" s="1715"/>
      <c r="G48" s="1716">
        <f>ROUND(22800*C51,0)</f>
        <v>22800</v>
      </c>
      <c r="H48" s="1717"/>
      <c r="I48" s="1714">
        <f>ROUND(24265*C51,0)</f>
        <v>24265</v>
      </c>
      <c r="J48" s="1717"/>
      <c r="K48" s="1942"/>
      <c r="L48" s="2920"/>
      <c r="M48" s="2915"/>
      <c r="N48" s="2915"/>
      <c r="O48" s="2915"/>
      <c r="P48" s="3568" t="str">
        <f>A48</f>
        <v>成交单价（元/平方米）</v>
      </c>
      <c r="Q48" s="3568"/>
      <c r="R48" s="3601">
        <f>E48</f>
        <v>23282</v>
      </c>
      <c r="S48" s="3601"/>
      <c r="T48" s="3601">
        <f>G48</f>
        <v>22800</v>
      </c>
      <c r="U48" s="3601"/>
      <c r="V48" s="3601">
        <f>I48</f>
        <v>24265</v>
      </c>
      <c r="W48" s="3601"/>
      <c r="X48" s="1720"/>
      <c r="Y48" s="2002"/>
      <c r="Z48" s="1720"/>
      <c r="AA48" s="1720"/>
      <c r="AB48" s="1720"/>
      <c r="AC48" s="1720"/>
    </row>
    <row r="49" spans="1:29" ht="15.75" thickBot="1">
      <c r="A49" s="1722" t="s">
        <v>2132</v>
      </c>
      <c r="B49" s="1723"/>
      <c r="C49" s="1724">
        <f>R50</f>
        <v>23614</v>
      </c>
      <c r="D49" s="1725" t="s">
        <v>2503</v>
      </c>
      <c r="E49" s="1726">
        <f>R49</f>
        <v>23282</v>
      </c>
      <c r="F49" s="1727"/>
      <c r="G49" s="1724">
        <f>T49</f>
        <v>22800</v>
      </c>
      <c r="H49" s="1727"/>
      <c r="I49" s="1726">
        <f>V49</f>
        <v>24760</v>
      </c>
      <c r="J49" s="1727"/>
      <c r="K49" s="2429">
        <f>F49+H49+J49</f>
        <v>0</v>
      </c>
      <c r="L49" s="2920"/>
      <c r="M49" s="2915"/>
      <c r="N49" s="2915"/>
      <c r="O49" s="2915"/>
      <c r="P49" s="3568" t="str">
        <f>A49</f>
        <v>比较价值（元/平方米）</v>
      </c>
      <c r="Q49" s="3568"/>
      <c r="R49" s="3601">
        <f>IF(E1="售价",ROUND(PRODUCT(R48,AA7:AA47),0),ROUND(PRODUCT(R48,AA7:AA47),1))</f>
        <v>23282</v>
      </c>
      <c r="S49" s="3601"/>
      <c r="T49" s="3601">
        <f>IF(E1="售价",ROUND(PRODUCT(T48,AB7:AB47),0),ROUND(PRODUCT(T48,AB7:AB47),1))</f>
        <v>22800</v>
      </c>
      <c r="U49" s="3601"/>
      <c r="V49" s="3601">
        <f>IF(E1="售价",ROUND(PRODUCT(V48,AC7:AC47),0),ROUND(PRODUCT(V48,AC7:AC47),1))</f>
        <v>24760</v>
      </c>
      <c r="W49" s="3601"/>
      <c r="X49" s="1720"/>
      <c r="Y49" s="1720"/>
      <c r="Z49" s="1720"/>
      <c r="AA49" s="1720"/>
      <c r="AB49" s="1720"/>
      <c r="AC49" s="1720"/>
    </row>
    <row r="50" spans="1:29" ht="15.75" thickBot="1">
      <c r="A50" s="1728" t="s">
        <v>2155</v>
      </c>
      <c r="B50" s="1729"/>
      <c r="C50" s="1731">
        <f>R50</f>
        <v>23614</v>
      </c>
      <c r="D50" s="1731"/>
      <c r="E50" s="1731"/>
      <c r="F50" s="1731"/>
      <c r="G50" s="1731"/>
      <c r="H50" s="1731"/>
      <c r="I50" s="1731"/>
      <c r="J50" s="1731"/>
      <c r="K50" s="1947"/>
      <c r="L50" s="2920"/>
      <c r="M50" s="2915"/>
      <c r="N50" s="2915"/>
      <c r="O50" s="2915"/>
      <c r="P50" s="3602" t="str">
        <f>A50</f>
        <v>估价对象XX用房的比较价值（楼面单价，元/平方米）</v>
      </c>
      <c r="Q50" s="3603"/>
      <c r="R50" s="3604">
        <f>IF(E1="售价",ROUND(IF(D49="简单平均",AVERAGE(R49:V49),R49*F49+T49*H49+V49*J49),0),ROUND(IF(D49="简单平均",AVERAGE(R49:V49),R49*F49+T49*H49+V49*J49),1))</f>
        <v>23614</v>
      </c>
      <c r="S50" s="3604"/>
      <c r="T50" s="3604"/>
      <c r="U50" s="3604"/>
      <c r="V50" s="3604"/>
      <c r="W50" s="3604"/>
      <c r="X50" s="1720"/>
      <c r="Y50" s="1720"/>
      <c r="Z50" s="1720"/>
      <c r="AA50" s="1720"/>
      <c r="AB50" s="1720"/>
      <c r="AC50" s="1720"/>
    </row>
    <row r="51" spans="1:29">
      <c r="C51" s="1595">
        <v>1</v>
      </c>
      <c r="G51" s="3331" t="s">
        <v>3088</v>
      </c>
    </row>
    <row r="53" spans="1:29" ht="13.5" customHeight="1">
      <c r="C53" s="383" t="s">
        <v>2134</v>
      </c>
      <c r="D53" s="1736"/>
      <c r="E53" s="1737">
        <f>IF(E48&lt;E49,E49/E48-1,E48/E49-1)</f>
        <v>0</v>
      </c>
      <c r="F53" s="1738" t="str">
        <f>IF(OR(E53&gt;=0.3,E53&lt;=-0.3),"超过30%","")</f>
        <v/>
      </c>
      <c r="G53" s="1737">
        <f>IF(G48&lt;G49,G49/G48-1,G48/G49-1)</f>
        <v>0</v>
      </c>
      <c r="H53" s="1738" t="str">
        <f>IF(OR(G53&gt;=0.3,G53&lt;=-0.3),"超过30%","")</f>
        <v/>
      </c>
      <c r="I53" s="1737">
        <f>IF(I48&lt;I49,I49/I48-1,I48/I49-1)</f>
        <v>2.0399752730269949E-2</v>
      </c>
      <c r="J53" s="1738" t="str">
        <f>IF(OR(I53&gt;=0.3,I53&lt;=-0.3),"超过30%","")</f>
        <v/>
      </c>
    </row>
    <row r="54" spans="1:29" ht="13.5" customHeight="1">
      <c r="C54" s="383" t="s">
        <v>2135</v>
      </c>
      <c r="D54" s="1739"/>
      <c r="E54" s="1737">
        <f>IF(E49&lt;G49,G49/E49-1,E49/G49-1)</f>
        <v>2.1140350877193015E-2</v>
      </c>
      <c r="F54" s="1738" t="str">
        <f>IF(OR(E54&gt;=0.2,E54&lt;=-0.2),"超过20%","")</f>
        <v/>
      </c>
      <c r="G54" s="1737">
        <f>IF(G49&lt;I49,I49/G49-1,G49/I49-1)</f>
        <v>8.59649122807018E-2</v>
      </c>
      <c r="H54" s="1738" t="str">
        <f>IF(OR(G54&gt;=0.2,G54&lt;=-0.2),"超过20%","")</f>
        <v/>
      </c>
      <c r="I54" s="1737">
        <f>IF(I49&lt;E49,E49/I49-1,I49/E49-1)</f>
        <v>6.3482518683961819E-2</v>
      </c>
      <c r="J54" s="1738" t="str">
        <f>IF(OR(I54&gt;=0.2,I54&lt;=-0.2),"超过20%","")</f>
        <v/>
      </c>
    </row>
    <row r="55" spans="1:29" s="1742" customFormat="1" ht="13.5" customHeight="1">
      <c r="C55" s="383" t="s">
        <v>2136</v>
      </c>
      <c r="D55" s="1739"/>
      <c r="E55" s="1737">
        <f>IF(E48&lt;G48,G48/E48-1,E48/G48-1)</f>
        <v>2.1140350877193015E-2</v>
      </c>
      <c r="F55" s="1738" t="str">
        <f>IF(OR(E55&gt;=0.3,E55&lt;=-0.3),"超过30%","")</f>
        <v/>
      </c>
      <c r="G55" s="1737">
        <f>IF(G48&lt;I48,I48/G48-1,G48/I48-1)</f>
        <v>6.4254385964912286E-2</v>
      </c>
      <c r="H55" s="1738" t="str">
        <f>IF(OR(G55&gt;=0.3,G55&lt;=-0.3),"超过30%","")</f>
        <v/>
      </c>
      <c r="I55" s="1737">
        <f>IF(I48&lt;E48,E48/I48-1,I48/E48-1)</f>
        <v>4.2221458637573983E-2</v>
      </c>
      <c r="J55" s="1738" t="str">
        <f>IF(OR(I55&gt;=0.3,I55&lt;=-0.3),"超过30%","")</f>
        <v/>
      </c>
      <c r="K55" s="2927"/>
      <c r="L55" s="2921"/>
    </row>
    <row r="56" spans="1:29" s="1742" customFormat="1">
      <c r="B56" s="2925"/>
      <c r="C56" s="2926"/>
      <c r="K56" s="2927"/>
      <c r="L56" s="2921"/>
    </row>
    <row r="57" spans="1:29">
      <c r="B57" s="2925"/>
      <c r="C57" s="2926"/>
    </row>
    <row r="58" spans="1:29" ht="21.75" thickBot="1">
      <c r="A58" s="1745" t="s">
        <v>2137</v>
      </c>
      <c r="B58" s="1720"/>
      <c r="C58" s="1746"/>
      <c r="D58" s="1746"/>
      <c r="E58" s="1746"/>
      <c r="F58" s="1746"/>
      <c r="G58" s="1746"/>
      <c r="H58" s="1746"/>
      <c r="I58" s="1746"/>
      <c r="J58" s="1746"/>
      <c r="K58" s="1747"/>
      <c r="L58" s="1748"/>
      <c r="M58" s="1746"/>
      <c r="N58" s="2923"/>
      <c r="O58" s="2923"/>
      <c r="P58" s="1974"/>
      <c r="Q58" s="1750"/>
    </row>
    <row r="59" spans="1:29" s="1756" customFormat="1" ht="15">
      <c r="A59" s="1751" t="s">
        <v>2019</v>
      </c>
      <c r="B59" s="1752"/>
      <c r="C59" s="1753" t="str">
        <f>YEAR(C7)&amp;"-"&amp;MONTH(C7)</f>
        <v>2022-4</v>
      </c>
      <c r="D59" s="1754">
        <f>EDATE(C59,-1)</f>
        <v>44621</v>
      </c>
      <c r="E59" s="1754">
        <f t="shared" ref="E59:O59" si="16">EDATE(D59,-1)</f>
        <v>44593</v>
      </c>
      <c r="F59" s="1754">
        <f t="shared" si="16"/>
        <v>44562</v>
      </c>
      <c r="G59" s="1754">
        <f t="shared" si="16"/>
        <v>44531</v>
      </c>
      <c r="H59" s="1754">
        <f t="shared" si="16"/>
        <v>44501</v>
      </c>
      <c r="I59" s="1754">
        <f t="shared" si="16"/>
        <v>44470</v>
      </c>
      <c r="J59" s="1754">
        <f t="shared" si="16"/>
        <v>44440</v>
      </c>
      <c r="K59" s="1754">
        <f t="shared" si="16"/>
        <v>44409</v>
      </c>
      <c r="L59" s="1754">
        <f t="shared" si="16"/>
        <v>44378</v>
      </c>
      <c r="M59" s="1754">
        <f t="shared" si="16"/>
        <v>44348</v>
      </c>
      <c r="N59" s="1754">
        <f t="shared" si="16"/>
        <v>44317</v>
      </c>
      <c r="O59" s="1754">
        <f t="shared" si="16"/>
        <v>44287</v>
      </c>
      <c r="P59" s="2422"/>
    </row>
    <row r="60" spans="1:29" s="1613" customFormat="1" ht="15">
      <c r="A60" s="1757"/>
      <c r="B60" s="1758"/>
      <c r="C60" s="1759">
        <v>100</v>
      </c>
      <c r="D60" s="1760"/>
      <c r="E60" s="1760"/>
      <c r="F60" s="1760"/>
      <c r="G60" s="1760"/>
      <c r="H60" s="1760"/>
      <c r="I60" s="1760"/>
      <c r="J60" s="1760"/>
      <c r="K60" s="1760"/>
      <c r="L60" s="1760"/>
      <c r="M60" s="1761"/>
      <c r="N60" s="1760"/>
      <c r="O60" s="1774"/>
      <c r="P60" s="1750"/>
    </row>
    <row r="61" spans="1:29" s="1613" customFormat="1" ht="15.75" thickBot="1">
      <c r="A61" s="1763" t="s">
        <v>2057</v>
      </c>
      <c r="B61" s="1764"/>
      <c r="C61" s="1765"/>
      <c r="D61" s="1766"/>
      <c r="E61" s="1766"/>
      <c r="F61" s="1766"/>
      <c r="G61" s="1766"/>
      <c r="H61" s="1766"/>
      <c r="I61" s="1766"/>
      <c r="J61" s="1766"/>
      <c r="K61" s="1766"/>
      <c r="L61" s="1766"/>
      <c r="M61" s="1767"/>
      <c r="N61" s="1766"/>
      <c r="O61" s="2423"/>
      <c r="P61" s="1750"/>
      <c r="Q61" s="1750"/>
    </row>
    <row r="62" spans="1:29" s="1613" customFormat="1" ht="15">
      <c r="A62" s="1768" t="s">
        <v>2021</v>
      </c>
      <c r="B62" s="1758"/>
      <c r="C62" s="1769" t="s">
        <v>2022</v>
      </c>
      <c r="D62" s="409"/>
      <c r="E62" s="409"/>
      <c r="F62" s="409"/>
      <c r="G62" s="409"/>
      <c r="H62" s="409"/>
      <c r="I62" s="409"/>
      <c r="J62" s="409"/>
      <c r="K62" s="409"/>
      <c r="L62" s="409"/>
      <c r="M62" s="1770"/>
      <c r="N62" s="2932"/>
      <c r="O62" s="2932"/>
      <c r="P62" s="1985"/>
      <c r="Q62" s="1750"/>
    </row>
    <row r="63" spans="1:29" s="1613" customFormat="1" ht="15.75" thickBot="1">
      <c r="A63" s="1768"/>
      <c r="B63" s="1758"/>
      <c r="C63" s="1773">
        <v>100</v>
      </c>
      <c r="D63" s="1760"/>
      <c r="E63" s="1760"/>
      <c r="F63" s="1760"/>
      <c r="G63" s="1760"/>
      <c r="H63" s="1760"/>
      <c r="I63" s="1760"/>
      <c r="J63" s="1760"/>
      <c r="K63" s="1760"/>
      <c r="L63" s="1760"/>
      <c r="M63" s="1774"/>
      <c r="N63" s="2932"/>
      <c r="O63" s="2932"/>
      <c r="P63" s="1750"/>
      <c r="Q63" s="1750"/>
    </row>
    <row r="64" spans="1:29">
      <c r="A64" s="1775" t="s">
        <v>2060</v>
      </c>
      <c r="B64" s="1776" t="s">
        <v>2025</v>
      </c>
      <c r="C64" s="1777" t="str">
        <f>C9</f>
        <v>办公</v>
      </c>
      <c r="D64" s="1778"/>
      <c r="E64" s="1778"/>
      <c r="F64" s="1778"/>
      <c r="G64" s="1778"/>
      <c r="H64" s="1778"/>
      <c r="I64" s="1778"/>
      <c r="J64" s="1778"/>
      <c r="K64" s="417"/>
      <c r="L64" s="417"/>
      <c r="M64" s="1779"/>
      <c r="N64" s="2933"/>
      <c r="O64" s="2933"/>
      <c r="P64" s="1986"/>
      <c r="Q64" s="1750"/>
    </row>
    <row r="65" spans="1:17" ht="15.75" thickBot="1">
      <c r="A65" s="1782"/>
      <c r="B65" s="1783"/>
      <c r="C65" s="1784">
        <v>100</v>
      </c>
      <c r="D65" s="1784"/>
      <c r="E65" s="1784"/>
      <c r="F65" s="1784"/>
      <c r="G65" s="1784"/>
      <c r="H65" s="1784"/>
      <c r="I65" s="1784"/>
      <c r="J65" s="1784"/>
      <c r="K65" s="1784"/>
      <c r="L65" s="1784"/>
      <c r="M65" s="1785"/>
      <c r="N65" s="2934"/>
      <c r="O65" s="2934"/>
      <c r="P65" s="1986"/>
      <c r="Q65" s="1750"/>
    </row>
    <row r="66" spans="1:17" ht="27.75" thickTop="1">
      <c r="A66" s="1782"/>
      <c r="B66" s="1787" t="s">
        <v>2028</v>
      </c>
      <c r="C66" s="1788" t="s">
        <v>2061</v>
      </c>
      <c r="D66" s="1788" t="s">
        <v>2062</v>
      </c>
      <c r="E66" s="1788" t="s">
        <v>2063</v>
      </c>
      <c r="F66" s="1788" t="s">
        <v>2064</v>
      </c>
      <c r="G66" s="1788" t="s">
        <v>2065</v>
      </c>
      <c r="H66" s="1788" t="s">
        <v>2066</v>
      </c>
      <c r="I66" s="1788" t="s">
        <v>2067</v>
      </c>
      <c r="J66" s="1788"/>
      <c r="K66" s="428"/>
      <c r="L66" s="428"/>
      <c r="M66" s="1789"/>
      <c r="N66" s="2933"/>
      <c r="O66" s="2933"/>
      <c r="P66" s="1986"/>
      <c r="Q66" s="1750"/>
    </row>
    <row r="67" spans="1:17" ht="15.75" thickBot="1">
      <c r="A67" s="1782"/>
      <c r="B67" s="1790"/>
      <c r="C67" s="1791" t="s">
        <v>36</v>
      </c>
      <c r="D67" s="1791" t="s">
        <v>37</v>
      </c>
      <c r="E67" s="1791">
        <v>100</v>
      </c>
      <c r="F67" s="1791">
        <f>E67-$K10</f>
        <v>99</v>
      </c>
      <c r="G67" s="1791">
        <f>F67-$K10</f>
        <v>98</v>
      </c>
      <c r="H67" s="1791">
        <f>G67-$K10</f>
        <v>97</v>
      </c>
      <c r="I67" s="1791">
        <f>H67-$K10</f>
        <v>96</v>
      </c>
      <c r="J67" s="1791"/>
      <c r="K67" s="1791"/>
      <c r="L67" s="1791"/>
      <c r="M67" s="1792"/>
      <c r="N67" s="2934"/>
      <c r="O67" s="2934"/>
      <c r="P67" s="1986"/>
      <c r="Q67" s="1750"/>
    </row>
    <row r="68" spans="1:17" ht="15.75" thickTop="1">
      <c r="A68" s="1782"/>
      <c r="B68" s="1793" t="s">
        <v>2029</v>
      </c>
      <c r="C68" s="1794" t="str">
        <f>C69&amp;"（含）"&amp;"-"&amp;D69</f>
        <v>0（含）-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4"/>
      <c r="O68" s="2934"/>
      <c r="P68" s="1986"/>
      <c r="Q68" s="1750"/>
    </row>
    <row r="69" spans="1:17" ht="15">
      <c r="A69" s="1782"/>
      <c r="B69" s="1795"/>
      <c r="C69" s="1796">
        <v>0</v>
      </c>
      <c r="D69" s="1796"/>
      <c r="E69" s="1796"/>
      <c r="F69" s="1796"/>
      <c r="G69" s="1796"/>
      <c r="H69" s="1796"/>
      <c r="I69" s="1796"/>
      <c r="J69" s="1796"/>
      <c r="K69" s="438"/>
      <c r="L69" s="438"/>
      <c r="M69" s="1797"/>
      <c r="N69" s="2933"/>
      <c r="O69" s="2933"/>
      <c r="P69" s="1986"/>
      <c r="Q69" s="1750"/>
    </row>
    <row r="70" spans="1:17" ht="15.75"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4"/>
      <c r="O70" s="2934"/>
      <c r="P70" s="1986"/>
      <c r="Q70" s="1750"/>
    </row>
    <row r="71" spans="1:17" s="1700" customFormat="1" ht="15.75" thickTop="1">
      <c r="A71" s="1798"/>
      <c r="B71" s="1787">
        <f>B12</f>
        <v>111</v>
      </c>
      <c r="C71" s="468"/>
      <c r="D71" s="468"/>
      <c r="E71" s="468"/>
      <c r="F71" s="468"/>
      <c r="G71" s="468"/>
      <c r="H71" s="443"/>
      <c r="I71" s="443"/>
      <c r="J71" s="443"/>
      <c r="K71" s="443"/>
      <c r="L71" s="443"/>
      <c r="M71" s="1799"/>
      <c r="N71" s="2935"/>
      <c r="O71" s="2935"/>
      <c r="P71" s="1987"/>
      <c r="Q71" s="1802"/>
    </row>
    <row r="72" spans="1:17" s="1700" customFormat="1" ht="15.75" thickBot="1">
      <c r="A72" s="1798"/>
      <c r="B72" s="1790"/>
      <c r="C72" s="1803"/>
      <c r="D72" s="1784"/>
      <c r="E72" s="1784"/>
      <c r="F72" s="1784"/>
      <c r="G72" s="1784"/>
      <c r="H72" s="1784"/>
      <c r="I72" s="1784"/>
      <c r="J72" s="1784"/>
      <c r="K72" s="1784"/>
      <c r="L72" s="1784"/>
      <c r="M72" s="1785"/>
      <c r="N72" s="2934"/>
      <c r="O72" s="2934"/>
      <c r="P72" s="1987"/>
      <c r="Q72" s="1802"/>
    </row>
    <row r="73" spans="1:17" s="1700" customFormat="1" ht="15.75" thickTop="1">
      <c r="A73" s="1798"/>
      <c r="B73" s="1787">
        <f>B13</f>
        <v>111</v>
      </c>
      <c r="C73" s="468"/>
      <c r="D73" s="468"/>
      <c r="E73" s="468"/>
      <c r="F73" s="468"/>
      <c r="G73" s="468"/>
      <c r="H73" s="443"/>
      <c r="I73" s="443"/>
      <c r="J73" s="443"/>
      <c r="K73" s="443"/>
      <c r="L73" s="443"/>
      <c r="M73" s="1799"/>
      <c r="N73" s="2935"/>
      <c r="O73" s="2935"/>
      <c r="P73" s="1988"/>
      <c r="Q73" s="1805"/>
    </row>
    <row r="74" spans="1:17" s="1700" customFormat="1" ht="15.75" thickBot="1">
      <c r="A74" s="1798"/>
      <c r="B74" s="1790"/>
      <c r="C74" s="1803"/>
      <c r="D74" s="1803"/>
      <c r="E74" s="1803"/>
      <c r="F74" s="1803"/>
      <c r="G74" s="1803"/>
      <c r="H74" s="1806"/>
      <c r="I74" s="1806"/>
      <c r="J74" s="1806"/>
      <c r="K74" s="1806"/>
      <c r="L74" s="1806"/>
      <c r="M74" s="1807"/>
      <c r="N74" s="2935"/>
      <c r="O74" s="2935"/>
      <c r="P74" s="1987"/>
      <c r="Q74" s="1802"/>
    </row>
    <row r="75" spans="1:17" s="1700" customFormat="1" ht="15.75" thickTop="1">
      <c r="A75" s="1798"/>
      <c r="B75" s="1793">
        <f>B14</f>
        <v>111</v>
      </c>
      <c r="C75" s="409"/>
      <c r="D75" s="409"/>
      <c r="E75" s="409"/>
      <c r="F75" s="409"/>
      <c r="G75" s="409"/>
      <c r="H75" s="453"/>
      <c r="I75" s="453"/>
      <c r="J75" s="453"/>
      <c r="K75" s="453"/>
      <c r="L75" s="453"/>
      <c r="M75" s="1808"/>
      <c r="N75" s="2935"/>
      <c r="O75" s="2935"/>
      <c r="P75" s="1987"/>
      <c r="Q75" s="1802"/>
    </row>
    <row r="76" spans="1:17" s="1700" customFormat="1" ht="15.75" thickBot="1">
      <c r="A76" s="1809"/>
      <c r="B76" s="1810"/>
      <c r="C76" s="1811"/>
      <c r="D76" s="1811"/>
      <c r="E76" s="1811"/>
      <c r="F76" s="1811"/>
      <c r="G76" s="1811"/>
      <c r="H76" s="1812"/>
      <c r="I76" s="1812"/>
      <c r="J76" s="1812"/>
      <c r="K76" s="1812"/>
      <c r="L76" s="1812"/>
      <c r="M76" s="1813"/>
      <c r="N76" s="2935"/>
      <c r="O76" s="2935"/>
      <c r="P76" s="1987"/>
      <c r="Q76" s="1802"/>
    </row>
    <row r="77" spans="1:17">
      <c r="A77" s="1775" t="s">
        <v>2030</v>
      </c>
      <c r="B77" s="1776" t="s">
        <v>2156</v>
      </c>
      <c r="C77" s="1814" t="s">
        <v>2069</v>
      </c>
      <c r="D77" s="1814" t="s">
        <v>2070</v>
      </c>
      <c r="E77" s="1814" t="s">
        <v>2071</v>
      </c>
      <c r="F77" s="1814" t="s">
        <v>2072</v>
      </c>
      <c r="G77" s="1814" t="s">
        <v>2073</v>
      </c>
      <c r="H77" s="1777"/>
      <c r="I77" s="1777"/>
      <c r="J77" s="1777"/>
      <c r="K77" s="463"/>
      <c r="L77" s="463"/>
      <c r="M77" s="1815"/>
      <c r="N77" s="2933"/>
      <c r="O77" s="2933"/>
      <c r="P77" s="1986"/>
      <c r="Q77" s="1750"/>
    </row>
    <row r="78" spans="1:17" ht="15.75" thickBot="1">
      <c r="A78" s="1782"/>
      <c r="B78" s="1790"/>
      <c r="C78" s="1791">
        <v>100</v>
      </c>
      <c r="D78" s="1791">
        <f>C78-$K15</f>
        <v>98</v>
      </c>
      <c r="E78" s="1791">
        <f>D78-$K15</f>
        <v>96</v>
      </c>
      <c r="F78" s="1791">
        <f>E78-$K15</f>
        <v>94</v>
      </c>
      <c r="G78" s="1791">
        <f>F78-$K15</f>
        <v>92</v>
      </c>
      <c r="H78" s="1791"/>
      <c r="I78" s="1791"/>
      <c r="J78" s="1791"/>
      <c r="K78" s="1791"/>
      <c r="L78" s="1791"/>
      <c r="M78" s="1792"/>
      <c r="N78" s="2934"/>
      <c r="O78" s="2934"/>
      <c r="P78" s="1986"/>
      <c r="Q78" s="1750"/>
    </row>
    <row r="79" spans="1:17" ht="15.75" thickTop="1">
      <c r="A79" s="1782"/>
      <c r="B79" s="1787" t="s">
        <v>2074</v>
      </c>
      <c r="C79" s="579" t="s">
        <v>2069</v>
      </c>
      <c r="D79" s="579" t="s">
        <v>2070</v>
      </c>
      <c r="E79" s="579" t="s">
        <v>2071</v>
      </c>
      <c r="F79" s="579" t="s">
        <v>2072</v>
      </c>
      <c r="G79" s="579" t="s">
        <v>2073</v>
      </c>
      <c r="H79" s="1788"/>
      <c r="I79" s="1788"/>
      <c r="J79" s="1788"/>
      <c r="K79" s="428"/>
      <c r="L79" s="428"/>
      <c r="M79" s="1789"/>
      <c r="N79" s="2933"/>
      <c r="O79" s="2933"/>
      <c r="P79" s="1986"/>
      <c r="Q79" s="1750"/>
    </row>
    <row r="80" spans="1:17" ht="15.75" thickBot="1">
      <c r="A80" s="1782"/>
      <c r="B80" s="1790"/>
      <c r="C80" s="1791">
        <v>100</v>
      </c>
      <c r="D80" s="1791">
        <f>C80-$K17</f>
        <v>98</v>
      </c>
      <c r="E80" s="1791">
        <f>D80-$K17</f>
        <v>96</v>
      </c>
      <c r="F80" s="1791">
        <f>E80-$K17</f>
        <v>94</v>
      </c>
      <c r="G80" s="1791">
        <f>F80-$K17</f>
        <v>92</v>
      </c>
      <c r="H80" s="1791"/>
      <c r="I80" s="1791"/>
      <c r="J80" s="1791"/>
      <c r="K80" s="1791"/>
      <c r="L80" s="1791"/>
      <c r="M80" s="1792"/>
      <c r="N80" s="2934"/>
      <c r="O80" s="2934"/>
      <c r="P80" s="1986"/>
      <c r="Q80" s="1750"/>
    </row>
    <row r="81" spans="1:17" ht="15.75" thickTop="1">
      <c r="A81" s="1782"/>
      <c r="B81" s="1787" t="s">
        <v>2075</v>
      </c>
      <c r="C81" s="579" t="s">
        <v>2069</v>
      </c>
      <c r="D81" s="579" t="s">
        <v>2070</v>
      </c>
      <c r="E81" s="579" t="s">
        <v>2071</v>
      </c>
      <c r="F81" s="579" t="s">
        <v>2072</v>
      </c>
      <c r="G81" s="579" t="s">
        <v>2073</v>
      </c>
      <c r="H81" s="1788"/>
      <c r="I81" s="1788"/>
      <c r="J81" s="1788"/>
      <c r="K81" s="428"/>
      <c r="L81" s="428"/>
      <c r="M81" s="1789"/>
      <c r="N81" s="2933"/>
      <c r="O81" s="2933"/>
      <c r="P81" s="1986"/>
      <c r="Q81" s="1750"/>
    </row>
    <row r="82" spans="1:17" ht="15.75" thickBot="1">
      <c r="A82" s="1782"/>
      <c r="B82" s="1790"/>
      <c r="C82" s="1791">
        <v>100</v>
      </c>
      <c r="D82" s="1791">
        <f>C82-$K19</f>
        <v>98</v>
      </c>
      <c r="E82" s="1791">
        <f>D82-$K19</f>
        <v>96</v>
      </c>
      <c r="F82" s="1791">
        <f>E82-$K19</f>
        <v>94</v>
      </c>
      <c r="G82" s="1791">
        <f>F82-$K19</f>
        <v>92</v>
      </c>
      <c r="H82" s="1791"/>
      <c r="I82" s="1791"/>
      <c r="J82" s="1791"/>
      <c r="K82" s="1791"/>
      <c r="L82" s="1791"/>
      <c r="M82" s="1792"/>
      <c r="N82" s="2934"/>
      <c r="O82" s="2934"/>
      <c r="P82" s="1986"/>
      <c r="Q82" s="1750"/>
    </row>
    <row r="83" spans="1:17" ht="15.75" thickTop="1">
      <c r="A83" s="1782"/>
      <c r="B83" s="1793" t="s">
        <v>2118</v>
      </c>
      <c r="C83" s="1788" t="s">
        <v>2076</v>
      </c>
      <c r="D83" s="1788" t="s">
        <v>2077</v>
      </c>
      <c r="E83" s="1788" t="s">
        <v>2078</v>
      </c>
      <c r="F83" s="1788" t="s">
        <v>2079</v>
      </c>
      <c r="G83" s="1788" t="s">
        <v>2080</v>
      </c>
      <c r="H83" s="1788"/>
      <c r="I83" s="1788"/>
      <c r="J83" s="1788"/>
      <c r="K83" s="1788"/>
      <c r="L83" s="1788"/>
      <c r="M83" s="1816"/>
      <c r="N83" s="2934"/>
      <c r="O83" s="2934"/>
      <c r="P83" s="1986"/>
      <c r="Q83" s="1750"/>
    </row>
    <row r="84" spans="1:17" ht="15.75" thickBot="1">
      <c r="A84" s="1782"/>
      <c r="B84" s="1793"/>
      <c r="C84" s="1791">
        <v>100</v>
      </c>
      <c r="D84" s="1791">
        <f>C84-$K21</f>
        <v>98</v>
      </c>
      <c r="E84" s="1791">
        <f>D84-$K21</f>
        <v>96</v>
      </c>
      <c r="F84" s="1791">
        <f>E84-$K21</f>
        <v>94</v>
      </c>
      <c r="G84" s="1791">
        <f>F84-$K21</f>
        <v>92</v>
      </c>
      <c r="H84" s="1817"/>
      <c r="I84" s="1817"/>
      <c r="J84" s="1817"/>
      <c r="K84" s="1817"/>
      <c r="L84" s="1817"/>
      <c r="M84" s="1664"/>
      <c r="N84" s="2934"/>
      <c r="O84" s="2934"/>
      <c r="P84" s="1986"/>
      <c r="Q84" s="1750"/>
    </row>
    <row r="85" spans="1:17" ht="15.75" thickTop="1">
      <c r="A85" s="1782"/>
      <c r="B85" s="1787" t="s">
        <v>2157</v>
      </c>
      <c r="C85" s="579" t="s">
        <v>2069</v>
      </c>
      <c r="D85" s="579" t="s">
        <v>2070</v>
      </c>
      <c r="E85" s="579" t="s">
        <v>2071</v>
      </c>
      <c r="F85" s="579" t="s">
        <v>2072</v>
      </c>
      <c r="G85" s="579" t="s">
        <v>2073</v>
      </c>
      <c r="H85" s="1788"/>
      <c r="I85" s="1788"/>
      <c r="J85" s="1788"/>
      <c r="K85" s="428"/>
      <c r="L85" s="428"/>
      <c r="M85" s="1789"/>
      <c r="N85" s="2933"/>
      <c r="O85" s="2933"/>
      <c r="P85" s="1986"/>
      <c r="Q85" s="1750"/>
    </row>
    <row r="86" spans="1:17" ht="15.75" thickBot="1">
      <c r="A86" s="1782"/>
      <c r="B86" s="1790"/>
      <c r="C86" s="1791">
        <v>100</v>
      </c>
      <c r="D86" s="1791">
        <f>C86-$K23</f>
        <v>98</v>
      </c>
      <c r="E86" s="1791">
        <f>D86-$K23</f>
        <v>96</v>
      </c>
      <c r="F86" s="1791">
        <f>E86-$K23</f>
        <v>94</v>
      </c>
      <c r="G86" s="1791">
        <f>F86-$K23</f>
        <v>92</v>
      </c>
      <c r="H86" s="1791"/>
      <c r="I86" s="1791"/>
      <c r="J86" s="1791"/>
      <c r="K86" s="1791"/>
      <c r="L86" s="1791"/>
      <c r="M86" s="1792"/>
      <c r="N86" s="2934"/>
      <c r="O86" s="2934"/>
      <c r="P86" s="1986"/>
      <c r="Q86" s="1750"/>
    </row>
    <row r="87" spans="1:17" s="1613" customFormat="1" ht="27.75" thickTop="1">
      <c r="A87" s="1818"/>
      <c r="B87" s="1787" t="s">
        <v>2158</v>
      </c>
      <c r="C87" s="3324" t="s">
        <v>3070</v>
      </c>
      <c r="D87" s="3324" t="s">
        <v>3071</v>
      </c>
      <c r="E87" s="3324" t="s">
        <v>3072</v>
      </c>
      <c r="F87" s="3324" t="s">
        <v>3073</v>
      </c>
      <c r="G87" s="3324" t="s">
        <v>3074</v>
      </c>
      <c r="H87" s="468"/>
      <c r="I87" s="468"/>
      <c r="J87" s="468"/>
      <c r="K87" s="468"/>
      <c r="L87" s="468"/>
      <c r="M87" s="1819"/>
      <c r="N87" s="2932"/>
      <c r="O87" s="2932"/>
      <c r="P87" s="1986"/>
      <c r="Q87" s="1750"/>
    </row>
    <row r="88" spans="1:17" s="1613" customFormat="1" ht="15.75" thickBot="1">
      <c r="A88" s="1818"/>
      <c r="B88" s="1790"/>
      <c r="C88" s="1820">
        <v>100</v>
      </c>
      <c r="D88" s="1791">
        <f t="shared" ref="D88:M88" si="19">C88-$K25</f>
        <v>98</v>
      </c>
      <c r="E88" s="1791">
        <f t="shared" si="19"/>
        <v>96</v>
      </c>
      <c r="F88" s="1791">
        <f t="shared" si="19"/>
        <v>94</v>
      </c>
      <c r="G88" s="1791">
        <f t="shared" si="19"/>
        <v>92</v>
      </c>
      <c r="H88" s="1791">
        <f t="shared" si="19"/>
        <v>90</v>
      </c>
      <c r="I88" s="1791">
        <f t="shared" si="19"/>
        <v>88</v>
      </c>
      <c r="J88" s="1791">
        <f t="shared" si="19"/>
        <v>86</v>
      </c>
      <c r="K88" s="1791">
        <f t="shared" si="19"/>
        <v>84</v>
      </c>
      <c r="L88" s="1791">
        <f t="shared" si="19"/>
        <v>82</v>
      </c>
      <c r="M88" s="1791">
        <f t="shared" si="19"/>
        <v>80</v>
      </c>
      <c r="N88" s="2934"/>
      <c r="O88" s="2934"/>
      <c r="P88" s="1986"/>
      <c r="Q88" s="1750"/>
    </row>
    <row r="89" spans="1:17" s="1613" customFormat="1" ht="15.75" thickTop="1">
      <c r="A89" s="1818"/>
      <c r="B89" s="1787" t="str">
        <f>B27</f>
        <v>楼层</v>
      </c>
      <c r="C89" s="3324" t="s">
        <v>3046</v>
      </c>
      <c r="D89" s="3324" t="s">
        <v>3048</v>
      </c>
      <c r="E89" s="3324" t="s">
        <v>3049</v>
      </c>
      <c r="F89" s="1821"/>
      <c r="G89" s="468"/>
      <c r="H89" s="468"/>
      <c r="I89" s="468"/>
      <c r="J89" s="468"/>
      <c r="K89" s="468"/>
      <c r="L89" s="468"/>
      <c r="M89" s="1819"/>
      <c r="N89" s="2932"/>
      <c r="O89" s="2932"/>
      <c r="P89" s="1986"/>
      <c r="Q89" s="1750"/>
    </row>
    <row r="90" spans="1:17" s="1613" customFormat="1" ht="15.75" thickBot="1">
      <c r="A90" s="1818"/>
      <c r="B90" s="1790"/>
      <c r="C90" s="1820">
        <v>100</v>
      </c>
      <c r="D90" s="1791">
        <f>C90-$K27</f>
        <v>98</v>
      </c>
      <c r="E90" s="1791">
        <f t="shared" ref="E90:M90" si="20">D90-$K27</f>
        <v>96</v>
      </c>
      <c r="F90" s="1791">
        <f t="shared" si="20"/>
        <v>94</v>
      </c>
      <c r="G90" s="1791">
        <f t="shared" si="20"/>
        <v>92</v>
      </c>
      <c r="H90" s="1791">
        <f t="shared" si="20"/>
        <v>90</v>
      </c>
      <c r="I90" s="1791">
        <f t="shared" si="20"/>
        <v>88</v>
      </c>
      <c r="J90" s="1791">
        <f t="shared" si="20"/>
        <v>86</v>
      </c>
      <c r="K90" s="1791">
        <f t="shared" si="20"/>
        <v>84</v>
      </c>
      <c r="L90" s="1791">
        <f t="shared" si="20"/>
        <v>82</v>
      </c>
      <c r="M90" s="1791">
        <f t="shared" si="20"/>
        <v>80</v>
      </c>
      <c r="N90" s="2934"/>
      <c r="O90" s="2934"/>
      <c r="P90" s="1986"/>
      <c r="Q90" s="1750"/>
    </row>
    <row r="91" spans="1:17" s="1700" customFormat="1" ht="15.75" thickTop="1">
      <c r="A91" s="1798"/>
      <c r="B91" s="1787" t="str">
        <f>B28</f>
        <v>朝向</v>
      </c>
      <c r="C91" s="468"/>
      <c r="D91" s="468"/>
      <c r="E91" s="468"/>
      <c r="F91" s="468"/>
      <c r="G91" s="468"/>
      <c r="H91" s="443"/>
      <c r="I91" s="443"/>
      <c r="J91" s="443"/>
      <c r="K91" s="443"/>
      <c r="L91" s="443"/>
      <c r="M91" s="1799"/>
      <c r="N91" s="2935"/>
      <c r="O91" s="2935"/>
      <c r="P91" s="1987"/>
      <c r="Q91" s="1802"/>
    </row>
    <row r="92" spans="1:17" s="1700" customFormat="1" ht="15.75"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5"/>
      <c r="O92" s="2935"/>
      <c r="P92" s="1987"/>
      <c r="Q92" s="1802"/>
    </row>
    <row r="93" spans="1:17" ht="15.75" thickTop="1">
      <c r="A93" s="1782"/>
      <c r="B93" s="1787">
        <f>B29</f>
        <v>111</v>
      </c>
      <c r="C93" s="468"/>
      <c r="D93" s="468"/>
      <c r="E93" s="468"/>
      <c r="F93" s="468"/>
      <c r="G93" s="468"/>
      <c r="H93" s="468"/>
      <c r="I93" s="468"/>
      <c r="J93" s="468"/>
      <c r="K93" s="468"/>
      <c r="L93" s="468"/>
      <c r="M93" s="1819"/>
      <c r="N93" s="2933"/>
      <c r="O93" s="2933"/>
      <c r="P93" s="1986"/>
      <c r="Q93" s="1750"/>
    </row>
    <row r="94" spans="1:17" ht="15.75" thickBot="1">
      <c r="A94" s="1782"/>
      <c r="B94" s="1790"/>
      <c r="C94" s="1803"/>
      <c r="D94" s="1784"/>
      <c r="E94" s="1784"/>
      <c r="F94" s="1784"/>
      <c r="G94" s="1784"/>
      <c r="H94" s="1784"/>
      <c r="I94" s="1784"/>
      <c r="J94" s="1784"/>
      <c r="K94" s="1784"/>
      <c r="L94" s="1784"/>
      <c r="M94" s="1785"/>
      <c r="N94" s="2934"/>
      <c r="O94" s="2934"/>
      <c r="P94" s="1986"/>
      <c r="Q94" s="1750"/>
    </row>
    <row r="95" spans="1:17" ht="15.75" thickTop="1">
      <c r="A95" s="1782"/>
      <c r="B95" s="1787">
        <f>B30</f>
        <v>111</v>
      </c>
      <c r="C95" s="468"/>
      <c r="D95" s="468"/>
      <c r="E95" s="468"/>
      <c r="F95" s="468"/>
      <c r="G95" s="1506"/>
      <c r="H95" s="1506"/>
      <c r="I95" s="1506"/>
      <c r="J95" s="1506"/>
      <c r="K95" s="473"/>
      <c r="L95" s="473"/>
      <c r="M95" s="1822"/>
      <c r="N95" s="2933"/>
      <c r="O95" s="2933"/>
      <c r="P95" s="1986"/>
      <c r="Q95" s="1750"/>
    </row>
    <row r="96" spans="1:17" ht="15.75" thickBot="1">
      <c r="A96" s="1782"/>
      <c r="B96" s="1790"/>
      <c r="C96" s="1803"/>
      <c r="D96" s="1803"/>
      <c r="E96" s="1803"/>
      <c r="F96" s="1803"/>
      <c r="G96" s="1784"/>
      <c r="H96" s="1784"/>
      <c r="I96" s="1784"/>
      <c r="J96" s="1784"/>
      <c r="K96" s="1784"/>
      <c r="L96" s="1784"/>
      <c r="M96" s="1785"/>
      <c r="N96" s="2934"/>
      <c r="O96" s="2934"/>
      <c r="P96" s="1986"/>
      <c r="Q96" s="1750"/>
    </row>
    <row r="97" spans="1:17" ht="15.75" thickTop="1">
      <c r="A97" s="1782"/>
      <c r="B97" s="1787">
        <f>B31</f>
        <v>111</v>
      </c>
      <c r="C97" s="468"/>
      <c r="D97" s="468"/>
      <c r="E97" s="468"/>
      <c r="F97" s="468"/>
      <c r="G97" s="1506"/>
      <c r="H97" s="1506"/>
      <c r="I97" s="1506"/>
      <c r="J97" s="1506"/>
      <c r="K97" s="473"/>
      <c r="L97" s="473"/>
      <c r="M97" s="1822"/>
      <c r="N97" s="2933"/>
      <c r="O97" s="2933"/>
      <c r="P97" s="1986"/>
      <c r="Q97" s="1750"/>
    </row>
    <row r="98" spans="1:17" ht="15.75" thickBot="1">
      <c r="A98" s="1782"/>
      <c r="B98" s="1790"/>
      <c r="C98" s="1803"/>
      <c r="D98" s="1784"/>
      <c r="E98" s="1784"/>
      <c r="F98" s="1784"/>
      <c r="G98" s="1784"/>
      <c r="H98" s="1784"/>
      <c r="I98" s="1784"/>
      <c r="J98" s="1784"/>
      <c r="K98" s="1784"/>
      <c r="L98" s="1784"/>
      <c r="M98" s="1785"/>
      <c r="N98" s="2934"/>
      <c r="O98" s="2934"/>
      <c r="P98" s="1986"/>
      <c r="Q98" s="1750"/>
    </row>
    <row r="99" spans="1:17" ht="15.75" thickTop="1">
      <c r="A99" s="1782"/>
      <c r="B99" s="1793">
        <f>B32</f>
        <v>111</v>
      </c>
      <c r="C99" s="409"/>
      <c r="D99" s="409"/>
      <c r="E99" s="409"/>
      <c r="F99" s="409"/>
      <c r="G99" s="1823"/>
      <c r="H99" s="1823"/>
      <c r="I99" s="1823"/>
      <c r="J99" s="1823"/>
      <c r="K99" s="477"/>
      <c r="L99" s="477"/>
      <c r="M99" s="1824"/>
      <c r="N99" s="2933"/>
      <c r="O99" s="2933"/>
      <c r="P99" s="1986"/>
      <c r="Q99" s="1750"/>
    </row>
    <row r="100" spans="1:17" ht="15.75" thickBot="1">
      <c r="A100" s="1825"/>
      <c r="B100" s="1810"/>
      <c r="C100" s="1811"/>
      <c r="D100" s="1811"/>
      <c r="E100" s="1811"/>
      <c r="F100" s="1811"/>
      <c r="G100" s="1826"/>
      <c r="H100" s="1826"/>
      <c r="I100" s="1826"/>
      <c r="J100" s="1826"/>
      <c r="K100" s="1826"/>
      <c r="L100" s="1826"/>
      <c r="M100" s="1827"/>
      <c r="N100" s="2934"/>
      <c r="O100" s="2934"/>
      <c r="P100" s="1986"/>
      <c r="Q100" s="1750"/>
    </row>
    <row r="101" spans="1:17">
      <c r="A101" s="1775" t="s">
        <v>2035</v>
      </c>
      <c r="B101" s="1776" t="s">
        <v>2084</v>
      </c>
      <c r="C101" s="3325" t="s">
        <v>3084</v>
      </c>
      <c r="D101" s="3325" t="s">
        <v>3085</v>
      </c>
      <c r="E101" s="1778"/>
      <c r="F101" s="1778"/>
      <c r="G101" s="1778"/>
      <c r="H101" s="1778"/>
      <c r="I101" s="1778"/>
      <c r="J101" s="1778"/>
      <c r="K101" s="417"/>
      <c r="L101" s="417"/>
      <c r="M101" s="1779"/>
      <c r="N101" s="2933"/>
      <c r="O101" s="2933"/>
      <c r="P101" s="1986"/>
      <c r="Q101" s="1750"/>
    </row>
    <row r="102" spans="1:17" ht="15.75" thickBot="1">
      <c r="A102" s="1782"/>
      <c r="B102" s="1790"/>
      <c r="C102" s="1791">
        <v>100</v>
      </c>
      <c r="D102" s="1791">
        <f t="shared" ref="D102:M102" si="22">C102-$K33</f>
        <v>98</v>
      </c>
      <c r="E102" s="1791">
        <f t="shared" si="22"/>
        <v>96</v>
      </c>
      <c r="F102" s="1791">
        <f t="shared" si="22"/>
        <v>94</v>
      </c>
      <c r="G102" s="1791">
        <f t="shared" si="22"/>
        <v>92</v>
      </c>
      <c r="H102" s="1791">
        <f t="shared" si="22"/>
        <v>90</v>
      </c>
      <c r="I102" s="1791">
        <f t="shared" si="22"/>
        <v>88</v>
      </c>
      <c r="J102" s="1791">
        <f t="shared" si="22"/>
        <v>86</v>
      </c>
      <c r="K102" s="1791">
        <f t="shared" si="22"/>
        <v>84</v>
      </c>
      <c r="L102" s="1791">
        <f t="shared" si="22"/>
        <v>82</v>
      </c>
      <c r="M102" s="1792">
        <f t="shared" si="22"/>
        <v>80</v>
      </c>
      <c r="N102" s="2934"/>
      <c r="O102" s="2934"/>
      <c r="P102" s="1986"/>
      <c r="Q102" s="1750"/>
    </row>
    <row r="103" spans="1:17" ht="15.75" thickTop="1">
      <c r="A103" s="1782"/>
      <c r="B103" s="1787" t="s">
        <v>2085</v>
      </c>
      <c r="C103" s="579" t="str">
        <f>C104&amp;"(含)"&amp;"-"&amp;D104</f>
        <v>0(含)-100</v>
      </c>
      <c r="D103" s="579" t="str">
        <f t="shared" ref="D103:L103" si="23">D104&amp;"(含)"&amp;"-"&amp;E104</f>
        <v>100(含)-150</v>
      </c>
      <c r="E103" s="579" t="str">
        <f t="shared" si="23"/>
        <v>150(含)-200</v>
      </c>
      <c r="F103" s="579" t="str">
        <f t="shared" si="23"/>
        <v>200(含)-1200</v>
      </c>
      <c r="G103" s="579" t="str">
        <f t="shared" si="23"/>
        <v>1200(含)-</v>
      </c>
      <c r="H103" s="579" t="str">
        <f t="shared" si="23"/>
        <v>(含)-</v>
      </c>
      <c r="I103" s="579" t="str">
        <f t="shared" si="23"/>
        <v>(含)-</v>
      </c>
      <c r="J103" s="579" t="str">
        <f t="shared" si="23"/>
        <v>(含)-</v>
      </c>
      <c r="K103" s="579" t="str">
        <f t="shared" si="23"/>
        <v>(含)-</v>
      </c>
      <c r="L103" s="579" t="str">
        <f t="shared" si="23"/>
        <v>(含)-</v>
      </c>
      <c r="M103" s="1989" t="str">
        <f>M104&amp;"(含)"&amp;"-"&amp;P104</f>
        <v>(含)-</v>
      </c>
      <c r="N103" s="2932"/>
      <c r="O103" s="2932"/>
      <c r="P103" s="1986"/>
      <c r="Q103" s="1750"/>
    </row>
    <row r="104" spans="1:17" s="1700" customFormat="1">
      <c r="A104" s="1828"/>
      <c r="B104" s="1829"/>
      <c r="C104" s="483">
        <v>0</v>
      </c>
      <c r="D104" s="483">
        <v>100</v>
      </c>
      <c r="E104" s="483">
        <v>150</v>
      </c>
      <c r="F104" s="483">
        <v>200</v>
      </c>
      <c r="G104" s="483">
        <v>1200</v>
      </c>
      <c r="H104" s="1830"/>
      <c r="I104" s="1830"/>
      <c r="J104" s="485"/>
      <c r="K104" s="485"/>
      <c r="L104" s="485"/>
      <c r="M104" s="1831"/>
      <c r="N104" s="2935"/>
      <c r="O104" s="2935"/>
      <c r="P104" s="1987"/>
      <c r="Q104" s="1802"/>
    </row>
    <row r="105" spans="1:17" s="1700" customFormat="1" ht="15.75" thickBot="1">
      <c r="A105" s="1798"/>
      <c r="B105" s="1790"/>
      <c r="C105" s="448">
        <v>100</v>
      </c>
      <c r="D105" s="422">
        <f>C105-1</f>
        <v>99</v>
      </c>
      <c r="E105" s="422">
        <f t="shared" ref="E105:G105" si="24">D105-1</f>
        <v>98</v>
      </c>
      <c r="F105" s="422">
        <f t="shared" si="24"/>
        <v>97</v>
      </c>
      <c r="G105" s="422">
        <f t="shared" si="24"/>
        <v>96</v>
      </c>
      <c r="H105" s="1784"/>
      <c r="I105" s="1784"/>
      <c r="J105" s="1784"/>
      <c r="K105" s="1784"/>
      <c r="L105" s="1784"/>
      <c r="M105" s="1785"/>
      <c r="N105" s="2934"/>
      <c r="O105" s="2934"/>
      <c r="P105" s="1987"/>
      <c r="Q105" s="1802"/>
    </row>
    <row r="106" spans="1:17" ht="15" thickTop="1">
      <c r="A106" s="1832"/>
      <c r="B106" s="1787" t="s">
        <v>2086</v>
      </c>
      <c r="C106" s="3324" t="s">
        <v>3051</v>
      </c>
      <c r="D106" s="468"/>
      <c r="E106" s="1506"/>
      <c r="F106" s="1506"/>
      <c r="G106" s="1506"/>
      <c r="H106" s="1506"/>
      <c r="I106" s="1506"/>
      <c r="J106" s="1506"/>
      <c r="K106" s="473"/>
      <c r="L106" s="473"/>
      <c r="M106" s="1822"/>
      <c r="N106" s="2933"/>
      <c r="O106" s="2933"/>
      <c r="P106" s="1986"/>
      <c r="Q106" s="1750"/>
    </row>
    <row r="107" spans="1:17" ht="15.75" thickBot="1">
      <c r="A107" s="1782"/>
      <c r="B107" s="1790"/>
      <c r="C107" s="1791">
        <v>100</v>
      </c>
      <c r="D107" s="1791">
        <f t="shared" ref="D107:M107" si="25">C107-$K35</f>
        <v>99</v>
      </c>
      <c r="E107" s="1791">
        <f t="shared" si="25"/>
        <v>98</v>
      </c>
      <c r="F107" s="1791">
        <f t="shared" si="25"/>
        <v>97</v>
      </c>
      <c r="G107" s="1791">
        <f t="shared" si="25"/>
        <v>96</v>
      </c>
      <c r="H107" s="1791">
        <f t="shared" si="25"/>
        <v>95</v>
      </c>
      <c r="I107" s="1791">
        <f t="shared" si="25"/>
        <v>94</v>
      </c>
      <c r="J107" s="1791">
        <f t="shared" si="25"/>
        <v>93</v>
      </c>
      <c r="K107" s="1791">
        <f t="shared" si="25"/>
        <v>92</v>
      </c>
      <c r="L107" s="1791">
        <f t="shared" si="25"/>
        <v>91</v>
      </c>
      <c r="M107" s="1792">
        <f t="shared" si="25"/>
        <v>90</v>
      </c>
      <c r="N107" s="2934"/>
      <c r="O107" s="2934"/>
      <c r="P107" s="1986"/>
      <c r="Q107" s="1750"/>
    </row>
    <row r="108" spans="1:17" ht="15" thickTop="1">
      <c r="A108" s="1832"/>
      <c r="B108" s="1787" t="s">
        <v>2088</v>
      </c>
      <c r="C108" s="3324" t="s">
        <v>3053</v>
      </c>
      <c r="D108" s="3324" t="s">
        <v>3054</v>
      </c>
      <c r="E108" s="3324" t="s">
        <v>3055</v>
      </c>
      <c r="F108" s="1506"/>
      <c r="G108" s="1506"/>
      <c r="H108" s="1506"/>
      <c r="I108" s="1506"/>
      <c r="J108" s="1506"/>
      <c r="K108" s="473"/>
      <c r="L108" s="473"/>
      <c r="M108" s="1822"/>
      <c r="N108" s="2933"/>
      <c r="O108" s="2933"/>
      <c r="P108" s="1986"/>
      <c r="Q108" s="1750"/>
    </row>
    <row r="109" spans="1:17" ht="15.75" thickBot="1">
      <c r="A109" s="1782"/>
      <c r="B109" s="1790"/>
      <c r="C109" s="1791">
        <v>100</v>
      </c>
      <c r="D109" s="1791">
        <f t="shared" ref="D109:M109" si="26">C109-$K36</f>
        <v>98</v>
      </c>
      <c r="E109" s="1791">
        <f t="shared" si="26"/>
        <v>96</v>
      </c>
      <c r="F109" s="1791">
        <f t="shared" si="26"/>
        <v>94</v>
      </c>
      <c r="G109" s="1791">
        <f t="shared" si="26"/>
        <v>92</v>
      </c>
      <c r="H109" s="1791">
        <f t="shared" si="26"/>
        <v>90</v>
      </c>
      <c r="I109" s="1791">
        <f t="shared" si="26"/>
        <v>88</v>
      </c>
      <c r="J109" s="1791">
        <f t="shared" si="26"/>
        <v>86</v>
      </c>
      <c r="K109" s="1791">
        <f t="shared" si="26"/>
        <v>84</v>
      </c>
      <c r="L109" s="1791">
        <f t="shared" si="26"/>
        <v>82</v>
      </c>
      <c r="M109" s="1792">
        <f t="shared" si="26"/>
        <v>80</v>
      </c>
      <c r="N109" s="2934"/>
      <c r="O109" s="2934"/>
      <c r="P109" s="1986"/>
      <c r="Q109" s="1750"/>
    </row>
    <row r="110" spans="1:17" ht="15" thickTop="1">
      <c r="A110" s="1832"/>
      <c r="B110" s="1787" t="s">
        <v>2089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3"/>
      <c r="O110" s="2933"/>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3"/>
      <c r="O111" s="2933"/>
      <c r="P111" s="1986"/>
      <c r="Q111" s="1750"/>
    </row>
    <row r="112" spans="1:17" ht="15.75" thickBot="1">
      <c r="A112" s="1782"/>
      <c r="B112" s="1790"/>
      <c r="C112" s="1820">
        <v>100</v>
      </c>
      <c r="D112" s="1791">
        <f>C112+$K37</f>
        <v>102</v>
      </c>
      <c r="E112" s="1791">
        <f t="shared" ref="E112:M112" si="27">D112+$K37</f>
        <v>104</v>
      </c>
      <c r="F112" s="1791">
        <f t="shared" si="27"/>
        <v>106</v>
      </c>
      <c r="G112" s="1791">
        <f t="shared" si="27"/>
        <v>108</v>
      </c>
      <c r="H112" s="1791">
        <f t="shared" si="27"/>
        <v>110</v>
      </c>
      <c r="I112" s="1791">
        <f t="shared" si="27"/>
        <v>112</v>
      </c>
      <c r="J112" s="1791">
        <f t="shared" si="27"/>
        <v>114</v>
      </c>
      <c r="K112" s="1791">
        <f t="shared" si="27"/>
        <v>116</v>
      </c>
      <c r="L112" s="1791">
        <f t="shared" si="27"/>
        <v>118</v>
      </c>
      <c r="M112" s="1791">
        <f t="shared" si="27"/>
        <v>120</v>
      </c>
      <c r="N112" s="2934"/>
      <c r="O112" s="2934"/>
      <c r="P112" s="1986"/>
      <c r="Q112" s="1750"/>
    </row>
    <row r="113" spans="1:17" s="1700" customFormat="1" ht="15" thickTop="1">
      <c r="A113" s="1828"/>
      <c r="B113" s="1787" t="s">
        <v>2159</v>
      </c>
      <c r="C113" s="3324" t="s">
        <v>3057</v>
      </c>
      <c r="D113" s="3324" t="s">
        <v>3058</v>
      </c>
      <c r="E113" s="3324" t="s">
        <v>3059</v>
      </c>
      <c r="F113" s="468"/>
      <c r="G113" s="468"/>
      <c r="H113" s="1506"/>
      <c r="I113" s="1506"/>
      <c r="J113" s="1506"/>
      <c r="K113" s="473"/>
      <c r="L113" s="473"/>
      <c r="M113" s="1822"/>
      <c r="N113" s="2935"/>
      <c r="O113" s="2935"/>
      <c r="P113" s="1987"/>
      <c r="Q113" s="1802"/>
    </row>
    <row r="114" spans="1:17" s="1700" customFormat="1" ht="15.75" thickBot="1">
      <c r="A114" s="1798"/>
      <c r="B114" s="1790"/>
      <c r="C114" s="1791">
        <v>100</v>
      </c>
      <c r="D114" s="1791">
        <f>C114-$K38</f>
        <v>98</v>
      </c>
      <c r="E114" s="1791">
        <f t="shared" ref="E114:M114" si="28">D114-$K38</f>
        <v>96</v>
      </c>
      <c r="F114" s="1791">
        <f t="shared" si="28"/>
        <v>94</v>
      </c>
      <c r="G114" s="1791">
        <f t="shared" si="28"/>
        <v>92</v>
      </c>
      <c r="H114" s="1791">
        <f t="shared" si="28"/>
        <v>90</v>
      </c>
      <c r="I114" s="1791">
        <f t="shared" si="28"/>
        <v>88</v>
      </c>
      <c r="J114" s="1791">
        <f t="shared" si="28"/>
        <v>86</v>
      </c>
      <c r="K114" s="1791">
        <f t="shared" si="28"/>
        <v>84</v>
      </c>
      <c r="L114" s="1791">
        <f t="shared" si="28"/>
        <v>82</v>
      </c>
      <c r="M114" s="1791">
        <f t="shared" si="28"/>
        <v>80</v>
      </c>
      <c r="N114" s="2935"/>
      <c r="O114" s="2935"/>
      <c r="P114" s="1987"/>
      <c r="Q114" s="1802"/>
    </row>
    <row r="115" spans="1:17" ht="15" thickTop="1">
      <c r="A115" s="1832"/>
      <c r="B115" s="1787" t="s">
        <v>2090</v>
      </c>
      <c r="C115" s="3324" t="s">
        <v>3061</v>
      </c>
      <c r="D115" s="3324" t="s">
        <v>3062</v>
      </c>
      <c r="E115" s="1506"/>
      <c r="F115" s="1506"/>
      <c r="G115" s="1506"/>
      <c r="H115" s="1506"/>
      <c r="I115" s="1506"/>
      <c r="J115" s="1506"/>
      <c r="K115" s="473"/>
      <c r="L115" s="473"/>
      <c r="M115" s="1822"/>
      <c r="N115" s="2933"/>
      <c r="O115" s="2933"/>
      <c r="P115" s="1986"/>
      <c r="Q115" s="1750"/>
    </row>
    <row r="116" spans="1:17" ht="15.75" thickBot="1">
      <c r="A116" s="1782"/>
      <c r="B116" s="1790"/>
      <c r="C116" s="1791">
        <v>100</v>
      </c>
      <c r="D116" s="1791">
        <f t="shared" ref="D116:M116" si="29">C116-$K39</f>
        <v>98</v>
      </c>
      <c r="E116" s="1791">
        <f t="shared" si="29"/>
        <v>96</v>
      </c>
      <c r="F116" s="1791">
        <f t="shared" si="29"/>
        <v>94</v>
      </c>
      <c r="G116" s="1791">
        <f t="shared" si="29"/>
        <v>92</v>
      </c>
      <c r="H116" s="1791">
        <f t="shared" si="29"/>
        <v>90</v>
      </c>
      <c r="I116" s="1791">
        <f t="shared" si="29"/>
        <v>88</v>
      </c>
      <c r="J116" s="1791">
        <f t="shared" si="29"/>
        <v>86</v>
      </c>
      <c r="K116" s="1791">
        <f t="shared" si="29"/>
        <v>84</v>
      </c>
      <c r="L116" s="1791">
        <f t="shared" si="29"/>
        <v>82</v>
      </c>
      <c r="M116" s="1792">
        <f t="shared" si="29"/>
        <v>80</v>
      </c>
      <c r="N116" s="2934"/>
      <c r="O116" s="2934"/>
      <c r="P116" s="1986"/>
      <c r="Q116" s="1750"/>
    </row>
    <row r="117" spans="1:17" ht="15" thickTop="1">
      <c r="A117" s="1832"/>
      <c r="B117" s="1787" t="s">
        <v>2091</v>
      </c>
      <c r="C117" s="468" t="s">
        <v>3063</v>
      </c>
      <c r="D117" s="468" t="s">
        <v>3064</v>
      </c>
      <c r="E117" s="468" t="s">
        <v>3065</v>
      </c>
      <c r="F117" s="468" t="s">
        <v>3066</v>
      </c>
      <c r="G117" s="468" t="s">
        <v>3067</v>
      </c>
      <c r="H117" s="1506"/>
      <c r="I117" s="1506"/>
      <c r="J117" s="1506"/>
      <c r="K117" s="473"/>
      <c r="L117" s="473"/>
      <c r="M117" s="1822"/>
      <c r="N117" s="2933"/>
      <c r="O117" s="2933"/>
      <c r="P117" s="1986"/>
      <c r="Q117" s="1750"/>
    </row>
    <row r="118" spans="1:17" ht="15.75" thickBot="1">
      <c r="A118" s="1782"/>
      <c r="B118" s="1790"/>
      <c r="C118" s="1791">
        <v>100</v>
      </c>
      <c r="D118" s="1791">
        <f>C118-$K40</f>
        <v>98</v>
      </c>
      <c r="E118" s="1791">
        <f>D118-$K40</f>
        <v>96</v>
      </c>
      <c r="F118" s="1791">
        <f>E118-$K40</f>
        <v>94</v>
      </c>
      <c r="G118" s="1791">
        <f>F118-$K40</f>
        <v>92</v>
      </c>
      <c r="H118" s="1791"/>
      <c r="I118" s="1791"/>
      <c r="J118" s="1791"/>
      <c r="K118" s="1791"/>
      <c r="L118" s="1791"/>
      <c r="M118" s="1792"/>
      <c r="N118" s="2934"/>
      <c r="O118" s="2934"/>
      <c r="P118" s="1986"/>
      <c r="Q118" s="1750"/>
    </row>
    <row r="119" spans="1:17" ht="15" thickTop="1">
      <c r="A119" s="1832"/>
      <c r="B119" s="2424" t="s">
        <v>2160</v>
      </c>
      <c r="C119" s="1506"/>
      <c r="D119" s="1506"/>
      <c r="E119" s="1506"/>
      <c r="F119" s="1506"/>
      <c r="G119" s="1506"/>
      <c r="H119" s="1506"/>
      <c r="I119" s="1506"/>
      <c r="J119" s="1506"/>
      <c r="K119" s="1506"/>
      <c r="L119" s="1506"/>
      <c r="M119" s="2425"/>
      <c r="N119" s="2934"/>
      <c r="O119" s="2934"/>
      <c r="P119" s="2426"/>
      <c r="Q119" s="2427"/>
    </row>
    <row r="120" spans="1:17" ht="15.75" thickBot="1">
      <c r="A120" s="1782"/>
      <c r="B120" s="1790"/>
      <c r="C120" s="1820">
        <v>100</v>
      </c>
      <c r="D120" s="1791">
        <f>C120-$K41</f>
        <v>100</v>
      </c>
      <c r="E120" s="1791">
        <f t="shared" ref="E120:M120" si="30">D120-$K41</f>
        <v>100</v>
      </c>
      <c r="F120" s="1791">
        <f t="shared" si="30"/>
        <v>100</v>
      </c>
      <c r="G120" s="1791">
        <f t="shared" si="30"/>
        <v>100</v>
      </c>
      <c r="H120" s="1791">
        <f t="shared" si="30"/>
        <v>100</v>
      </c>
      <c r="I120" s="1791">
        <f t="shared" si="30"/>
        <v>100</v>
      </c>
      <c r="J120" s="1791">
        <f t="shared" si="30"/>
        <v>100</v>
      </c>
      <c r="K120" s="1791">
        <f t="shared" si="30"/>
        <v>100</v>
      </c>
      <c r="L120" s="1791">
        <f t="shared" si="30"/>
        <v>100</v>
      </c>
      <c r="M120" s="1791">
        <f t="shared" si="30"/>
        <v>100</v>
      </c>
      <c r="N120" s="2934"/>
      <c r="O120" s="2934"/>
      <c r="P120" s="1986"/>
      <c r="Q120" s="1750"/>
    </row>
    <row r="121" spans="1:17" s="1700" customFormat="1" ht="15" thickTop="1">
      <c r="A121" s="1828"/>
      <c r="B121" s="1787" t="s">
        <v>2142</v>
      </c>
      <c r="C121" s="468"/>
      <c r="D121" s="468"/>
      <c r="E121" s="468"/>
      <c r="F121" s="1506"/>
      <c r="G121" s="443"/>
      <c r="H121" s="443"/>
      <c r="I121" s="443"/>
      <c r="J121" s="443"/>
      <c r="K121" s="443"/>
      <c r="L121" s="443"/>
      <c r="M121" s="1799"/>
      <c r="N121" s="2935"/>
      <c r="O121" s="2935"/>
      <c r="P121" s="1987"/>
      <c r="Q121" s="1802"/>
    </row>
    <row r="122" spans="1:17" s="1700" customFormat="1" ht="15.75" thickBot="1">
      <c r="A122" s="1798"/>
      <c r="B122" s="1783"/>
      <c r="C122" s="1803"/>
      <c r="D122" s="1803"/>
      <c r="E122" s="1803"/>
      <c r="F122" s="1803"/>
      <c r="G122" s="1803"/>
      <c r="H122" s="1803"/>
      <c r="I122" s="1803"/>
      <c r="J122" s="1803"/>
      <c r="K122" s="1803"/>
      <c r="L122" s="1803"/>
      <c r="M122" s="1803"/>
      <c r="N122" s="2935"/>
      <c r="O122" s="2935"/>
      <c r="P122" s="1987"/>
      <c r="Q122" s="1802"/>
    </row>
    <row r="123" spans="1:17" ht="15" thickTop="1">
      <c r="A123" s="1832"/>
      <c r="B123" s="1787" t="s">
        <v>2093</v>
      </c>
      <c r="C123" s="3324" t="s">
        <v>3053</v>
      </c>
      <c r="D123" s="3324" t="s">
        <v>3054</v>
      </c>
      <c r="E123" s="3324" t="s">
        <v>3055</v>
      </c>
      <c r="F123" s="1506"/>
      <c r="G123" s="1506"/>
      <c r="H123" s="1506"/>
      <c r="I123" s="1506"/>
      <c r="J123" s="1506"/>
      <c r="K123" s="473"/>
      <c r="L123" s="473"/>
      <c r="M123" s="1822"/>
      <c r="N123" s="2933"/>
      <c r="O123" s="2933"/>
      <c r="P123" s="1986"/>
      <c r="Q123" s="1750"/>
    </row>
    <row r="124" spans="1:17" ht="15.75" thickBot="1">
      <c r="A124" s="1782"/>
      <c r="B124" s="1790"/>
      <c r="C124" s="1791">
        <v>100</v>
      </c>
      <c r="D124" s="1791">
        <f t="shared" ref="D124:M124" si="31">C124-$K43</f>
        <v>98</v>
      </c>
      <c r="E124" s="1791">
        <f t="shared" si="31"/>
        <v>96</v>
      </c>
      <c r="F124" s="1791">
        <f t="shared" si="31"/>
        <v>94</v>
      </c>
      <c r="G124" s="1791">
        <f t="shared" si="31"/>
        <v>92</v>
      </c>
      <c r="H124" s="1791">
        <f t="shared" si="31"/>
        <v>90</v>
      </c>
      <c r="I124" s="1791">
        <f t="shared" si="31"/>
        <v>88</v>
      </c>
      <c r="J124" s="1791">
        <f t="shared" si="31"/>
        <v>86</v>
      </c>
      <c r="K124" s="1791">
        <f t="shared" si="31"/>
        <v>84</v>
      </c>
      <c r="L124" s="1791">
        <f t="shared" si="31"/>
        <v>82</v>
      </c>
      <c r="M124" s="1792">
        <f t="shared" si="31"/>
        <v>80</v>
      </c>
      <c r="N124" s="2934"/>
      <c r="O124" s="2934"/>
      <c r="P124" s="1986"/>
      <c r="Q124" s="1750"/>
    </row>
    <row r="125" spans="1:17" ht="15" thickTop="1">
      <c r="A125" s="1832"/>
      <c r="B125" s="1787" t="s">
        <v>2094</v>
      </c>
      <c r="C125" s="579" t="s">
        <v>2069</v>
      </c>
      <c r="D125" s="579" t="s">
        <v>2070</v>
      </c>
      <c r="E125" s="579" t="s">
        <v>2071</v>
      </c>
      <c r="F125" s="579" t="s">
        <v>2072</v>
      </c>
      <c r="G125" s="579" t="s">
        <v>2073</v>
      </c>
      <c r="H125" s="1788"/>
      <c r="I125" s="1788"/>
      <c r="J125" s="1788"/>
      <c r="K125" s="428"/>
      <c r="L125" s="428"/>
      <c r="M125" s="1789"/>
      <c r="N125" s="2933"/>
      <c r="O125" s="2933"/>
      <c r="P125" s="1987"/>
      <c r="Q125" s="1750"/>
    </row>
    <row r="126" spans="1:17" ht="15.75" thickBot="1">
      <c r="A126" s="1782"/>
      <c r="B126" s="1790"/>
      <c r="C126" s="1791">
        <v>100</v>
      </c>
      <c r="D126" s="1791">
        <f>C126-$K44</f>
        <v>98</v>
      </c>
      <c r="E126" s="1791">
        <f>D126-$K44</f>
        <v>96</v>
      </c>
      <c r="F126" s="1791">
        <f>E126-$K44</f>
        <v>94</v>
      </c>
      <c r="G126" s="1791">
        <f>F126-$K44</f>
        <v>92</v>
      </c>
      <c r="H126" s="1791"/>
      <c r="I126" s="1791"/>
      <c r="J126" s="1791"/>
      <c r="K126" s="1791"/>
      <c r="L126" s="1791"/>
      <c r="M126" s="1792"/>
      <c r="N126" s="2934"/>
      <c r="O126" s="2934"/>
      <c r="P126" s="1986"/>
      <c r="Q126" s="1750"/>
    </row>
    <row r="127" spans="1:17" s="1700" customFormat="1" ht="15" thickTop="1">
      <c r="A127" s="1828"/>
      <c r="B127" s="1787">
        <f>B45</f>
        <v>111</v>
      </c>
      <c r="C127" s="468"/>
      <c r="D127" s="468"/>
      <c r="E127" s="468"/>
      <c r="F127" s="468"/>
      <c r="G127" s="468"/>
      <c r="H127" s="443"/>
      <c r="I127" s="443"/>
      <c r="J127" s="443"/>
      <c r="K127" s="443"/>
      <c r="L127" s="443"/>
      <c r="M127" s="1799"/>
      <c r="N127" s="2935"/>
      <c r="O127" s="2935"/>
      <c r="P127" s="1987"/>
      <c r="Q127" s="1802"/>
    </row>
    <row r="128" spans="1:17" s="1700" customFormat="1" ht="15.75" thickBot="1">
      <c r="A128" s="1798"/>
      <c r="B128" s="1790"/>
      <c r="C128" s="1803"/>
      <c r="D128" s="1784"/>
      <c r="E128" s="1784"/>
      <c r="F128" s="1784"/>
      <c r="G128" s="1803"/>
      <c r="H128" s="1806"/>
      <c r="I128" s="1806"/>
      <c r="J128" s="1806"/>
      <c r="K128" s="1806"/>
      <c r="L128" s="1806"/>
      <c r="M128" s="1807"/>
      <c r="N128" s="2935"/>
      <c r="O128" s="2935"/>
      <c r="P128" s="1987"/>
      <c r="Q128" s="1802"/>
    </row>
    <row r="129" spans="1:17" ht="15" thickTop="1">
      <c r="A129" s="1832"/>
      <c r="B129" s="1787">
        <f>B46</f>
        <v>111</v>
      </c>
      <c r="C129" s="468"/>
      <c r="D129" s="468"/>
      <c r="E129" s="468"/>
      <c r="F129" s="468"/>
      <c r="G129" s="1506"/>
      <c r="H129" s="1506"/>
      <c r="I129" s="1506"/>
      <c r="J129" s="1506"/>
      <c r="K129" s="473"/>
      <c r="L129" s="473"/>
      <c r="M129" s="1822"/>
      <c r="N129" s="2933"/>
      <c r="O129" s="2933"/>
      <c r="P129" s="1986"/>
      <c r="Q129" s="1750"/>
    </row>
    <row r="130" spans="1:17" ht="15.75" thickBot="1">
      <c r="A130" s="1782"/>
      <c r="B130" s="1790"/>
      <c r="C130" s="1803"/>
      <c r="D130" s="1803"/>
      <c r="E130" s="1803"/>
      <c r="F130" s="1803"/>
      <c r="G130" s="1784"/>
      <c r="H130" s="1784"/>
      <c r="I130" s="1784"/>
      <c r="J130" s="1784"/>
      <c r="K130" s="1784"/>
      <c r="L130" s="1784"/>
      <c r="M130" s="1785"/>
      <c r="N130" s="2934"/>
      <c r="O130" s="2934"/>
      <c r="P130" s="1986"/>
      <c r="Q130" s="1750"/>
    </row>
    <row r="131" spans="1:17" ht="15" thickTop="1">
      <c r="A131" s="1832"/>
      <c r="B131" s="1793">
        <f>B47</f>
        <v>111</v>
      </c>
      <c r="C131" s="409"/>
      <c r="D131" s="409"/>
      <c r="E131" s="409"/>
      <c r="F131" s="409"/>
      <c r="G131" s="1823"/>
      <c r="H131" s="1823"/>
      <c r="I131" s="1823"/>
      <c r="J131" s="1823"/>
      <c r="K131" s="409"/>
      <c r="L131" s="409"/>
      <c r="M131" s="1824"/>
      <c r="N131" s="2933"/>
      <c r="O131" s="2933"/>
      <c r="P131" s="1986"/>
      <c r="Q131" s="1750"/>
    </row>
    <row r="132" spans="1:17" ht="15.75" thickBot="1">
      <c r="A132" s="2428"/>
      <c r="B132" s="1810"/>
      <c r="C132" s="1811"/>
      <c r="D132" s="1811"/>
      <c r="E132" s="1811"/>
      <c r="F132" s="1811"/>
      <c r="G132" s="1826"/>
      <c r="H132" s="1826"/>
      <c r="I132" s="1826"/>
      <c r="J132" s="1826"/>
      <c r="K132" s="1826"/>
      <c r="L132" s="1826"/>
      <c r="M132" s="1827"/>
      <c r="N132" s="2934"/>
      <c r="O132" s="2934"/>
      <c r="P132" s="1986"/>
      <c r="Q132" s="175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Normal="60" zoomScaleSheetLayoutView="100" workbookViewId="0">
      <selection activeCell="J61" activeCellId="1" sqref="C40 J61"/>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1764</v>
      </c>
      <c r="B1" s="222"/>
      <c r="C1" s="611"/>
      <c r="D1" s="1553" t="s">
        <v>2506</v>
      </c>
      <c r="E1" s="1554" t="s">
        <v>1001</v>
      </c>
      <c r="F1" s="1555"/>
      <c r="G1" s="1556" t="e">
        <f>MATCH(C1,'数据-取费表'!A19:A19,0)+5</f>
        <v>#N/A</v>
      </c>
      <c r="H1" s="2904"/>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1135186</v>
      </c>
      <c r="C2" s="1447" t="str">
        <f>'数据-取费表'!B3</f>
        <v>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15394</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59474</v>
      </c>
      <c r="D5" s="1561" t="s">
        <v>2485</v>
      </c>
      <c r="E5" s="885"/>
      <c r="F5" s="1014"/>
      <c r="G5" s="909"/>
      <c r="H5" s="232">
        <v>1</v>
      </c>
      <c r="I5" s="233" t="s">
        <v>1772</v>
      </c>
      <c r="J5" s="234">
        <f ca="1">J6+J10+J12</f>
        <v>0</v>
      </c>
      <c r="K5" s="1448" t="s">
        <v>1773</v>
      </c>
      <c r="L5" s="885"/>
      <c r="M5" s="1014"/>
    </row>
    <row r="6" spans="1:37" ht="18" customHeight="1">
      <c r="A6" s="1015" t="s">
        <v>1774</v>
      </c>
      <c r="B6" s="1370" t="s">
        <v>1775</v>
      </c>
      <c r="C6" s="234">
        <f>ROUND(F6*F8*F7*(1-F9),0)</f>
        <v>59400</v>
      </c>
      <c r="D6" s="36" t="s">
        <v>2461</v>
      </c>
      <c r="E6" s="235" t="s">
        <v>1776</v>
      </c>
      <c r="F6" s="236">
        <f>'数据-取费表'!B30</f>
        <v>5500</v>
      </c>
      <c r="G6" s="909"/>
      <c r="H6" s="1015" t="s">
        <v>1774</v>
      </c>
      <c r="I6" s="1370" t="s">
        <v>1775</v>
      </c>
      <c r="J6" s="234">
        <f>ROUND(M6*M8*M7*(1-M9),0)</f>
        <v>0</v>
      </c>
      <c r="K6" s="36" t="s">
        <v>2461</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1</v>
      </c>
      <c r="G7" s="909"/>
      <c r="H7" s="237"/>
      <c r="I7" s="238"/>
      <c r="J7" s="239"/>
      <c r="K7" s="240"/>
      <c r="L7" s="235" t="s">
        <v>1777</v>
      </c>
      <c r="M7" s="236">
        <f>IF('数据-取费表'!B42="",IF(D1="仅计算典型户型",'数据-取费表'!E5,'数据-取费表'!B5),'数据-取费表'!B42)</f>
        <v>1</v>
      </c>
    </row>
    <row r="8" spans="1:37" ht="18" customHeight="1">
      <c r="A8" s="1048"/>
      <c r="B8" s="238"/>
      <c r="C8" s="239"/>
      <c r="D8" s="240"/>
      <c r="E8" s="235" t="s">
        <v>1778</v>
      </c>
      <c r="F8" s="236">
        <f>'数据-取费表'!B43</f>
        <v>12</v>
      </c>
      <c r="G8" s="909"/>
      <c r="H8" s="237"/>
      <c r="I8" s="238"/>
      <c r="J8" s="239"/>
      <c r="K8" s="240"/>
      <c r="L8" s="235" t="s">
        <v>1779</v>
      </c>
      <c r="M8" s="236">
        <f>'数据-取费表'!B43</f>
        <v>12</v>
      </c>
    </row>
    <row r="9" spans="1:37" ht="18" customHeight="1">
      <c r="A9" s="1048"/>
      <c r="B9" s="238"/>
      <c r="C9" s="239"/>
      <c r="D9" s="244"/>
      <c r="E9" s="235" t="s">
        <v>1780</v>
      </c>
      <c r="F9" s="245">
        <f>'数据-取费表'!B33</f>
        <v>0.1</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74</v>
      </c>
      <c r="D10" s="1450" t="s">
        <v>2466</v>
      </c>
      <c r="E10" s="246" t="s">
        <v>1783</v>
      </c>
      <c r="F10" s="1451" t="s">
        <v>1784</v>
      </c>
      <c r="G10" s="909"/>
      <c r="H10" s="1015" t="s">
        <v>1781</v>
      </c>
      <c r="I10" s="1449" t="s">
        <v>1782</v>
      </c>
      <c r="J10" s="1016">
        <f ca="1">ROUND(IF(M10="押一",J6/12*M11,IF(M10="押二",J6/12*2*M11,IF(M10="押三",J6/12*3*M11,J11*M11))),0)</f>
        <v>0</v>
      </c>
      <c r="K10" s="36" t="s">
        <v>2466</v>
      </c>
      <c r="L10" s="246" t="s">
        <v>1783</v>
      </c>
      <c r="M10" s="1451"/>
    </row>
    <row r="11" spans="1:37" s="257" customFormat="1" ht="18" customHeight="1">
      <c r="A11" s="263"/>
      <c r="B11" s="1452" t="s">
        <v>1785</v>
      </c>
      <c r="C11" s="1020"/>
      <c r="D11" s="240"/>
      <c r="E11" s="246" t="s">
        <v>1786</v>
      </c>
      <c r="F11" s="247">
        <f ca="1">'数据-取费表'!B31</f>
        <v>1.4999999999999999E-2</v>
      </c>
      <c r="G11" s="910"/>
      <c r="H11" s="241"/>
      <c r="I11" s="1452" t="s">
        <v>1787</v>
      </c>
      <c r="J11" s="1020"/>
      <c r="K11" s="240"/>
      <c r="L11" s="246" t="s">
        <v>1786</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1788</v>
      </c>
      <c r="B12" s="1453" t="s">
        <v>1789</v>
      </c>
      <c r="C12" s="1026"/>
      <c r="D12" s="1454"/>
      <c r="E12" s="1032"/>
      <c r="F12" s="1027"/>
      <c r="G12" s="909"/>
      <c r="H12" s="1025" t="s">
        <v>1788</v>
      </c>
      <c r="I12" s="1453" t="s">
        <v>1789</v>
      </c>
      <c r="J12" s="1026"/>
      <c r="K12" s="1042"/>
      <c r="L12" s="1032"/>
      <c r="M12" s="1043"/>
    </row>
    <row r="13" spans="1:37" s="257" customFormat="1" ht="18" customHeight="1" thickTop="1">
      <c r="A13" s="1021">
        <v>2</v>
      </c>
      <c r="B13" s="1022" t="s">
        <v>1790</v>
      </c>
      <c r="C13" s="243">
        <f ca="1">ROUND(C29*F13,0)</f>
        <v>384934</v>
      </c>
      <c r="D13" s="1023" t="s">
        <v>1791</v>
      </c>
      <c r="E13" s="1023" t="s">
        <v>1792</v>
      </c>
      <c r="F13" s="1024">
        <f>'数据-取费表'!E20</f>
        <v>0.95</v>
      </c>
      <c r="G13" s="910"/>
      <c r="H13" s="1021">
        <v>2</v>
      </c>
      <c r="I13" s="1022" t="s">
        <v>1790</v>
      </c>
      <c r="J13" s="1017">
        <f ca="1">ROUND(J14*J15,0)</f>
        <v>0</v>
      </c>
      <c r="K13" s="1028" t="s">
        <v>1791</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1793</v>
      </c>
      <c r="B14" s="235" t="s">
        <v>1794</v>
      </c>
      <c r="C14" s="254">
        <f>IF(D1="仅计算典型户型",'数据-取费表'!F18,'数据-取费表'!E18)</f>
        <v>280212</v>
      </c>
      <c r="D14" s="1256" t="s">
        <v>1795</v>
      </c>
      <c r="E14" s="1257"/>
      <c r="F14" s="757"/>
      <c r="G14" s="910"/>
      <c r="H14" s="253" t="s">
        <v>1774</v>
      </c>
      <c r="I14" s="235" t="s">
        <v>1796</v>
      </c>
      <c r="J14" s="13">
        <f ca="1">C29</f>
        <v>405194</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1797</v>
      </c>
      <c r="B15" s="235" t="s">
        <v>1798</v>
      </c>
      <c r="C15" s="13">
        <f>ROUND(C14*F15,0)</f>
        <v>8406</v>
      </c>
      <c r="D15" s="255" t="s">
        <v>1799</v>
      </c>
      <c r="E15" s="255" t="s">
        <v>1800</v>
      </c>
      <c r="F15" s="256">
        <f>'数据-取费表'!E21</f>
        <v>0.03</v>
      </c>
      <c r="G15" s="909"/>
      <c r="H15" s="1031" t="s">
        <v>1801</v>
      </c>
      <c r="I15" s="1032" t="s">
        <v>1802</v>
      </c>
      <c r="J15" s="1044">
        <f>'数据-取费表'!B40</f>
        <v>0</v>
      </c>
      <c r="K15" s="1045"/>
      <c r="L15" s="1046"/>
      <c r="M15" s="1047"/>
    </row>
    <row r="16" spans="1:37" s="257" customFormat="1" ht="18" customHeight="1" thickTop="1">
      <c r="A16" s="253" t="s">
        <v>1803</v>
      </c>
      <c r="B16" s="235" t="s">
        <v>1804</v>
      </c>
      <c r="C16" s="13">
        <f>ROUND(C14*F16,0)</f>
        <v>0</v>
      </c>
      <c r="D16" s="235" t="s">
        <v>1799</v>
      </c>
      <c r="E16" s="235" t="s">
        <v>1800</v>
      </c>
      <c r="F16" s="258">
        <f>IF('数据-取费表'!B10="住宅",'数据-取费表'!E22,0)</f>
        <v>0</v>
      </c>
      <c r="G16" s="910"/>
      <c r="H16" s="1021" t="s">
        <v>14</v>
      </c>
      <c r="I16" s="1022" t="s">
        <v>1805</v>
      </c>
      <c r="J16" s="243">
        <f ca="1">ROUND(J17+J22+J23+J24,0)</f>
        <v>7456</v>
      </c>
      <c r="K16" s="1028" t="s">
        <v>1806</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1807</v>
      </c>
      <c r="B17" s="235" t="s">
        <v>1808</v>
      </c>
      <c r="C17" s="13">
        <f>ROUND(F17*IF(D1="仅计算典型户型",'数据-取费表'!E5,'数据-取费表'!B5),0)</f>
        <v>14748</v>
      </c>
      <c r="D17" s="235" t="s">
        <v>1809</v>
      </c>
      <c r="E17" s="235" t="s">
        <v>1810</v>
      </c>
      <c r="F17" s="15">
        <f>'数据-取费表'!E23</f>
        <v>200</v>
      </c>
      <c r="G17" s="910"/>
      <c r="H17" s="253" t="s">
        <v>1811</v>
      </c>
      <c r="I17" s="235" t="s">
        <v>1812</v>
      </c>
      <c r="J17" s="2744">
        <f ca="1">ROUND(IF(AND(项目基本情况!B7="自然人",项目基本情况!B6="北京市"),J6*M17/(1+'数据-取费表'!F30),J18+J19+J20),0)</f>
        <v>3404</v>
      </c>
      <c r="K17" s="1256" t="s">
        <v>1813</v>
      </c>
      <c r="L17" s="1259" t="s">
        <v>1814</v>
      </c>
      <c r="M17" s="2743" t="str">
        <f>IF(项目基本情况!B7="企业","——",IF('数据-取费表'!B10="住宅",IF(M6*M7*M8/12/(1+'数据-取费表'!F30)&gt;100000,4%,2.5%),IF(M6*M7*M8/12/(1+'数据-取费表'!F30)&gt;100000,12%,7%)))</f>
        <v>——</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1815</v>
      </c>
      <c r="B18" s="235" t="s">
        <v>1816</v>
      </c>
      <c r="C18" s="13">
        <f>ROUND(C14*F18,0)</f>
        <v>4203</v>
      </c>
      <c r="D18" s="235" t="s">
        <v>1799</v>
      </c>
      <c r="E18" s="235" t="s">
        <v>1800</v>
      </c>
      <c r="F18" s="258">
        <f>'数据-取费表'!E24</f>
        <v>1.4999999999999999E-2</v>
      </c>
      <c r="G18" s="909"/>
      <c r="H18" s="253" t="s">
        <v>1817</v>
      </c>
      <c r="I18" s="235" t="s">
        <v>1818</v>
      </c>
      <c r="J18" s="13">
        <f>IF(项目基本情况!B7="自然人","——",ROUND(J6*M18/(1+'数据-取费表'!F30),0))</f>
        <v>0</v>
      </c>
      <c r="K18" s="1259" t="s">
        <v>2487</v>
      </c>
      <c r="L18" s="235" t="s">
        <v>1800</v>
      </c>
      <c r="M18" s="258">
        <f>'数据-取费表'!E29</f>
        <v>5.6000000000000001E-2</v>
      </c>
    </row>
    <row r="19" spans="1:37" s="257" customFormat="1" ht="18" customHeight="1">
      <c r="A19" s="253" t="s">
        <v>1811</v>
      </c>
      <c r="B19" s="235" t="s">
        <v>1819</v>
      </c>
      <c r="C19" s="13">
        <f>SUM(C14:C18)</f>
        <v>307569</v>
      </c>
      <c r="D19" s="33" t="s">
        <v>1820</v>
      </c>
      <c r="E19" s="1261"/>
      <c r="F19" s="15"/>
      <c r="G19" s="910"/>
      <c r="H19" s="253" t="s">
        <v>1797</v>
      </c>
      <c r="I19" s="235" t="s">
        <v>1821</v>
      </c>
      <c r="J19" s="13">
        <f ca="1">IF(项目基本情况!B7="自然人","——",IF(K19="按租金收入计税",ROUND(J6*M19/(1+'数据-取费表'!F30),0),ROUND(C29*M19*0.7,0)))</f>
        <v>3404</v>
      </c>
      <c r="K19" s="1364"/>
      <c r="L19" s="235" t="s">
        <v>1800</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1823</v>
      </c>
      <c r="C20" s="13">
        <f>ROUND(C19*F20,0)</f>
        <v>6151</v>
      </c>
      <c r="D20" s="259" t="s">
        <v>1824</v>
      </c>
      <c r="E20" s="235" t="s">
        <v>1825</v>
      </c>
      <c r="F20" s="258">
        <f>'数据-取费表'!E25</f>
        <v>0.02</v>
      </c>
      <c r="G20" s="910"/>
      <c r="H20" s="253" t="s">
        <v>1803</v>
      </c>
      <c r="I20" s="36" t="s">
        <v>1826</v>
      </c>
      <c r="J20" s="14">
        <f>IF(项目基本情况!B7="自然人","——",ROUND(M20*M21,0))</f>
        <v>0</v>
      </c>
      <c r="K20" s="261" t="s">
        <v>1827</v>
      </c>
      <c r="L20" s="235" t="s">
        <v>1828</v>
      </c>
      <c r="M20" s="262">
        <f>'数据-取费表'!E40</f>
        <v>0</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1829</v>
      </c>
      <c r="B21" s="235" t="s">
        <v>1830</v>
      </c>
      <c r="C21" s="597">
        <f>F21</f>
        <v>0.02</v>
      </c>
      <c r="D21" s="259" t="s">
        <v>1831</v>
      </c>
      <c r="E21" s="235" t="s">
        <v>1832</v>
      </c>
      <c r="F21" s="258">
        <f>'数据-取费表'!E26</f>
        <v>0.02</v>
      </c>
      <c r="G21" s="909"/>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61"/>
      <c r="F22" s="15"/>
      <c r="G22" s="909"/>
      <c r="H22" s="253" t="s">
        <v>1801</v>
      </c>
      <c r="I22" s="235" t="s">
        <v>1836</v>
      </c>
      <c r="J22" s="13">
        <f ca="1">ROUND(J14*M22,0)</f>
        <v>4052</v>
      </c>
      <c r="K22" s="1259" t="s">
        <v>1837</v>
      </c>
      <c r="L22" s="235" t="s">
        <v>1800</v>
      </c>
      <c r="M22" s="265">
        <f>'数据-取费表'!B45</f>
        <v>0.01</v>
      </c>
    </row>
    <row r="23" spans="1:37" ht="18" customHeight="1">
      <c r="A23" s="253" t="s">
        <v>1817</v>
      </c>
      <c r="B23" s="235" t="s">
        <v>1838</v>
      </c>
      <c r="C23" s="13">
        <f ca="1">IF('数据-取费表'!B24&lt;=1,ROUND(C19*F24*F23/2,0)+ROUND(C20*F24*F23/2,0),ROUND(C19*(POWER((1+F24),F23/2)-1),0)+ROUND(C20*(POWER((1+F24),F23/2)-1),0))</f>
        <v>13176</v>
      </c>
      <c r="D23" s="1360" t="str">
        <f>IF(F23&lt;=1,"(建造成本+管理费用)×利率×(建设周期÷2)","(建造成本+管理费用)×((1+利率)^(建设周期÷2)-1)")</f>
        <v>(建造成本+管理费用)×((1+利率)^(建设周期÷2)-1)</v>
      </c>
      <c r="E23" s="235" t="s">
        <v>1839</v>
      </c>
      <c r="F23" s="262">
        <f>'数据-取费表'!B22</f>
        <v>2</v>
      </c>
      <c r="G23" s="909"/>
      <c r="H23" s="253" t="s">
        <v>1829</v>
      </c>
      <c r="I23" s="235" t="s">
        <v>1840</v>
      </c>
      <c r="J23" s="13">
        <f ca="1">ROUND(J13*M23,0)</f>
        <v>0</v>
      </c>
      <c r="K23" s="1259" t="s">
        <v>1841</v>
      </c>
      <c r="L23" s="235" t="s">
        <v>1842</v>
      </c>
      <c r="M23" s="266">
        <f>'数据-取费表'!B46</f>
        <v>1E-3</v>
      </c>
    </row>
    <row r="24" spans="1:37" s="257" customFormat="1" ht="18" customHeight="1" thickBot="1">
      <c r="A24" s="253" t="s">
        <v>1843</v>
      </c>
      <c r="B24" s="235" t="s">
        <v>1844</v>
      </c>
      <c r="C24" s="13">
        <f ca="1">ROUND(IF('数据-取费表'!B24&lt;=1,F21*F24*F23/2,F21*(POWER((1+F24),F23/2)-1)),4)</f>
        <v>8.0000000000000004E-4</v>
      </c>
      <c r="D24" s="1360" t="str">
        <f>IF(F23&lt;=1,"销售费用×利率×(建设周期÷2)","销售费用×((1+利率)^(建设周期÷2)-1)")</f>
        <v>销售费用×((1+利率)^(建设周期÷2)-1)</v>
      </c>
      <c r="E24" s="235" t="s">
        <v>1845</v>
      </c>
      <c r="F24" s="267">
        <f ca="1">'数据-取费表'!E27</f>
        <v>4.2000000000000003E-2</v>
      </c>
      <c r="G24" s="910"/>
      <c r="H24" s="1031" t="s">
        <v>1834</v>
      </c>
      <c r="I24" s="1032" t="s">
        <v>1823</v>
      </c>
      <c r="J24" s="1033">
        <f ca="1">ROUND(J5*M24,0)</f>
        <v>0</v>
      </c>
      <c r="K24" s="1034" t="s">
        <v>1846</v>
      </c>
      <c r="L24" s="1032" t="s">
        <v>1842</v>
      </c>
      <c r="M24" s="1027">
        <f>'数据-取费表'!B47</f>
        <v>0.01</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1847</v>
      </c>
      <c r="B25" s="235" t="s">
        <v>1848</v>
      </c>
      <c r="C25" s="13"/>
      <c r="D25" s="33" t="s">
        <v>1849</v>
      </c>
      <c r="E25" s="1261"/>
      <c r="F25" s="15"/>
      <c r="G25" s="910"/>
      <c r="H25" s="1021" t="s">
        <v>22</v>
      </c>
      <c r="I25" s="1036" t="s">
        <v>1850</v>
      </c>
      <c r="J25" s="243">
        <f ca="1">J5-J16</f>
        <v>-7456</v>
      </c>
      <c r="K25" s="1037" t="s">
        <v>1851</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1793</v>
      </c>
      <c r="B26" s="235" t="s">
        <v>1852</v>
      </c>
      <c r="C26" s="13">
        <f>ROUND((C19+C20)*F26,0)</f>
        <v>47058</v>
      </c>
      <c r="D26" s="259" t="s">
        <v>1853</v>
      </c>
      <c r="E26" s="246" t="s">
        <v>1854</v>
      </c>
      <c r="F26" s="245">
        <f>'数据-取费表'!E28</f>
        <v>0.15</v>
      </c>
      <c r="G26" s="652"/>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3.0000000000000001E-3</v>
      </c>
      <c r="D27" s="259" t="s">
        <v>1860</v>
      </c>
      <c r="E27" s="255"/>
      <c r="F27" s="256"/>
      <c r="G27" s="652"/>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2"/>
      <c r="H28" s="241"/>
      <c r="I28" s="242"/>
      <c r="J28" s="243"/>
      <c r="K28" s="264"/>
      <c r="L28" s="235" t="s">
        <v>1866</v>
      </c>
      <c r="M28" s="245">
        <f>'数据-取费表'!B38</f>
        <v>0</v>
      </c>
    </row>
    <row r="29" spans="1:37" ht="18" customHeight="1" thickBot="1">
      <c r="A29" s="1031" t="s">
        <v>1867</v>
      </c>
      <c r="B29" s="1032" t="s">
        <v>1868</v>
      </c>
      <c r="C29" s="1033">
        <f ca="1">ROUND((C19+C20+C23+C26)/(1-F21-C24-C27-C28),0)</f>
        <v>405194</v>
      </c>
      <c r="D29" s="1034"/>
      <c r="E29" s="1032"/>
      <c r="F29" s="1035"/>
      <c r="G29" s="652"/>
      <c r="H29" s="271" t="s">
        <v>24</v>
      </c>
      <c r="I29" s="272" t="s">
        <v>1869</v>
      </c>
      <c r="J29" s="273">
        <f ca="1">ROUND(J26/(1+F40)^F41,0)</f>
        <v>0</v>
      </c>
      <c r="K29" s="274" t="s">
        <v>1870</v>
      </c>
      <c r="L29" s="275"/>
      <c r="M29" s="276">
        <f>IF(D1="仅计算典型户型",'数据-取费表'!E5,'数据-取费表'!B5)</f>
        <v>73.739999999999995</v>
      </c>
    </row>
    <row r="30" spans="1:37" ht="18" customHeight="1" thickTop="1">
      <c r="A30" s="1021" t="s">
        <v>14</v>
      </c>
      <c r="B30" s="1022" t="s">
        <v>1871</v>
      </c>
      <c r="C30" s="243">
        <f ca="1">ROUND(C31+C36+C37+C38,0)</f>
        <v>14989</v>
      </c>
      <c r="D30" s="1028" t="s">
        <v>1872</v>
      </c>
      <c r="E30" s="1029"/>
      <c r="F30" s="1030"/>
      <c r="G30" s="652"/>
      <c r="H30" s="889"/>
      <c r="I30" s="890"/>
      <c r="J30" s="891"/>
      <c r="K30" s="892"/>
      <c r="L30" s="893"/>
      <c r="M30" s="894"/>
    </row>
    <row r="31" spans="1:37" ht="18" customHeight="1">
      <c r="A31" s="253" t="s">
        <v>1774</v>
      </c>
      <c r="B31" s="235" t="s">
        <v>1812</v>
      </c>
      <c r="C31" s="2744">
        <f>ROUND(IF(AND(项目基本情况!B7="自然人",项目基本情况!B6="北京市"),C6*F31/(1+'数据-取费表'!F30),C32+C33+C34),0)</f>
        <v>9957</v>
      </c>
      <c r="D31" s="1256" t="s">
        <v>1873</v>
      </c>
      <c r="E31" s="1259" t="s">
        <v>1874</v>
      </c>
      <c r="F31" s="2743" t="str">
        <f>IF(项目基本情况!B7="企业","——",IF('数据-取费表'!B10="住宅",IF(F6*F7*F8/12/(1+'数据-取费表'!F30)&gt;100000,4%,2.5%),IF(F6*F7*F8/12/(1+'数据-取费表'!F30)&gt;100000,12%,7%)))</f>
        <v>——</v>
      </c>
      <c r="G31" s="652"/>
      <c r="H31" s="889"/>
      <c r="I31" s="890"/>
      <c r="J31" s="891"/>
      <c r="K31" s="892"/>
      <c r="L31" s="893"/>
      <c r="M31" s="894"/>
    </row>
    <row r="32" spans="1:37" ht="18" customHeight="1">
      <c r="A32" s="253" t="s">
        <v>1793</v>
      </c>
      <c r="B32" s="235" t="s">
        <v>1875</v>
      </c>
      <c r="C32" s="13">
        <f>IF(项目基本情况!B7="自然人","——",ROUND(C6*F32/(1+'数据-取费表'!F30),0))</f>
        <v>3168</v>
      </c>
      <c r="D32" s="1259" t="s">
        <v>2486</v>
      </c>
      <c r="E32" s="235" t="s">
        <v>1825</v>
      </c>
      <c r="F32" s="267">
        <f>'数据-取费表'!E29</f>
        <v>5.6000000000000001E-2</v>
      </c>
      <c r="G32" s="652"/>
      <c r="H32" s="895"/>
      <c r="I32" s="896"/>
      <c r="J32" s="897"/>
      <c r="K32" s="898"/>
      <c r="L32" s="899"/>
      <c r="M32" s="900"/>
    </row>
    <row r="33" spans="1:18" ht="18" customHeight="1">
      <c r="A33" s="253" t="s">
        <v>1797</v>
      </c>
      <c r="B33" s="235" t="s">
        <v>1821</v>
      </c>
      <c r="C33" s="13">
        <f>IF(项目基本情况!B7="自然人","——",IF(D33="按租金收入计税",ROUND(C6*F33/(1+'数据-取费表'!F30),0),IF(D33="按房产原值计税",ROUND(C29*F33*0.7,0),'数据-取费表'!B44)))</f>
        <v>6789</v>
      </c>
      <c r="D33" s="1364" t="s">
        <v>2644</v>
      </c>
      <c r="E33" s="235" t="s">
        <v>1800</v>
      </c>
      <c r="F33" s="258">
        <f>IF(D33="按票据","——",IF(D33="按租金收入计税",'数据-取费表'!E39,'数据-取费表'!E38))</f>
        <v>0.12</v>
      </c>
      <c r="G33" s="652"/>
      <c r="H33" s="901"/>
      <c r="I33" s="278" t="s">
        <v>1877</v>
      </c>
      <c r="J33" s="279"/>
      <c r="K33" s="902"/>
      <c r="L33" s="901"/>
      <c r="M33" s="901"/>
    </row>
    <row r="34" spans="1:18" ht="18" customHeight="1">
      <c r="A34" s="1015" t="s">
        <v>1803</v>
      </c>
      <c r="B34" s="36" t="s">
        <v>1826</v>
      </c>
      <c r="C34" s="14">
        <f>IF(项目基本情况!B7="自然人","——",ROUND(F34*F35,0))</f>
        <v>0</v>
      </c>
      <c r="D34" s="261" t="s">
        <v>1827</v>
      </c>
      <c r="E34" s="235" t="s">
        <v>1828</v>
      </c>
      <c r="F34" s="262">
        <f>'数据-取费表'!E40</f>
        <v>0</v>
      </c>
      <c r="G34" s="652"/>
      <c r="H34" s="889"/>
      <c r="I34" s="280" t="s">
        <v>1878</v>
      </c>
      <c r="J34" s="281">
        <f ca="1">ROUND(C13*J35,0)</f>
        <v>26945</v>
      </c>
      <c r="K34" s="903"/>
      <c r="L34" s="904"/>
      <c r="M34" s="904"/>
    </row>
    <row r="35" spans="1:18" ht="24.6" customHeight="1">
      <c r="A35" s="1019"/>
      <c r="B35" s="244"/>
      <c r="C35" s="17"/>
      <c r="D35" s="264"/>
      <c r="E35" s="235" t="s">
        <v>1833</v>
      </c>
      <c r="F35" s="236">
        <f>IF(D1="仅计算典型户型",'数据-取费表'!E6,'数据-取费表'!B6)</f>
        <v>0</v>
      </c>
      <c r="G35" s="652" t="s">
        <v>2574</v>
      </c>
      <c r="H35" s="889"/>
      <c r="I35" s="282" t="s">
        <v>1879</v>
      </c>
      <c r="J35" s="283">
        <f>'数据-取费表'!B18</f>
        <v>7.0000000000000007E-2</v>
      </c>
      <c r="K35" s="902"/>
      <c r="L35" s="901"/>
      <c r="M35" s="901"/>
    </row>
    <row r="36" spans="1:18" ht="18" customHeight="1">
      <c r="A36" s="1018" t="s">
        <v>1781</v>
      </c>
      <c r="B36" s="235" t="s">
        <v>1880</v>
      </c>
      <c r="C36" s="13">
        <f ca="1">ROUND(C29*F36,0)</f>
        <v>4052</v>
      </c>
      <c r="D36" s="1259" t="s">
        <v>1881</v>
      </c>
      <c r="E36" s="235" t="s">
        <v>1825</v>
      </c>
      <c r="F36" s="265">
        <f>'数据-取费表'!B45</f>
        <v>0.01</v>
      </c>
      <c r="G36" s="652"/>
      <c r="H36" s="901"/>
      <c r="I36" s="284" t="s">
        <v>1882</v>
      </c>
      <c r="J36" s="285"/>
      <c r="K36" s="905"/>
      <c r="L36" s="901"/>
      <c r="M36" s="901"/>
    </row>
    <row r="37" spans="1:18" ht="18" customHeight="1">
      <c r="A37" s="253" t="s">
        <v>1829</v>
      </c>
      <c r="B37" s="235" t="s">
        <v>1840</v>
      </c>
      <c r="C37" s="13">
        <f ca="1">ROUND(C13*F37,0)</f>
        <v>385</v>
      </c>
      <c r="D37" s="1259" t="s">
        <v>1841</v>
      </c>
      <c r="E37" s="235" t="s">
        <v>1842</v>
      </c>
      <c r="F37" s="266">
        <f>'数据-取费表'!B46</f>
        <v>1E-3</v>
      </c>
      <c r="G37" s="652"/>
      <c r="H37" s="901"/>
      <c r="I37" s="132" t="s">
        <v>1883</v>
      </c>
      <c r="J37" s="286"/>
      <c r="K37" s="905"/>
      <c r="L37" s="901"/>
      <c r="M37" s="901"/>
    </row>
    <row r="38" spans="1:18" ht="18" customHeight="1" thickBot="1">
      <c r="A38" s="1031" t="s">
        <v>1834</v>
      </c>
      <c r="B38" s="1032" t="s">
        <v>1823</v>
      </c>
      <c r="C38" s="1033">
        <f ca="1">ROUND(C5*F38,0)</f>
        <v>595</v>
      </c>
      <c r="D38" s="1034" t="s">
        <v>1846</v>
      </c>
      <c r="E38" s="1032" t="s">
        <v>1842</v>
      </c>
      <c r="F38" s="1027">
        <f>'数据-取费表'!B47</f>
        <v>0.01</v>
      </c>
      <c r="G38" s="652"/>
      <c r="H38" s="901"/>
      <c r="I38" s="280" t="s">
        <v>1884</v>
      </c>
      <c r="J38" s="136">
        <f ca="1">ROUND(J34/C39,3)</f>
        <v>0.60599999999999998</v>
      </c>
      <c r="K38" s="906"/>
      <c r="L38" s="901"/>
      <c r="M38" s="901"/>
    </row>
    <row r="39" spans="1:18" ht="18" customHeight="1" thickTop="1">
      <c r="A39" s="1021" t="s">
        <v>22</v>
      </c>
      <c r="B39" s="1036" t="s">
        <v>1885</v>
      </c>
      <c r="C39" s="243">
        <f ca="1">C5-C30</f>
        <v>44485</v>
      </c>
      <c r="D39" s="1037" t="s">
        <v>1886</v>
      </c>
      <c r="E39" s="1038"/>
      <c r="F39" s="1039"/>
      <c r="G39" s="652"/>
      <c r="H39" s="901"/>
      <c r="I39" s="280" t="s">
        <v>1887</v>
      </c>
      <c r="J39" s="136">
        <f ca="1">1-J38</f>
        <v>0.39400000000000002</v>
      </c>
      <c r="K39" s="906"/>
      <c r="L39" s="901"/>
      <c r="M39" s="901"/>
    </row>
    <row r="40" spans="1:18" s="652" customFormat="1" ht="18" customHeight="1">
      <c r="A40" s="232" t="s">
        <v>23</v>
      </c>
      <c r="B40" s="233" t="s">
        <v>1888</v>
      </c>
      <c r="C40" s="234">
        <f ca="1">ROUND(C39*(1-((1+F42)/(1+F40))^F41)/(F40-F42),0)</f>
        <v>1127334</v>
      </c>
      <c r="D40" s="261" t="s">
        <v>1856</v>
      </c>
      <c r="E40" s="235" t="s">
        <v>1857</v>
      </c>
      <c r="F40" s="245">
        <f>'数据-取费表'!B16</f>
        <v>5.5E-2</v>
      </c>
      <c r="H40" s="907"/>
      <c r="I40" s="132" t="s">
        <v>1889</v>
      </c>
      <c r="J40" s="133"/>
      <c r="K40" s="906"/>
      <c r="L40" s="907"/>
      <c r="M40" s="907"/>
      <c r="Q40" s="656"/>
    </row>
    <row r="41" spans="1:18" s="652" customFormat="1" ht="18" customHeight="1">
      <c r="A41" s="237"/>
      <c r="B41" s="238"/>
      <c r="C41" s="239"/>
      <c r="D41" s="269" t="s">
        <v>1890</v>
      </c>
      <c r="E41" s="1232" t="s">
        <v>2469</v>
      </c>
      <c r="F41" s="270">
        <f>IF('数据-取费表'!B29="租赁期内按合同租金",'数据-取费表'!B35,IF(E41="收益年期(n)",'数据-取费表'!B34,'数据-取费表'!B13))</f>
        <v>41.86</v>
      </c>
      <c r="H41" s="908"/>
      <c r="I41" s="135" t="s">
        <v>1762</v>
      </c>
      <c r="J41" s="136">
        <f ca="1">ROUND(C13/C40,3)</f>
        <v>0.34100000000000003</v>
      </c>
      <c r="K41" s="905"/>
      <c r="L41" s="908"/>
      <c r="M41" s="908"/>
      <c r="Q41" s="656"/>
    </row>
    <row r="42" spans="1:18" s="652" customFormat="1" ht="18" customHeight="1">
      <c r="A42" s="241"/>
      <c r="B42" s="242"/>
      <c r="C42" s="243"/>
      <c r="D42" s="264"/>
      <c r="E42" s="235" t="s">
        <v>1866</v>
      </c>
      <c r="F42" s="245">
        <f>'数据-取费表'!B32</f>
        <v>0.03</v>
      </c>
      <c r="H42" s="908"/>
      <c r="I42" s="135" t="s">
        <v>1763</v>
      </c>
      <c r="J42" s="137">
        <f ca="1">1-J41</f>
        <v>0.65900000000000003</v>
      </c>
      <c r="K42" s="905"/>
      <c r="L42" s="908"/>
      <c r="M42" s="908"/>
      <c r="Q42" s="656"/>
    </row>
    <row r="43" spans="1:18" s="652" customFormat="1" ht="18" customHeight="1" thickBot="1">
      <c r="A43" s="271" t="s">
        <v>24</v>
      </c>
      <c r="B43" s="272" t="s">
        <v>1891</v>
      </c>
      <c r="C43" s="273">
        <f ca="1">ROUND(C40/F43,0)</f>
        <v>15288</v>
      </c>
      <c r="D43" s="274" t="s">
        <v>1892</v>
      </c>
      <c r="E43" s="275" t="s">
        <v>1893</v>
      </c>
      <c r="F43" s="276">
        <f>IF(D1="仅计算典型户型",'数据-取费表'!E5,'数据-取费表'!B5)</f>
        <v>73.739999999999995</v>
      </c>
      <c r="G43" s="654"/>
      <c r="H43" s="908"/>
      <c r="I43" s="908"/>
      <c r="J43" s="908"/>
      <c r="K43" s="905"/>
      <c r="L43" s="908"/>
      <c r="M43" s="908"/>
      <c r="O43" s="999" t="s">
        <v>1894</v>
      </c>
      <c r="P43" s="1000"/>
      <c r="Q43" s="996"/>
      <c r="R43" s="1000"/>
    </row>
    <row r="44" spans="1:18" s="652" customFormat="1" ht="18" customHeight="1" thickBot="1">
      <c r="A44" s="649"/>
      <c r="B44" s="649"/>
      <c r="C44" s="651"/>
      <c r="D44" s="649"/>
      <c r="E44" s="649"/>
      <c r="F44" s="649"/>
      <c r="G44" s="654"/>
      <c r="K44" s="653"/>
      <c r="O44" s="1001" t="s">
        <v>1895</v>
      </c>
      <c r="P44" s="1002" t="s">
        <v>1896</v>
      </c>
      <c r="Q44" s="1003" t="s">
        <v>1897</v>
      </c>
      <c r="R44" s="1004" t="s">
        <v>1898</v>
      </c>
    </row>
    <row r="45" spans="1:18" s="652" customFormat="1" ht="18" customHeight="1" thickBot="1">
      <c r="A45" s="649"/>
      <c r="B45" s="649"/>
      <c r="C45" s="651"/>
      <c r="D45" s="649"/>
      <c r="E45" s="649"/>
      <c r="F45" s="649">
        <f ca="1">C36+C37+C38</f>
        <v>5032</v>
      </c>
      <c r="G45" s="655"/>
      <c r="H45" s="652">
        <v>30</v>
      </c>
      <c r="K45" s="653"/>
      <c r="O45" s="1005" t="s">
        <v>767</v>
      </c>
      <c r="P45" s="1006" t="s">
        <v>1899</v>
      </c>
      <c r="Q45" s="1007">
        <f ca="1">C40+J29</f>
        <v>1127334</v>
      </c>
      <c r="R45" s="1008" t="s">
        <v>1900</v>
      </c>
    </row>
    <row r="46" spans="1:18" s="652" customFormat="1" ht="18" customHeight="1" thickBot="1">
      <c r="A46" s="649"/>
      <c r="D46" s="649"/>
      <c r="E46" s="649"/>
      <c r="F46" s="649">
        <f ca="1">F45/F43/12</f>
        <v>5.6866467769641078</v>
      </c>
      <c r="H46" s="652">
        <f>H45*F43</f>
        <v>2212.1999999999998</v>
      </c>
      <c r="I46" s="652">
        <f>5*12*F43</f>
        <v>4424.3999999999996</v>
      </c>
      <c r="K46" s="653"/>
      <c r="O46" s="1005" t="s">
        <v>768</v>
      </c>
      <c r="P46" s="1006" t="s">
        <v>1901</v>
      </c>
      <c r="Q46" s="1007">
        <f ca="1">J61</f>
        <v>7852</v>
      </c>
      <c r="R46" s="1008" t="s">
        <v>1902</v>
      </c>
    </row>
    <row r="47" spans="1:18" s="652" customFormat="1" ht="21.75" thickBot="1">
      <c r="A47" s="1455" t="s">
        <v>1903</v>
      </c>
      <c r="C47" s="950">
        <f ca="1">IF(C2="元",C69-C40,ROUND((C69-C40)/10000,0))</f>
        <v>-1752465</v>
      </c>
      <c r="D47" s="1456" t="str">
        <f>C2</f>
        <v>元</v>
      </c>
      <c r="E47" s="649"/>
      <c r="F47" s="649"/>
      <c r="I47" s="1457" t="s">
        <v>1904</v>
      </c>
      <c r="J47" s="981"/>
      <c r="K47" s="982"/>
      <c r="L47" s="995">
        <f ca="1">IF(M48="住宅",0,IF(L49&gt;J52,L61,J61))</f>
        <v>7852</v>
      </c>
      <c r="O47" s="1009" t="s">
        <v>769</v>
      </c>
      <c r="P47" s="1006" t="s">
        <v>1905</v>
      </c>
      <c r="Q47" s="1007">
        <f ca="1">C29</f>
        <v>405194</v>
      </c>
      <c r="R47" s="1008" t="s">
        <v>1900</v>
      </c>
    </row>
    <row r="48" spans="1:18" s="652" customFormat="1" ht="15.75" thickBot="1">
      <c r="A48" s="228" t="s">
        <v>1906</v>
      </c>
      <c r="B48" s="229" t="s">
        <v>1907</v>
      </c>
      <c r="C48" s="229" t="s">
        <v>1908</v>
      </c>
      <c r="D48" s="229" t="s">
        <v>1909</v>
      </c>
      <c r="E48" s="944" t="s">
        <v>1910</v>
      </c>
      <c r="F48" s="945"/>
      <c r="I48" s="1458" t="s">
        <v>1911</v>
      </c>
      <c r="J48" s="1459" t="s">
        <v>3050</v>
      </c>
      <c r="K48" s="1460" t="s">
        <v>1912</v>
      </c>
      <c r="L48" s="983">
        <f>'数据-取费表'!B11</f>
        <v>50</v>
      </c>
      <c r="M48" s="996" t="str">
        <f>IF('数据-取费表'!B10="住宅","住宅","非住宅")</f>
        <v>非住宅</v>
      </c>
      <c r="O48" s="1009" t="s">
        <v>770</v>
      </c>
      <c r="P48" s="1006" t="s">
        <v>1913</v>
      </c>
      <c r="Q48" s="1010">
        <f>J59</f>
        <v>0.4</v>
      </c>
      <c r="R48" s="1008"/>
    </row>
    <row r="49" spans="1:18" s="652" customFormat="1" ht="15.75" thickBot="1">
      <c r="A49" s="1056" t="s">
        <v>781</v>
      </c>
      <c r="B49" s="233" t="s">
        <v>1914</v>
      </c>
      <c r="C49" s="1057">
        <f ca="1">C50+C54+C56</f>
        <v>0</v>
      </c>
      <c r="D49" s="1058"/>
      <c r="E49" s="44"/>
      <c r="F49" s="15"/>
      <c r="I49" s="1461" t="s">
        <v>1915</v>
      </c>
      <c r="J49" s="1462" t="s">
        <v>3077</v>
      </c>
      <c r="K49" s="1463" t="s">
        <v>1916</v>
      </c>
      <c r="L49" s="821">
        <f>'数据-取费表'!B13</f>
        <v>41.86</v>
      </c>
      <c r="O49" s="1009" t="s">
        <v>771</v>
      </c>
      <c r="P49" s="1006" t="s">
        <v>1917</v>
      </c>
      <c r="Q49" s="1010">
        <f>J53</f>
        <v>7.4999999999999997E-2</v>
      </c>
      <c r="R49" s="1008"/>
    </row>
    <row r="50" spans="1:18" s="652" customFormat="1" ht="15.75" thickBot="1">
      <c r="A50" s="260" t="s">
        <v>1774</v>
      </c>
      <c r="B50" s="1370" t="s">
        <v>1918</v>
      </c>
      <c r="C50" s="234">
        <f>ROUND(F50*F52*F51*(1-F53),0)</f>
        <v>0</v>
      </c>
      <c r="D50" s="42" t="s">
        <v>2462</v>
      </c>
      <c r="E50" s="1464" t="s">
        <v>1919</v>
      </c>
      <c r="F50" s="946"/>
      <c r="I50" s="1461" t="s">
        <v>1920</v>
      </c>
      <c r="J50" s="821">
        <f>'数据-取费表'!B27</f>
        <v>2019</v>
      </c>
      <c r="K50" s="1465" t="s">
        <v>1921</v>
      </c>
      <c r="L50" s="984"/>
      <c r="O50" s="1009" t="s">
        <v>772</v>
      </c>
      <c r="P50" s="1006" t="s">
        <v>1922</v>
      </c>
      <c r="Q50" s="1007">
        <f>J54</f>
        <v>41.86</v>
      </c>
      <c r="R50" s="1008" t="s">
        <v>1923</v>
      </c>
    </row>
    <row r="51" spans="1:18" s="652" customFormat="1" ht="15.75" thickBot="1">
      <c r="A51" s="237"/>
      <c r="B51" s="238"/>
      <c r="C51" s="239"/>
      <c r="D51" s="240"/>
      <c r="E51" s="255" t="s">
        <v>1777</v>
      </c>
      <c r="F51" s="943">
        <f>F7</f>
        <v>1</v>
      </c>
      <c r="I51" s="1461" t="s">
        <v>1924</v>
      </c>
      <c r="J51" s="985">
        <f>SUMPRODUCT((I64:I66=J48)*(J63:L63=J49)*(J64:L66))</f>
        <v>60</v>
      </c>
      <c r="K51" s="1465" t="s">
        <v>1925</v>
      </c>
      <c r="L51" s="984"/>
      <c r="O51" s="1005" t="s">
        <v>773</v>
      </c>
      <c r="P51" s="1006" t="str">
        <f>IF(C2="元","收益价值(元)","收益价值(万元)")</f>
        <v>收益价值(元)</v>
      </c>
      <c r="Q51" s="1007">
        <f ca="1">ROUND(IF(C2="元",Q45+Q46,(Q45+Q46)/10000),0)</f>
        <v>1135186</v>
      </c>
      <c r="R51" s="1008" t="s">
        <v>774</v>
      </c>
    </row>
    <row r="52" spans="1:18" s="652" customFormat="1" ht="16.5" thickBot="1">
      <c r="A52" s="237"/>
      <c r="B52" s="238"/>
      <c r="C52" s="239"/>
      <c r="D52" s="240"/>
      <c r="E52" s="235" t="s">
        <v>1779</v>
      </c>
      <c r="F52" s="236">
        <f>F8</f>
        <v>12</v>
      </c>
      <c r="I52" s="1466" t="s">
        <v>1926</v>
      </c>
      <c r="J52" s="986">
        <f>IF(J50="",J51,J50+J51-YEAR('数据-取费表'!B2))</f>
        <v>57</v>
      </c>
      <c r="K52" s="1467" t="s">
        <v>1927</v>
      </c>
      <c r="L52" s="987">
        <f ca="1">ROUND(-PV('数据-取费表'!B15,J52,(C40-C13*J35)),0)</f>
        <v>20643861</v>
      </c>
      <c r="O52" s="999" t="s">
        <v>1928</v>
      </c>
      <c r="P52" s="1000"/>
      <c r="Q52" s="996"/>
      <c r="R52" s="1000"/>
    </row>
    <row r="53" spans="1:18" s="652" customFormat="1" ht="15.75" thickBot="1">
      <c r="A53" s="241"/>
      <c r="B53" s="242"/>
      <c r="C53" s="243"/>
      <c r="D53" s="244"/>
      <c r="E53" s="235" t="s">
        <v>1780</v>
      </c>
      <c r="F53" s="994"/>
      <c r="I53" s="1468" t="s">
        <v>1929</v>
      </c>
      <c r="J53" s="988">
        <f>'数据-取费表'!B17</f>
        <v>7.4999999999999997E-2</v>
      </c>
      <c r="K53" s="1468" t="s">
        <v>1930</v>
      </c>
      <c r="L53" s="988"/>
      <c r="O53" s="1001" t="s">
        <v>1895</v>
      </c>
      <c r="P53" s="1002" t="s">
        <v>1896</v>
      </c>
      <c r="Q53" s="1003" t="s">
        <v>1897</v>
      </c>
      <c r="R53" s="1004" t="s">
        <v>1898</v>
      </c>
    </row>
    <row r="54" spans="1:18" s="652" customFormat="1" ht="29.25" customHeight="1" thickBot="1">
      <c r="A54" s="1015" t="s">
        <v>1781</v>
      </c>
      <c r="B54" s="1449" t="s">
        <v>1782</v>
      </c>
      <c r="C54" s="1016">
        <f ca="1">ROUND(IF(F54="押一",C50/12*F11,IF(F54="押二",C50/12*2*F11,IF(F54="押三",C50/12*3*F11,C55*F11))),0)</f>
        <v>0</v>
      </c>
      <c r="D54" s="1450" t="s">
        <v>2467</v>
      </c>
      <c r="E54" s="246" t="s">
        <v>1783</v>
      </c>
      <c r="F54" s="1451"/>
      <c r="I54" s="1557" t="s">
        <v>2470</v>
      </c>
      <c r="J54" s="989">
        <f>IF(M48="住宅",IF(E1="——",MAX(J52,L49),MAX(J52,L49-'数据-取费表'!B26)),IF(E1="——",MIN(J52,L49),MIN(J52,L49-'数据-取费表'!B26)))</f>
        <v>41.86</v>
      </c>
      <c r="K54" s="3605" t="s">
        <v>2460</v>
      </c>
      <c r="L54" s="3606"/>
      <c r="O54" s="1005" t="s">
        <v>767</v>
      </c>
      <c r="P54" s="1006" t="s">
        <v>1899</v>
      </c>
      <c r="Q54" s="1007">
        <f ca="1">C40+J29</f>
        <v>1127334</v>
      </c>
      <c r="R54" s="1008" t="s">
        <v>1900</v>
      </c>
    </row>
    <row r="55" spans="1:18" s="652" customFormat="1" ht="20.25" thickBot="1">
      <c r="A55" s="1015"/>
      <c r="B55" s="1469" t="s">
        <v>1787</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1931</v>
      </c>
      <c r="Q55" s="1007">
        <f>L61</f>
        <v>0</v>
      </c>
      <c r="R55" s="1008" t="s">
        <v>1932</v>
      </c>
    </row>
    <row r="56" spans="1:18" s="652" customFormat="1" ht="20.25" thickBot="1">
      <c r="A56" s="1025" t="s">
        <v>1788</v>
      </c>
      <c r="B56" s="1453" t="s">
        <v>1789</v>
      </c>
      <c r="C56" s="1026"/>
      <c r="D56" s="1042"/>
      <c r="E56" s="1472"/>
      <c r="F56" s="1081"/>
      <c r="I56" s="1473" t="s">
        <v>1933</v>
      </c>
      <c r="J56" s="1248">
        <f>ROUND(IF(J48="钢混",J58/J51,1-(1-2%)*(J51-J58)/J51),3)</f>
        <v>0.252</v>
      </c>
      <c r="K56" s="1474" t="s">
        <v>1934</v>
      </c>
      <c r="L56" s="990" t="s">
        <v>3078</v>
      </c>
      <c r="O56" s="1009" t="s">
        <v>769</v>
      </c>
      <c r="P56" s="1006" t="s">
        <v>1935</v>
      </c>
      <c r="Q56" s="1007">
        <f>IF(L56="比较法",L50,IF(L56="基准地价",L51,0))</f>
        <v>0</v>
      </c>
      <c r="R56" s="1008" t="s">
        <v>1900</v>
      </c>
    </row>
    <row r="57" spans="1:18" s="652" customFormat="1" ht="44.25" thickTop="1" thickBot="1">
      <c r="A57" s="1021">
        <v>2</v>
      </c>
      <c r="B57" s="1022" t="s">
        <v>1790</v>
      </c>
      <c r="C57" s="1080">
        <f ca="1">C13</f>
        <v>384934</v>
      </c>
      <c r="D57" s="941"/>
      <c r="E57" s="942"/>
      <c r="F57" s="949"/>
      <c r="I57" s="1475" t="s">
        <v>1936</v>
      </c>
      <c r="J57" s="993" t="s">
        <v>3038</v>
      </c>
      <c r="K57" s="1461" t="s">
        <v>1937</v>
      </c>
      <c r="L57" s="821" t="str">
        <f>IF(L49&lt;J52,"——",L49-J52)</f>
        <v>——</v>
      </c>
      <c r="O57" s="1009" t="s">
        <v>770</v>
      </c>
      <c r="P57" s="1006" t="s">
        <v>1938</v>
      </c>
      <c r="Q57" s="1010">
        <f>L53</f>
        <v>0</v>
      </c>
      <c r="R57" s="1008"/>
    </row>
    <row r="58" spans="1:18" s="652" customFormat="1" ht="29.25" thickBot="1">
      <c r="A58" s="948"/>
      <c r="B58" s="235" t="s">
        <v>1868</v>
      </c>
      <c r="C58" s="104">
        <f ca="1">C29</f>
        <v>405194</v>
      </c>
      <c r="D58" s="941"/>
      <c r="E58" s="942"/>
      <c r="F58" s="949"/>
      <c r="I58" s="1476" t="s">
        <v>1939</v>
      </c>
      <c r="J58" s="992">
        <f>IF(OR(M48="住宅",J52&lt;L49,J57="是"),"——",J52-L49)</f>
        <v>15.14</v>
      </c>
      <c r="K58" s="1461" t="s">
        <v>1940</v>
      </c>
      <c r="L58" s="821" t="str">
        <f>IF(L49&lt;J52,"——",IF(L56="比较法",L50,IF(L56="基准地价",L51,L52)))</f>
        <v>——</v>
      </c>
      <c r="O58" s="1009" t="s">
        <v>771</v>
      </c>
      <c r="P58" s="1006" t="s">
        <v>1941</v>
      </c>
      <c r="Q58" s="1007" t="e">
        <f>L59</f>
        <v>#DIV/0!</v>
      </c>
      <c r="R58" s="1008" t="s">
        <v>1942</v>
      </c>
    </row>
    <row r="59" spans="1:18" s="652" customFormat="1" ht="29.25" thickBot="1">
      <c r="A59" s="248" t="s">
        <v>14</v>
      </c>
      <c r="B59" s="249" t="s">
        <v>1871</v>
      </c>
      <c r="C59" s="250">
        <f ca="1">ROUND(C60+C65+C66+C67,0)</f>
        <v>38473</v>
      </c>
      <c r="D59" s="12" t="s">
        <v>1872</v>
      </c>
      <c r="E59" s="1261"/>
      <c r="F59" s="15"/>
      <c r="I59" s="1476" t="s">
        <v>1943</v>
      </c>
      <c r="J59" s="1247">
        <f>IF(J56&lt;0.4,0.4,J56)</f>
        <v>0.4</v>
      </c>
      <c r="K59" s="1467" t="s">
        <v>1944</v>
      </c>
      <c r="L59" s="821" t="e">
        <f>ROUND(POWER(1+L53,L48-L49)*(POWER(1+L53,L49)-1)/(POWER(1+L53,L48)-1),4)</f>
        <v>#DIV/0!</v>
      </c>
      <c r="O59" s="1009" t="s">
        <v>772</v>
      </c>
      <c r="P59" s="1006" t="str">
        <f>K60</f>
        <v>建筑物剩余耐用年限下的土地年期修正系数Kn</v>
      </c>
      <c r="Q59" s="1007" t="e">
        <f>L60</f>
        <v>#DIV/0!</v>
      </c>
      <c r="R59" s="1008" t="s">
        <v>1945</v>
      </c>
    </row>
    <row r="60" spans="1:18" s="652" customFormat="1" ht="29.25" thickBot="1">
      <c r="A60" s="253" t="s">
        <v>15</v>
      </c>
      <c r="B60" s="235" t="s">
        <v>1812</v>
      </c>
      <c r="C60" s="2744">
        <f ca="1">ROUND(IF(AND(项目基本情况!B7="自然人",项目基本情况!B6="北京市"),C50*F60/(1+'数据-取费表'!F30),C61+C62+C63),0)</f>
        <v>34036</v>
      </c>
      <c r="D60" s="1256" t="s">
        <v>1873</v>
      </c>
      <c r="E60" s="1259" t="s">
        <v>1874</v>
      </c>
      <c r="F60" s="2743" t="str">
        <f>IF(项目基本情况!B7="企业","——",IF('数据-取费表'!B10="住宅",IF(F50*F51*F52/12/(1+'数据-取费表'!F30)&gt;100000,4%,2.5%),IF(F50*F51*F52/12/(1+'数据-取费表'!F30)&gt;100000,12%,7%)))</f>
        <v>——</v>
      </c>
      <c r="I60" s="1476" t="s">
        <v>1946</v>
      </c>
      <c r="J60" s="992">
        <f ca="1">IF(OR(M48="住宅",J52&lt;L49,J57="是"),"——",ROUND(C29*J59,0))</f>
        <v>162078</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收益价值(元)</v>
      </c>
      <c r="Q60" s="1007">
        <f ca="1">ROUND(IF(C2="元",Q54+Q55,(Q54+Q55)/10000),0)</f>
        <v>1127334</v>
      </c>
      <c r="R60" s="1008" t="s">
        <v>774</v>
      </c>
    </row>
    <row r="61" spans="1:18" s="652" customFormat="1" ht="16.5" thickBot="1">
      <c r="A61" s="253" t="s">
        <v>16</v>
      </c>
      <c r="B61" s="235" t="s">
        <v>1875</v>
      </c>
      <c r="C61" s="13">
        <f ca="1">IF(项目基本情况!B7="自然人","——",ROUND(C49*F61/(1+'数据-取费表'!F30),0))</f>
        <v>0</v>
      </c>
      <c r="D61" s="1259" t="s">
        <v>1876</v>
      </c>
      <c r="E61" s="235" t="s">
        <v>1825</v>
      </c>
      <c r="F61" s="267">
        <f t="shared" ref="F61:F67" si="0">F32</f>
        <v>5.6000000000000001E-2</v>
      </c>
      <c r="I61" s="1477" t="s">
        <v>1947</v>
      </c>
      <c r="J61" s="991">
        <f ca="1">IF(OR(M48="住宅",J52&lt;L49,J57="是"),"0",ROUND(J60/(1+J53)^J54,0))</f>
        <v>7852</v>
      </c>
      <c r="K61" s="1478" t="s">
        <v>1948</v>
      </c>
      <c r="L61" s="991">
        <f>IF(OR(M48="住宅",L49&lt;J52),0,ROUND(L58*(L59/L60-1),0))</f>
        <v>0</v>
      </c>
      <c r="O61" s="999" t="s">
        <v>1949</v>
      </c>
      <c r="P61" s="1000"/>
      <c r="Q61" s="996"/>
      <c r="R61" s="1000"/>
    </row>
    <row r="62" spans="1:18" s="652" customFormat="1" ht="15.75" thickBot="1">
      <c r="A62" s="253" t="s">
        <v>17</v>
      </c>
      <c r="B62" s="235" t="s">
        <v>1950</v>
      </c>
      <c r="C62" s="13">
        <f ca="1">IF(项目基本情况!B7="自然人","——",IF(D62="按租金收入计税",ROUND(C50*F62/(1+'数据-取费表'!F30),0),IF(D62="按房产原值计税",ROUND(C58*F62*0.7,0),'数据-取费表'!B44)))</f>
        <v>34036</v>
      </c>
      <c r="D62" s="1364" t="s">
        <v>1822</v>
      </c>
      <c r="E62" s="235" t="s">
        <v>1825</v>
      </c>
      <c r="F62" s="258">
        <f t="shared" si="0"/>
        <v>0.12</v>
      </c>
      <c r="O62" s="1001" t="s">
        <v>1895</v>
      </c>
      <c r="P62" s="1002" t="s">
        <v>1896</v>
      </c>
      <c r="Q62" s="1003" t="s">
        <v>1897</v>
      </c>
      <c r="R62" s="1004" t="s">
        <v>1898</v>
      </c>
    </row>
    <row r="63" spans="1:18" s="652" customFormat="1" ht="15.75" thickBot="1">
      <c r="A63" s="260" t="s">
        <v>18</v>
      </c>
      <c r="B63" s="36" t="s">
        <v>1951</v>
      </c>
      <c r="C63" s="14">
        <f>IF(项目基本情况!B7="自然人","——",ROUND(F63*F64,0))</f>
        <v>0</v>
      </c>
      <c r="D63" s="261" t="s">
        <v>1952</v>
      </c>
      <c r="E63" s="235" t="s">
        <v>1953</v>
      </c>
      <c r="F63" s="262">
        <f t="shared" si="0"/>
        <v>0</v>
      </c>
      <c r="I63" s="1479" t="s">
        <v>1954</v>
      </c>
      <c r="J63" s="1251" t="s">
        <v>1955</v>
      </c>
      <c r="K63" s="1251" t="s">
        <v>1956</v>
      </c>
      <c r="L63" s="1251" t="s">
        <v>1957</v>
      </c>
      <c r="M63" s="1250" t="s">
        <v>1958</v>
      </c>
      <c r="O63" s="1005" t="s">
        <v>767</v>
      </c>
      <c r="P63" s="1006" t="s">
        <v>1899</v>
      </c>
      <c r="Q63" s="1007">
        <f ca="1">C40+J29</f>
        <v>1127334</v>
      </c>
      <c r="R63" s="1008" t="s">
        <v>1900</v>
      </c>
    </row>
    <row r="64" spans="1:18" s="652" customFormat="1" ht="20.25" thickBot="1">
      <c r="A64" s="263"/>
      <c r="B64" s="244"/>
      <c r="C64" s="17"/>
      <c r="D64" s="264"/>
      <c r="E64" s="235" t="s">
        <v>1959</v>
      </c>
      <c r="F64" s="236">
        <f t="shared" si="0"/>
        <v>0</v>
      </c>
      <c r="I64" s="1479" t="s">
        <v>1960</v>
      </c>
      <c r="J64" s="1251">
        <v>70</v>
      </c>
      <c r="K64" s="1251">
        <v>50</v>
      </c>
      <c r="L64" s="1251">
        <v>80</v>
      </c>
      <c r="M64" s="1249">
        <v>0.02</v>
      </c>
      <c r="O64" s="1005" t="s">
        <v>768</v>
      </c>
      <c r="P64" s="1006" t="s">
        <v>1931</v>
      </c>
      <c r="Q64" s="1007">
        <f>L61</f>
        <v>0</v>
      </c>
      <c r="R64" s="1008" t="s">
        <v>1932</v>
      </c>
    </row>
    <row r="65" spans="1:18" s="652" customFormat="1" ht="23.25" thickBot="1">
      <c r="A65" s="253" t="s">
        <v>19</v>
      </c>
      <c r="B65" s="235" t="s">
        <v>1880</v>
      </c>
      <c r="C65" s="13">
        <f ca="1">ROUND(C58*F65,0)</f>
        <v>4052</v>
      </c>
      <c r="D65" s="1259" t="s">
        <v>1881</v>
      </c>
      <c r="E65" s="235" t="s">
        <v>1825</v>
      </c>
      <c r="F65" s="265">
        <f t="shared" si="0"/>
        <v>0.01</v>
      </c>
      <c r="I65" s="1479" t="s">
        <v>1961</v>
      </c>
      <c r="J65" s="1251">
        <v>50</v>
      </c>
      <c r="K65" s="1251">
        <v>35</v>
      </c>
      <c r="L65" s="1251">
        <v>60</v>
      </c>
      <c r="M65" s="1250">
        <v>0</v>
      </c>
      <c r="O65" s="1009" t="s">
        <v>769</v>
      </c>
      <c r="P65" s="1006" t="s">
        <v>1935</v>
      </c>
      <c r="Q65" s="1011">
        <f ca="1">L52</f>
        <v>20643861</v>
      </c>
      <c r="R65" s="1012" t="s">
        <v>1962</v>
      </c>
    </row>
    <row r="66" spans="1:18" s="652" customFormat="1" ht="20.25" thickBot="1">
      <c r="A66" s="253" t="s">
        <v>20</v>
      </c>
      <c r="B66" s="235" t="s">
        <v>1840</v>
      </c>
      <c r="C66" s="13">
        <f ca="1">ROUND(C57*F66,0)</f>
        <v>385</v>
      </c>
      <c r="D66" s="1259" t="s">
        <v>1841</v>
      </c>
      <c r="E66" s="235" t="s">
        <v>1842</v>
      </c>
      <c r="F66" s="266">
        <f t="shared" si="0"/>
        <v>1E-3</v>
      </c>
      <c r="I66" s="1479" t="s">
        <v>1963</v>
      </c>
      <c r="J66" s="1251">
        <v>40</v>
      </c>
      <c r="K66" s="1251">
        <v>30</v>
      </c>
      <c r="L66" s="1251">
        <v>50</v>
      </c>
      <c r="M66" s="1249">
        <v>0.02</v>
      </c>
      <c r="O66" s="1009" t="s">
        <v>770</v>
      </c>
      <c r="P66" s="1013" t="s">
        <v>1964</v>
      </c>
      <c r="Q66" s="1007">
        <f ca="1">ROUND(Q67-Q68*Q69,0)</f>
        <v>17540</v>
      </c>
      <c r="R66" s="1008"/>
    </row>
    <row r="67" spans="1:18" s="652" customFormat="1" ht="15.75" thickBot="1">
      <c r="A67" s="253" t="s">
        <v>21</v>
      </c>
      <c r="B67" s="235" t="s">
        <v>1823</v>
      </c>
      <c r="C67" s="13">
        <f ca="1">ROUND(C49*F67,0)</f>
        <v>0</v>
      </c>
      <c r="D67" s="1259" t="s">
        <v>1846</v>
      </c>
      <c r="E67" s="235" t="s">
        <v>1842</v>
      </c>
      <c r="F67" s="245">
        <f t="shared" si="0"/>
        <v>0.01</v>
      </c>
      <c r="O67" s="1009" t="s">
        <v>775</v>
      </c>
      <c r="P67" s="1013" t="s">
        <v>1965</v>
      </c>
      <c r="Q67" s="1007">
        <f ca="1">C39</f>
        <v>44485</v>
      </c>
      <c r="R67" s="1008" t="s">
        <v>1900</v>
      </c>
    </row>
    <row r="68" spans="1:18" ht="15.75" thickBot="1">
      <c r="A68" s="248" t="s">
        <v>22</v>
      </c>
      <c r="B68" s="41" t="s">
        <v>1850</v>
      </c>
      <c r="C68" s="250">
        <f ca="1">C49-C59</f>
        <v>-38473</v>
      </c>
      <c r="D68" s="1256" t="s">
        <v>1851</v>
      </c>
      <c r="E68" s="1258"/>
      <c r="F68" s="268"/>
      <c r="H68" s="652"/>
      <c r="I68" s="652"/>
      <c r="J68" s="652"/>
      <c r="K68" s="652"/>
      <c r="L68" s="652"/>
      <c r="M68" s="652"/>
      <c r="O68" s="1009" t="s">
        <v>776</v>
      </c>
      <c r="P68" s="1013" t="s">
        <v>1966</v>
      </c>
      <c r="Q68" s="1007">
        <f ca="1">C13</f>
        <v>384934</v>
      </c>
      <c r="R68" s="1008" t="s">
        <v>1900</v>
      </c>
    </row>
    <row r="69" spans="1:18" ht="15.75" thickBot="1">
      <c r="A69" s="232" t="s">
        <v>23</v>
      </c>
      <c r="B69" s="233" t="s">
        <v>1888</v>
      </c>
      <c r="C69" s="234">
        <f ca="1">ROUND(C68*(1-((1+F71)/(1+F69))^F70)/(F69-F71),0)</f>
        <v>-625131</v>
      </c>
      <c r="D69" s="261" t="s">
        <v>1856</v>
      </c>
      <c r="E69" s="235" t="s">
        <v>1857</v>
      </c>
      <c r="F69" s="245">
        <f>F40</f>
        <v>5.5E-2</v>
      </c>
      <c r="H69" s="652"/>
      <c r="I69" s="652"/>
      <c r="J69" s="652"/>
      <c r="K69" s="652"/>
      <c r="L69" s="652"/>
      <c r="M69" s="652"/>
      <c r="O69" s="1009" t="s">
        <v>777</v>
      </c>
      <c r="P69" s="1013" t="s">
        <v>1967</v>
      </c>
      <c r="Q69" s="1010">
        <f>J35</f>
        <v>7.0000000000000007E-2</v>
      </c>
      <c r="R69" s="1008"/>
    </row>
    <row r="70" spans="1:18" ht="15.75" thickBot="1">
      <c r="A70" s="237"/>
      <c r="B70" s="238"/>
      <c r="C70" s="239"/>
      <c r="D70" s="269" t="s">
        <v>1890</v>
      </c>
      <c r="E70" s="235" t="s">
        <v>1862</v>
      </c>
      <c r="F70" s="270">
        <f>F41</f>
        <v>41.86</v>
      </c>
      <c r="H70" s="652"/>
      <c r="I70" s="652"/>
      <c r="J70" s="652"/>
      <c r="K70" s="652"/>
      <c r="L70" s="652"/>
      <c r="M70" s="652"/>
      <c r="O70" s="1009" t="s">
        <v>771</v>
      </c>
      <c r="P70" s="1006" t="s">
        <v>1938</v>
      </c>
      <c r="Q70" s="1010">
        <f>L53</f>
        <v>0</v>
      </c>
      <c r="R70" s="1008"/>
    </row>
    <row r="71" spans="1:18" ht="20.25" thickBot="1">
      <c r="A71" s="241"/>
      <c r="B71" s="242"/>
      <c r="C71" s="243"/>
      <c r="D71" s="264"/>
      <c r="E71" s="235" t="s">
        <v>1866</v>
      </c>
      <c r="F71" s="994"/>
      <c r="H71" s="652"/>
      <c r="M71" s="652"/>
      <c r="O71" s="1009" t="s">
        <v>772</v>
      </c>
      <c r="P71" s="1006" t="s">
        <v>1941</v>
      </c>
      <c r="Q71" s="1007" t="e">
        <f>L59</f>
        <v>#DIV/0!</v>
      </c>
      <c r="R71" s="1008" t="s">
        <v>1942</v>
      </c>
    </row>
    <row r="72" spans="1:18" ht="15.75" thickBot="1">
      <c r="A72" s="271" t="s">
        <v>24</v>
      </c>
      <c r="B72" s="272" t="s">
        <v>1891</v>
      </c>
      <c r="C72" s="273">
        <f ca="1">ROUND(C69/F72,0)</f>
        <v>-8478</v>
      </c>
      <c r="D72" s="274" t="s">
        <v>1892</v>
      </c>
      <c r="E72" s="275" t="s">
        <v>1893</v>
      </c>
      <c r="F72" s="276">
        <f>F43</f>
        <v>73.739999999999995</v>
      </c>
      <c r="O72" s="1009" t="s">
        <v>778</v>
      </c>
      <c r="P72" s="1006" t="str">
        <f>K60</f>
        <v>建筑物剩余耐用年限下的土地年期修正系数Kn</v>
      </c>
      <c r="Q72" s="1007" t="e">
        <f>L60</f>
        <v>#DIV/0!</v>
      </c>
      <c r="R72" s="1008" t="s">
        <v>1945</v>
      </c>
    </row>
    <row r="73" spans="1:18" ht="15.75" thickBot="1">
      <c r="A73" s="652"/>
      <c r="B73" s="656"/>
      <c r="C73" s="656"/>
      <c r="D73" s="652"/>
      <c r="E73" s="652"/>
      <c r="F73" s="652"/>
      <c r="O73" s="1005" t="s">
        <v>773</v>
      </c>
      <c r="P73" s="1006" t="str">
        <f>IF(C2="元","收益价值(元)","收益价值(万元)")</f>
        <v>收益价值(元)</v>
      </c>
      <c r="Q73" s="1007">
        <f ca="1">ROUND(IF(C2="元",Q63+Q64,(Q63+Q64)/10000),0)</f>
        <v>1127334</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G53" sqref="G53"/>
    </sheetView>
  </sheetViews>
  <sheetFormatPr defaultRowHeight="13.15" customHeight="1"/>
  <cols>
    <col min="1" max="1" width="9.5" style="3084" customWidth="1"/>
    <col min="2" max="2" width="8.875" style="3084"/>
    <col min="3" max="5" width="12.875" style="3084" customWidth="1"/>
    <col min="6" max="6" width="47.5" style="3084" customWidth="1"/>
    <col min="7" max="7" width="13" style="3257" customWidth="1"/>
    <col min="8" max="8" width="8.875" style="3177"/>
    <col min="9" max="9" width="8.875" style="3178"/>
    <col min="10" max="10" width="5.75" style="3258" customWidth="1"/>
    <col min="11" max="11" width="11.75" style="3258" customWidth="1"/>
    <col min="12" max="13" width="10.75" style="3258" customWidth="1"/>
    <col min="14" max="14" width="10" style="3258" customWidth="1"/>
    <col min="15" max="16" width="10.5" style="3258" bestFit="1" customWidth="1"/>
    <col min="17" max="17" width="10" style="3258" customWidth="1"/>
    <col min="18" max="18" width="10.125" style="3258" customWidth="1"/>
    <col min="19" max="19" width="10" style="3258" customWidth="1"/>
    <col min="20" max="20" width="26.125" style="3258" customWidth="1"/>
    <col min="21" max="21" width="8.875" style="3258"/>
    <col min="22" max="22" width="8.875" style="3178"/>
    <col min="23" max="23" width="8.875" style="3177"/>
    <col min="24" max="256" width="8.875" style="3084"/>
    <col min="257" max="257" width="9.5" style="3084" customWidth="1"/>
    <col min="258" max="258" width="8.875" style="3084"/>
    <col min="259" max="261" width="12.875" style="3084" customWidth="1"/>
    <col min="262" max="262" width="47.5" style="3084" customWidth="1"/>
    <col min="263" max="263" width="13" style="3084" customWidth="1"/>
    <col min="264" max="265" width="8.875" style="3084"/>
    <col min="266" max="266" width="5.75" style="3084" customWidth="1"/>
    <col min="267" max="267" width="11.75" style="3084" customWidth="1"/>
    <col min="268" max="269" width="10.75" style="3084" customWidth="1"/>
    <col min="270" max="270" width="10" style="3084" customWidth="1"/>
    <col min="271" max="272" width="10.5" style="3084" bestFit="1" customWidth="1"/>
    <col min="273" max="273" width="10" style="3084" customWidth="1"/>
    <col min="274" max="274" width="10.125" style="3084" customWidth="1"/>
    <col min="275" max="275" width="10" style="3084" customWidth="1"/>
    <col min="276" max="276" width="26.125" style="3084" customWidth="1"/>
    <col min="277" max="512" width="8.875" style="3084"/>
    <col min="513" max="513" width="9.5" style="3084" customWidth="1"/>
    <col min="514" max="514" width="8.875" style="3084"/>
    <col min="515" max="517" width="12.875" style="3084" customWidth="1"/>
    <col min="518" max="518" width="47.5" style="3084" customWidth="1"/>
    <col min="519" max="519" width="13" style="3084" customWidth="1"/>
    <col min="520" max="521" width="8.875" style="3084"/>
    <col min="522" max="522" width="5.75" style="3084" customWidth="1"/>
    <col min="523" max="523" width="11.75" style="3084" customWidth="1"/>
    <col min="524" max="525" width="10.75" style="3084" customWidth="1"/>
    <col min="526" max="526" width="10" style="3084" customWidth="1"/>
    <col min="527" max="528" width="10.5" style="3084" bestFit="1" customWidth="1"/>
    <col min="529" max="529" width="10" style="3084" customWidth="1"/>
    <col min="530" max="530" width="10.125" style="3084" customWidth="1"/>
    <col min="531" max="531" width="10" style="3084" customWidth="1"/>
    <col min="532" max="532" width="26.125" style="3084" customWidth="1"/>
    <col min="533" max="768" width="8.875" style="3084"/>
    <col min="769" max="769" width="9.5" style="3084" customWidth="1"/>
    <col min="770" max="770" width="8.875" style="3084"/>
    <col min="771" max="773" width="12.875" style="3084" customWidth="1"/>
    <col min="774" max="774" width="47.5" style="3084" customWidth="1"/>
    <col min="775" max="775" width="13" style="3084" customWidth="1"/>
    <col min="776" max="777" width="8.875" style="3084"/>
    <col min="778" max="778" width="5.75" style="3084" customWidth="1"/>
    <col min="779" max="779" width="11.75" style="3084" customWidth="1"/>
    <col min="780" max="781" width="10.75" style="3084" customWidth="1"/>
    <col min="782" max="782" width="10" style="3084" customWidth="1"/>
    <col min="783" max="784" width="10.5" style="3084" bestFit="1" customWidth="1"/>
    <col min="785" max="785" width="10" style="3084" customWidth="1"/>
    <col min="786" max="786" width="10.125" style="3084" customWidth="1"/>
    <col min="787" max="787" width="10" style="3084" customWidth="1"/>
    <col min="788" max="788" width="26.125" style="3084" customWidth="1"/>
    <col min="789" max="1024" width="8.875" style="3084"/>
    <col min="1025" max="1025" width="9.5" style="3084" customWidth="1"/>
    <col min="1026" max="1026" width="8.875" style="3084"/>
    <col min="1027" max="1029" width="12.875" style="3084" customWidth="1"/>
    <col min="1030" max="1030" width="47.5" style="3084" customWidth="1"/>
    <col min="1031" max="1031" width="13" style="3084" customWidth="1"/>
    <col min="1032" max="1033" width="8.875" style="3084"/>
    <col min="1034" max="1034" width="5.75" style="3084" customWidth="1"/>
    <col min="1035" max="1035" width="11.75" style="3084" customWidth="1"/>
    <col min="1036" max="1037" width="10.75" style="3084" customWidth="1"/>
    <col min="1038" max="1038" width="10" style="3084" customWidth="1"/>
    <col min="1039" max="1040" width="10.5" style="3084" bestFit="1" customWidth="1"/>
    <col min="1041" max="1041" width="10" style="3084" customWidth="1"/>
    <col min="1042" max="1042" width="10.125" style="3084" customWidth="1"/>
    <col min="1043" max="1043" width="10" style="3084" customWidth="1"/>
    <col min="1044" max="1044" width="26.125" style="3084" customWidth="1"/>
    <col min="1045" max="1280" width="8.875" style="3084"/>
    <col min="1281" max="1281" width="9.5" style="3084" customWidth="1"/>
    <col min="1282" max="1282" width="8.875" style="3084"/>
    <col min="1283" max="1285" width="12.875" style="3084" customWidth="1"/>
    <col min="1286" max="1286" width="47.5" style="3084" customWidth="1"/>
    <col min="1287" max="1287" width="13" style="3084" customWidth="1"/>
    <col min="1288" max="1289" width="8.875" style="3084"/>
    <col min="1290" max="1290" width="5.75" style="3084" customWidth="1"/>
    <col min="1291" max="1291" width="11.75" style="3084" customWidth="1"/>
    <col min="1292" max="1293" width="10.75" style="3084" customWidth="1"/>
    <col min="1294" max="1294" width="10" style="3084" customWidth="1"/>
    <col min="1295" max="1296" width="10.5" style="3084" bestFit="1" customWidth="1"/>
    <col min="1297" max="1297" width="10" style="3084" customWidth="1"/>
    <col min="1298" max="1298" width="10.125" style="3084" customWidth="1"/>
    <col min="1299" max="1299" width="10" style="3084" customWidth="1"/>
    <col min="1300" max="1300" width="26.125" style="3084" customWidth="1"/>
    <col min="1301" max="1536" width="8.875" style="3084"/>
    <col min="1537" max="1537" width="9.5" style="3084" customWidth="1"/>
    <col min="1538" max="1538" width="8.875" style="3084"/>
    <col min="1539" max="1541" width="12.875" style="3084" customWidth="1"/>
    <col min="1542" max="1542" width="47.5" style="3084" customWidth="1"/>
    <col min="1543" max="1543" width="13" style="3084" customWidth="1"/>
    <col min="1544" max="1545" width="8.875" style="3084"/>
    <col min="1546" max="1546" width="5.75" style="3084" customWidth="1"/>
    <col min="1547" max="1547" width="11.75" style="3084" customWidth="1"/>
    <col min="1548" max="1549" width="10.75" style="3084" customWidth="1"/>
    <col min="1550" max="1550" width="10" style="3084" customWidth="1"/>
    <col min="1551" max="1552" width="10.5" style="3084" bestFit="1" customWidth="1"/>
    <col min="1553" max="1553" width="10" style="3084" customWidth="1"/>
    <col min="1554" max="1554" width="10.125" style="3084" customWidth="1"/>
    <col min="1555" max="1555" width="10" style="3084" customWidth="1"/>
    <col min="1556" max="1556" width="26.125" style="3084" customWidth="1"/>
    <col min="1557" max="1792" width="8.875" style="3084"/>
    <col min="1793" max="1793" width="9.5" style="3084" customWidth="1"/>
    <col min="1794" max="1794" width="8.875" style="3084"/>
    <col min="1795" max="1797" width="12.875" style="3084" customWidth="1"/>
    <col min="1798" max="1798" width="47.5" style="3084" customWidth="1"/>
    <col min="1799" max="1799" width="13" style="3084" customWidth="1"/>
    <col min="1800" max="1801" width="8.875" style="3084"/>
    <col min="1802" max="1802" width="5.75" style="3084" customWidth="1"/>
    <col min="1803" max="1803" width="11.75" style="3084" customWidth="1"/>
    <col min="1804" max="1805" width="10.75" style="3084" customWidth="1"/>
    <col min="1806" max="1806" width="10" style="3084" customWidth="1"/>
    <col min="1807" max="1808" width="10.5" style="3084" bestFit="1" customWidth="1"/>
    <col min="1809" max="1809" width="10" style="3084" customWidth="1"/>
    <col min="1810" max="1810" width="10.125" style="3084" customWidth="1"/>
    <col min="1811" max="1811" width="10" style="3084" customWidth="1"/>
    <col min="1812" max="1812" width="26.125" style="3084" customWidth="1"/>
    <col min="1813" max="2048" width="8.875" style="3084"/>
    <col min="2049" max="2049" width="9.5" style="3084" customWidth="1"/>
    <col min="2050" max="2050" width="8.875" style="3084"/>
    <col min="2051" max="2053" width="12.875" style="3084" customWidth="1"/>
    <col min="2054" max="2054" width="47.5" style="3084" customWidth="1"/>
    <col min="2055" max="2055" width="13" style="3084" customWidth="1"/>
    <col min="2056" max="2057" width="8.875" style="3084"/>
    <col min="2058" max="2058" width="5.75" style="3084" customWidth="1"/>
    <col min="2059" max="2059" width="11.75" style="3084" customWidth="1"/>
    <col min="2060" max="2061" width="10.75" style="3084" customWidth="1"/>
    <col min="2062" max="2062" width="10" style="3084" customWidth="1"/>
    <col min="2063" max="2064" width="10.5" style="3084" bestFit="1" customWidth="1"/>
    <col min="2065" max="2065" width="10" style="3084" customWidth="1"/>
    <col min="2066" max="2066" width="10.125" style="3084" customWidth="1"/>
    <col min="2067" max="2067" width="10" style="3084" customWidth="1"/>
    <col min="2068" max="2068" width="26.125" style="3084" customWidth="1"/>
    <col min="2069" max="2304" width="8.875" style="3084"/>
    <col min="2305" max="2305" width="9.5" style="3084" customWidth="1"/>
    <col min="2306" max="2306" width="8.875" style="3084"/>
    <col min="2307" max="2309" width="12.875" style="3084" customWidth="1"/>
    <col min="2310" max="2310" width="47.5" style="3084" customWidth="1"/>
    <col min="2311" max="2311" width="13" style="3084" customWidth="1"/>
    <col min="2312" max="2313" width="8.875" style="3084"/>
    <col min="2314" max="2314" width="5.75" style="3084" customWidth="1"/>
    <col min="2315" max="2315" width="11.75" style="3084" customWidth="1"/>
    <col min="2316" max="2317" width="10.75" style="3084" customWidth="1"/>
    <col min="2318" max="2318" width="10" style="3084" customWidth="1"/>
    <col min="2319" max="2320" width="10.5" style="3084" bestFit="1" customWidth="1"/>
    <col min="2321" max="2321" width="10" style="3084" customWidth="1"/>
    <col min="2322" max="2322" width="10.125" style="3084" customWidth="1"/>
    <col min="2323" max="2323" width="10" style="3084" customWidth="1"/>
    <col min="2324" max="2324" width="26.125" style="3084" customWidth="1"/>
    <col min="2325" max="2560" width="8.875" style="3084"/>
    <col min="2561" max="2561" width="9.5" style="3084" customWidth="1"/>
    <col min="2562" max="2562" width="8.875" style="3084"/>
    <col min="2563" max="2565" width="12.875" style="3084" customWidth="1"/>
    <col min="2566" max="2566" width="47.5" style="3084" customWidth="1"/>
    <col min="2567" max="2567" width="13" style="3084" customWidth="1"/>
    <col min="2568" max="2569" width="8.875" style="3084"/>
    <col min="2570" max="2570" width="5.75" style="3084" customWidth="1"/>
    <col min="2571" max="2571" width="11.75" style="3084" customWidth="1"/>
    <col min="2572" max="2573" width="10.75" style="3084" customWidth="1"/>
    <col min="2574" max="2574" width="10" style="3084" customWidth="1"/>
    <col min="2575" max="2576" width="10.5" style="3084" bestFit="1" customWidth="1"/>
    <col min="2577" max="2577" width="10" style="3084" customWidth="1"/>
    <col min="2578" max="2578" width="10.125" style="3084" customWidth="1"/>
    <col min="2579" max="2579" width="10" style="3084" customWidth="1"/>
    <col min="2580" max="2580" width="26.125" style="3084" customWidth="1"/>
    <col min="2581" max="2816" width="8.875" style="3084"/>
    <col min="2817" max="2817" width="9.5" style="3084" customWidth="1"/>
    <col min="2818" max="2818" width="8.875" style="3084"/>
    <col min="2819" max="2821" width="12.875" style="3084" customWidth="1"/>
    <col min="2822" max="2822" width="47.5" style="3084" customWidth="1"/>
    <col min="2823" max="2823" width="13" style="3084" customWidth="1"/>
    <col min="2824" max="2825" width="8.875" style="3084"/>
    <col min="2826" max="2826" width="5.75" style="3084" customWidth="1"/>
    <col min="2827" max="2827" width="11.75" style="3084" customWidth="1"/>
    <col min="2828" max="2829" width="10.75" style="3084" customWidth="1"/>
    <col min="2830" max="2830" width="10" style="3084" customWidth="1"/>
    <col min="2831" max="2832" width="10.5" style="3084" bestFit="1" customWidth="1"/>
    <col min="2833" max="2833" width="10" style="3084" customWidth="1"/>
    <col min="2834" max="2834" width="10.125" style="3084" customWidth="1"/>
    <col min="2835" max="2835" width="10" style="3084" customWidth="1"/>
    <col min="2836" max="2836" width="26.125" style="3084" customWidth="1"/>
    <col min="2837" max="3072" width="8.875" style="3084"/>
    <col min="3073" max="3073" width="9.5" style="3084" customWidth="1"/>
    <col min="3074" max="3074" width="8.875" style="3084"/>
    <col min="3075" max="3077" width="12.875" style="3084" customWidth="1"/>
    <col min="3078" max="3078" width="47.5" style="3084" customWidth="1"/>
    <col min="3079" max="3079" width="13" style="3084" customWidth="1"/>
    <col min="3080" max="3081" width="8.875" style="3084"/>
    <col min="3082" max="3082" width="5.75" style="3084" customWidth="1"/>
    <col min="3083" max="3083" width="11.75" style="3084" customWidth="1"/>
    <col min="3084" max="3085" width="10.75" style="3084" customWidth="1"/>
    <col min="3086" max="3086" width="10" style="3084" customWidth="1"/>
    <col min="3087" max="3088" width="10.5" style="3084" bestFit="1" customWidth="1"/>
    <col min="3089" max="3089" width="10" style="3084" customWidth="1"/>
    <col min="3090" max="3090" width="10.125" style="3084" customWidth="1"/>
    <col min="3091" max="3091" width="10" style="3084" customWidth="1"/>
    <col min="3092" max="3092" width="26.125" style="3084" customWidth="1"/>
    <col min="3093" max="3328" width="8.875" style="3084"/>
    <col min="3329" max="3329" width="9.5" style="3084" customWidth="1"/>
    <col min="3330" max="3330" width="8.875" style="3084"/>
    <col min="3331" max="3333" width="12.875" style="3084" customWidth="1"/>
    <col min="3334" max="3334" width="47.5" style="3084" customWidth="1"/>
    <col min="3335" max="3335" width="13" style="3084" customWidth="1"/>
    <col min="3336" max="3337" width="8.875" style="3084"/>
    <col min="3338" max="3338" width="5.75" style="3084" customWidth="1"/>
    <col min="3339" max="3339" width="11.75" style="3084" customWidth="1"/>
    <col min="3340" max="3341" width="10.75" style="3084" customWidth="1"/>
    <col min="3342" max="3342" width="10" style="3084" customWidth="1"/>
    <col min="3343" max="3344" width="10.5" style="3084" bestFit="1" customWidth="1"/>
    <col min="3345" max="3345" width="10" style="3084" customWidth="1"/>
    <col min="3346" max="3346" width="10.125" style="3084" customWidth="1"/>
    <col min="3347" max="3347" width="10" style="3084" customWidth="1"/>
    <col min="3348" max="3348" width="26.125" style="3084" customWidth="1"/>
    <col min="3349" max="3584" width="8.875" style="3084"/>
    <col min="3585" max="3585" width="9.5" style="3084" customWidth="1"/>
    <col min="3586" max="3586" width="8.875" style="3084"/>
    <col min="3587" max="3589" width="12.875" style="3084" customWidth="1"/>
    <col min="3590" max="3590" width="47.5" style="3084" customWidth="1"/>
    <col min="3591" max="3591" width="13" style="3084" customWidth="1"/>
    <col min="3592" max="3593" width="8.875" style="3084"/>
    <col min="3594" max="3594" width="5.75" style="3084" customWidth="1"/>
    <col min="3595" max="3595" width="11.75" style="3084" customWidth="1"/>
    <col min="3596" max="3597" width="10.75" style="3084" customWidth="1"/>
    <col min="3598" max="3598" width="10" style="3084" customWidth="1"/>
    <col min="3599" max="3600" width="10.5" style="3084" bestFit="1" customWidth="1"/>
    <col min="3601" max="3601" width="10" style="3084" customWidth="1"/>
    <col min="3602" max="3602" width="10.125" style="3084" customWidth="1"/>
    <col min="3603" max="3603" width="10" style="3084" customWidth="1"/>
    <col min="3604" max="3604" width="26.125" style="3084" customWidth="1"/>
    <col min="3605" max="3840" width="8.875" style="3084"/>
    <col min="3841" max="3841" width="9.5" style="3084" customWidth="1"/>
    <col min="3842" max="3842" width="8.875" style="3084"/>
    <col min="3843" max="3845" width="12.875" style="3084" customWidth="1"/>
    <col min="3846" max="3846" width="47.5" style="3084" customWidth="1"/>
    <col min="3847" max="3847" width="13" style="3084" customWidth="1"/>
    <col min="3848" max="3849" width="8.875" style="3084"/>
    <col min="3850" max="3850" width="5.75" style="3084" customWidth="1"/>
    <col min="3851" max="3851" width="11.75" style="3084" customWidth="1"/>
    <col min="3852" max="3853" width="10.75" style="3084" customWidth="1"/>
    <col min="3854" max="3854" width="10" style="3084" customWidth="1"/>
    <col min="3855" max="3856" width="10.5" style="3084" bestFit="1" customWidth="1"/>
    <col min="3857" max="3857" width="10" style="3084" customWidth="1"/>
    <col min="3858" max="3858" width="10.125" style="3084" customWidth="1"/>
    <col min="3859" max="3859" width="10" style="3084" customWidth="1"/>
    <col min="3860" max="3860" width="26.125" style="3084" customWidth="1"/>
    <col min="3861" max="4096" width="8.875" style="3084"/>
    <col min="4097" max="4097" width="9.5" style="3084" customWidth="1"/>
    <col min="4098" max="4098" width="8.875" style="3084"/>
    <col min="4099" max="4101" width="12.875" style="3084" customWidth="1"/>
    <col min="4102" max="4102" width="47.5" style="3084" customWidth="1"/>
    <col min="4103" max="4103" width="13" style="3084" customWidth="1"/>
    <col min="4104" max="4105" width="8.875" style="3084"/>
    <col min="4106" max="4106" width="5.75" style="3084" customWidth="1"/>
    <col min="4107" max="4107" width="11.75" style="3084" customWidth="1"/>
    <col min="4108" max="4109" width="10.75" style="3084" customWidth="1"/>
    <col min="4110" max="4110" width="10" style="3084" customWidth="1"/>
    <col min="4111" max="4112" width="10.5" style="3084" bestFit="1" customWidth="1"/>
    <col min="4113" max="4113" width="10" style="3084" customWidth="1"/>
    <col min="4114" max="4114" width="10.125" style="3084" customWidth="1"/>
    <col min="4115" max="4115" width="10" style="3084" customWidth="1"/>
    <col min="4116" max="4116" width="26.125" style="3084" customWidth="1"/>
    <col min="4117" max="4352" width="8.875" style="3084"/>
    <col min="4353" max="4353" width="9.5" style="3084" customWidth="1"/>
    <col min="4354" max="4354" width="8.875" style="3084"/>
    <col min="4355" max="4357" width="12.875" style="3084" customWidth="1"/>
    <col min="4358" max="4358" width="47.5" style="3084" customWidth="1"/>
    <col min="4359" max="4359" width="13" style="3084" customWidth="1"/>
    <col min="4360" max="4361" width="8.875" style="3084"/>
    <col min="4362" max="4362" width="5.75" style="3084" customWidth="1"/>
    <col min="4363" max="4363" width="11.75" style="3084" customWidth="1"/>
    <col min="4364" max="4365" width="10.75" style="3084" customWidth="1"/>
    <col min="4366" max="4366" width="10" style="3084" customWidth="1"/>
    <col min="4367" max="4368" width="10.5" style="3084" bestFit="1" customWidth="1"/>
    <col min="4369" max="4369" width="10" style="3084" customWidth="1"/>
    <col min="4370" max="4370" width="10.125" style="3084" customWidth="1"/>
    <col min="4371" max="4371" width="10" style="3084" customWidth="1"/>
    <col min="4372" max="4372" width="26.125" style="3084" customWidth="1"/>
    <col min="4373" max="4608" width="8.875" style="3084"/>
    <col min="4609" max="4609" width="9.5" style="3084" customWidth="1"/>
    <col min="4610" max="4610" width="8.875" style="3084"/>
    <col min="4611" max="4613" width="12.875" style="3084" customWidth="1"/>
    <col min="4614" max="4614" width="47.5" style="3084" customWidth="1"/>
    <col min="4615" max="4615" width="13" style="3084" customWidth="1"/>
    <col min="4616" max="4617" width="8.875" style="3084"/>
    <col min="4618" max="4618" width="5.75" style="3084" customWidth="1"/>
    <col min="4619" max="4619" width="11.75" style="3084" customWidth="1"/>
    <col min="4620" max="4621" width="10.75" style="3084" customWidth="1"/>
    <col min="4622" max="4622" width="10" style="3084" customWidth="1"/>
    <col min="4623" max="4624" width="10.5" style="3084" bestFit="1" customWidth="1"/>
    <col min="4625" max="4625" width="10" style="3084" customWidth="1"/>
    <col min="4626" max="4626" width="10.125" style="3084" customWidth="1"/>
    <col min="4627" max="4627" width="10" style="3084" customWidth="1"/>
    <col min="4628" max="4628" width="26.125" style="3084" customWidth="1"/>
    <col min="4629" max="4864" width="8.875" style="3084"/>
    <col min="4865" max="4865" width="9.5" style="3084" customWidth="1"/>
    <col min="4866" max="4866" width="8.875" style="3084"/>
    <col min="4867" max="4869" width="12.875" style="3084" customWidth="1"/>
    <col min="4870" max="4870" width="47.5" style="3084" customWidth="1"/>
    <col min="4871" max="4871" width="13" style="3084" customWidth="1"/>
    <col min="4872" max="4873" width="8.875" style="3084"/>
    <col min="4874" max="4874" width="5.75" style="3084" customWidth="1"/>
    <col min="4875" max="4875" width="11.75" style="3084" customWidth="1"/>
    <col min="4876" max="4877" width="10.75" style="3084" customWidth="1"/>
    <col min="4878" max="4878" width="10" style="3084" customWidth="1"/>
    <col min="4879" max="4880" width="10.5" style="3084" bestFit="1" customWidth="1"/>
    <col min="4881" max="4881" width="10" style="3084" customWidth="1"/>
    <col min="4882" max="4882" width="10.125" style="3084" customWidth="1"/>
    <col min="4883" max="4883" width="10" style="3084" customWidth="1"/>
    <col min="4884" max="4884" width="26.125" style="3084" customWidth="1"/>
    <col min="4885" max="5120" width="8.875" style="3084"/>
    <col min="5121" max="5121" width="9.5" style="3084" customWidth="1"/>
    <col min="5122" max="5122" width="8.875" style="3084"/>
    <col min="5123" max="5125" width="12.875" style="3084" customWidth="1"/>
    <col min="5126" max="5126" width="47.5" style="3084" customWidth="1"/>
    <col min="5127" max="5127" width="13" style="3084" customWidth="1"/>
    <col min="5128" max="5129" width="8.875" style="3084"/>
    <col min="5130" max="5130" width="5.75" style="3084" customWidth="1"/>
    <col min="5131" max="5131" width="11.75" style="3084" customWidth="1"/>
    <col min="5132" max="5133" width="10.75" style="3084" customWidth="1"/>
    <col min="5134" max="5134" width="10" style="3084" customWidth="1"/>
    <col min="5135" max="5136" width="10.5" style="3084" bestFit="1" customWidth="1"/>
    <col min="5137" max="5137" width="10" style="3084" customWidth="1"/>
    <col min="5138" max="5138" width="10.125" style="3084" customWidth="1"/>
    <col min="5139" max="5139" width="10" style="3084" customWidth="1"/>
    <col min="5140" max="5140" width="26.125" style="3084" customWidth="1"/>
    <col min="5141" max="5376" width="8.875" style="3084"/>
    <col min="5377" max="5377" width="9.5" style="3084" customWidth="1"/>
    <col min="5378" max="5378" width="8.875" style="3084"/>
    <col min="5379" max="5381" width="12.875" style="3084" customWidth="1"/>
    <col min="5382" max="5382" width="47.5" style="3084" customWidth="1"/>
    <col min="5383" max="5383" width="13" style="3084" customWidth="1"/>
    <col min="5384" max="5385" width="8.875" style="3084"/>
    <col min="5386" max="5386" width="5.75" style="3084" customWidth="1"/>
    <col min="5387" max="5387" width="11.75" style="3084" customWidth="1"/>
    <col min="5388" max="5389" width="10.75" style="3084" customWidth="1"/>
    <col min="5390" max="5390" width="10" style="3084" customWidth="1"/>
    <col min="5391" max="5392" width="10.5" style="3084" bestFit="1" customWidth="1"/>
    <col min="5393" max="5393" width="10" style="3084" customWidth="1"/>
    <col min="5394" max="5394" width="10.125" style="3084" customWidth="1"/>
    <col min="5395" max="5395" width="10" style="3084" customWidth="1"/>
    <col min="5396" max="5396" width="26.125" style="3084" customWidth="1"/>
    <col min="5397" max="5632" width="8.875" style="3084"/>
    <col min="5633" max="5633" width="9.5" style="3084" customWidth="1"/>
    <col min="5634" max="5634" width="8.875" style="3084"/>
    <col min="5635" max="5637" width="12.875" style="3084" customWidth="1"/>
    <col min="5638" max="5638" width="47.5" style="3084" customWidth="1"/>
    <col min="5639" max="5639" width="13" style="3084" customWidth="1"/>
    <col min="5640" max="5641" width="8.875" style="3084"/>
    <col min="5642" max="5642" width="5.75" style="3084" customWidth="1"/>
    <col min="5643" max="5643" width="11.75" style="3084" customWidth="1"/>
    <col min="5644" max="5645" width="10.75" style="3084" customWidth="1"/>
    <col min="5646" max="5646" width="10" style="3084" customWidth="1"/>
    <col min="5647" max="5648" width="10.5" style="3084" bestFit="1" customWidth="1"/>
    <col min="5649" max="5649" width="10" style="3084" customWidth="1"/>
    <col min="5650" max="5650" width="10.125" style="3084" customWidth="1"/>
    <col min="5651" max="5651" width="10" style="3084" customWidth="1"/>
    <col min="5652" max="5652" width="26.125" style="3084" customWidth="1"/>
    <col min="5653" max="5888" width="8.875" style="3084"/>
    <col min="5889" max="5889" width="9.5" style="3084" customWidth="1"/>
    <col min="5890" max="5890" width="8.875" style="3084"/>
    <col min="5891" max="5893" width="12.875" style="3084" customWidth="1"/>
    <col min="5894" max="5894" width="47.5" style="3084" customWidth="1"/>
    <col min="5895" max="5895" width="13" style="3084" customWidth="1"/>
    <col min="5896" max="5897" width="8.875" style="3084"/>
    <col min="5898" max="5898" width="5.75" style="3084" customWidth="1"/>
    <col min="5899" max="5899" width="11.75" style="3084" customWidth="1"/>
    <col min="5900" max="5901" width="10.75" style="3084" customWidth="1"/>
    <col min="5902" max="5902" width="10" style="3084" customWidth="1"/>
    <col min="5903" max="5904" width="10.5" style="3084" bestFit="1" customWidth="1"/>
    <col min="5905" max="5905" width="10" style="3084" customWidth="1"/>
    <col min="5906" max="5906" width="10.125" style="3084" customWidth="1"/>
    <col min="5907" max="5907" width="10" style="3084" customWidth="1"/>
    <col min="5908" max="5908" width="26.125" style="3084" customWidth="1"/>
    <col min="5909" max="6144" width="8.875" style="3084"/>
    <col min="6145" max="6145" width="9.5" style="3084" customWidth="1"/>
    <col min="6146" max="6146" width="8.875" style="3084"/>
    <col min="6147" max="6149" width="12.875" style="3084" customWidth="1"/>
    <col min="6150" max="6150" width="47.5" style="3084" customWidth="1"/>
    <col min="6151" max="6151" width="13" style="3084" customWidth="1"/>
    <col min="6152" max="6153" width="8.875" style="3084"/>
    <col min="6154" max="6154" width="5.75" style="3084" customWidth="1"/>
    <col min="6155" max="6155" width="11.75" style="3084" customWidth="1"/>
    <col min="6156" max="6157" width="10.75" style="3084" customWidth="1"/>
    <col min="6158" max="6158" width="10" style="3084" customWidth="1"/>
    <col min="6159" max="6160" width="10.5" style="3084" bestFit="1" customWidth="1"/>
    <col min="6161" max="6161" width="10" style="3084" customWidth="1"/>
    <col min="6162" max="6162" width="10.125" style="3084" customWidth="1"/>
    <col min="6163" max="6163" width="10" style="3084" customWidth="1"/>
    <col min="6164" max="6164" width="26.125" style="3084" customWidth="1"/>
    <col min="6165" max="6400" width="8.875" style="3084"/>
    <col min="6401" max="6401" width="9.5" style="3084" customWidth="1"/>
    <col min="6402" max="6402" width="8.875" style="3084"/>
    <col min="6403" max="6405" width="12.875" style="3084" customWidth="1"/>
    <col min="6406" max="6406" width="47.5" style="3084" customWidth="1"/>
    <col min="6407" max="6407" width="13" style="3084" customWidth="1"/>
    <col min="6408" max="6409" width="8.875" style="3084"/>
    <col min="6410" max="6410" width="5.75" style="3084" customWidth="1"/>
    <col min="6411" max="6411" width="11.75" style="3084" customWidth="1"/>
    <col min="6412" max="6413" width="10.75" style="3084" customWidth="1"/>
    <col min="6414" max="6414" width="10" style="3084" customWidth="1"/>
    <col min="6415" max="6416" width="10.5" style="3084" bestFit="1" customWidth="1"/>
    <col min="6417" max="6417" width="10" style="3084" customWidth="1"/>
    <col min="6418" max="6418" width="10.125" style="3084" customWidth="1"/>
    <col min="6419" max="6419" width="10" style="3084" customWidth="1"/>
    <col min="6420" max="6420" width="26.125" style="3084" customWidth="1"/>
    <col min="6421" max="6656" width="8.875" style="3084"/>
    <col min="6657" max="6657" width="9.5" style="3084" customWidth="1"/>
    <col min="6658" max="6658" width="8.875" style="3084"/>
    <col min="6659" max="6661" width="12.875" style="3084" customWidth="1"/>
    <col min="6662" max="6662" width="47.5" style="3084" customWidth="1"/>
    <col min="6663" max="6663" width="13" style="3084" customWidth="1"/>
    <col min="6664" max="6665" width="8.875" style="3084"/>
    <col min="6666" max="6666" width="5.75" style="3084" customWidth="1"/>
    <col min="6667" max="6667" width="11.75" style="3084" customWidth="1"/>
    <col min="6668" max="6669" width="10.75" style="3084" customWidth="1"/>
    <col min="6670" max="6670" width="10" style="3084" customWidth="1"/>
    <col min="6671" max="6672" width="10.5" style="3084" bestFit="1" customWidth="1"/>
    <col min="6673" max="6673" width="10" style="3084" customWidth="1"/>
    <col min="6674" max="6674" width="10.125" style="3084" customWidth="1"/>
    <col min="6675" max="6675" width="10" style="3084" customWidth="1"/>
    <col min="6676" max="6676" width="26.125" style="3084" customWidth="1"/>
    <col min="6677" max="6912" width="8.875" style="3084"/>
    <col min="6913" max="6913" width="9.5" style="3084" customWidth="1"/>
    <col min="6914" max="6914" width="8.875" style="3084"/>
    <col min="6915" max="6917" width="12.875" style="3084" customWidth="1"/>
    <col min="6918" max="6918" width="47.5" style="3084" customWidth="1"/>
    <col min="6919" max="6919" width="13" style="3084" customWidth="1"/>
    <col min="6920" max="6921" width="8.875" style="3084"/>
    <col min="6922" max="6922" width="5.75" style="3084" customWidth="1"/>
    <col min="6923" max="6923" width="11.75" style="3084" customWidth="1"/>
    <col min="6924" max="6925" width="10.75" style="3084" customWidth="1"/>
    <col min="6926" max="6926" width="10" style="3084" customWidth="1"/>
    <col min="6927" max="6928" width="10.5" style="3084" bestFit="1" customWidth="1"/>
    <col min="6929" max="6929" width="10" style="3084" customWidth="1"/>
    <col min="6930" max="6930" width="10.125" style="3084" customWidth="1"/>
    <col min="6931" max="6931" width="10" style="3084" customWidth="1"/>
    <col min="6932" max="6932" width="26.125" style="3084" customWidth="1"/>
    <col min="6933" max="7168" width="8.875" style="3084"/>
    <col min="7169" max="7169" width="9.5" style="3084" customWidth="1"/>
    <col min="7170" max="7170" width="8.875" style="3084"/>
    <col min="7171" max="7173" width="12.875" style="3084" customWidth="1"/>
    <col min="7174" max="7174" width="47.5" style="3084" customWidth="1"/>
    <col min="7175" max="7175" width="13" style="3084" customWidth="1"/>
    <col min="7176" max="7177" width="8.875" style="3084"/>
    <col min="7178" max="7178" width="5.75" style="3084" customWidth="1"/>
    <col min="7179" max="7179" width="11.75" style="3084" customWidth="1"/>
    <col min="7180" max="7181" width="10.75" style="3084" customWidth="1"/>
    <col min="7182" max="7182" width="10" style="3084" customWidth="1"/>
    <col min="7183" max="7184" width="10.5" style="3084" bestFit="1" customWidth="1"/>
    <col min="7185" max="7185" width="10" style="3084" customWidth="1"/>
    <col min="7186" max="7186" width="10.125" style="3084" customWidth="1"/>
    <col min="7187" max="7187" width="10" style="3084" customWidth="1"/>
    <col min="7188" max="7188" width="26.125" style="3084" customWidth="1"/>
    <col min="7189" max="7424" width="8.875" style="3084"/>
    <col min="7425" max="7425" width="9.5" style="3084" customWidth="1"/>
    <col min="7426" max="7426" width="8.875" style="3084"/>
    <col min="7427" max="7429" width="12.875" style="3084" customWidth="1"/>
    <col min="7430" max="7430" width="47.5" style="3084" customWidth="1"/>
    <col min="7431" max="7431" width="13" style="3084" customWidth="1"/>
    <col min="7432" max="7433" width="8.875" style="3084"/>
    <col min="7434" max="7434" width="5.75" style="3084" customWidth="1"/>
    <col min="7435" max="7435" width="11.75" style="3084" customWidth="1"/>
    <col min="7436" max="7437" width="10.75" style="3084" customWidth="1"/>
    <col min="7438" max="7438" width="10" style="3084" customWidth="1"/>
    <col min="7439" max="7440" width="10.5" style="3084" bestFit="1" customWidth="1"/>
    <col min="7441" max="7441" width="10" style="3084" customWidth="1"/>
    <col min="7442" max="7442" width="10.125" style="3084" customWidth="1"/>
    <col min="7443" max="7443" width="10" style="3084" customWidth="1"/>
    <col min="7444" max="7444" width="26.125" style="3084" customWidth="1"/>
    <col min="7445" max="7680" width="8.875" style="3084"/>
    <col min="7681" max="7681" width="9.5" style="3084" customWidth="1"/>
    <col min="7682" max="7682" width="8.875" style="3084"/>
    <col min="7683" max="7685" width="12.875" style="3084" customWidth="1"/>
    <col min="7686" max="7686" width="47.5" style="3084" customWidth="1"/>
    <col min="7687" max="7687" width="13" style="3084" customWidth="1"/>
    <col min="7688" max="7689" width="8.875" style="3084"/>
    <col min="7690" max="7690" width="5.75" style="3084" customWidth="1"/>
    <col min="7691" max="7691" width="11.75" style="3084" customWidth="1"/>
    <col min="7692" max="7693" width="10.75" style="3084" customWidth="1"/>
    <col min="7694" max="7694" width="10" style="3084" customWidth="1"/>
    <col min="7695" max="7696" width="10.5" style="3084" bestFit="1" customWidth="1"/>
    <col min="7697" max="7697" width="10" style="3084" customWidth="1"/>
    <col min="7698" max="7698" width="10.125" style="3084" customWidth="1"/>
    <col min="7699" max="7699" width="10" style="3084" customWidth="1"/>
    <col min="7700" max="7700" width="26.125" style="3084" customWidth="1"/>
    <col min="7701" max="7936" width="8.875" style="3084"/>
    <col min="7937" max="7937" width="9.5" style="3084" customWidth="1"/>
    <col min="7938" max="7938" width="8.875" style="3084"/>
    <col min="7939" max="7941" width="12.875" style="3084" customWidth="1"/>
    <col min="7942" max="7942" width="47.5" style="3084" customWidth="1"/>
    <col min="7943" max="7943" width="13" style="3084" customWidth="1"/>
    <col min="7944" max="7945" width="8.875" style="3084"/>
    <col min="7946" max="7946" width="5.75" style="3084" customWidth="1"/>
    <col min="7947" max="7947" width="11.75" style="3084" customWidth="1"/>
    <col min="7948" max="7949" width="10.75" style="3084" customWidth="1"/>
    <col min="7950" max="7950" width="10" style="3084" customWidth="1"/>
    <col min="7951" max="7952" width="10.5" style="3084" bestFit="1" customWidth="1"/>
    <col min="7953" max="7953" width="10" style="3084" customWidth="1"/>
    <col min="7954" max="7954" width="10.125" style="3084" customWidth="1"/>
    <col min="7955" max="7955" width="10" style="3084" customWidth="1"/>
    <col min="7956" max="7956" width="26.125" style="3084" customWidth="1"/>
    <col min="7957" max="8192" width="8.875" style="3084"/>
    <col min="8193" max="8193" width="9.5" style="3084" customWidth="1"/>
    <col min="8194" max="8194" width="8.875" style="3084"/>
    <col min="8195" max="8197" width="12.875" style="3084" customWidth="1"/>
    <col min="8198" max="8198" width="47.5" style="3084" customWidth="1"/>
    <col min="8199" max="8199" width="13" style="3084" customWidth="1"/>
    <col min="8200" max="8201" width="8.875" style="3084"/>
    <col min="8202" max="8202" width="5.75" style="3084" customWidth="1"/>
    <col min="8203" max="8203" width="11.75" style="3084" customWidth="1"/>
    <col min="8204" max="8205" width="10.75" style="3084" customWidth="1"/>
    <col min="8206" max="8206" width="10" style="3084" customWidth="1"/>
    <col min="8207" max="8208" width="10.5" style="3084" bestFit="1" customWidth="1"/>
    <col min="8209" max="8209" width="10" style="3084" customWidth="1"/>
    <col min="8210" max="8210" width="10.125" style="3084" customWidth="1"/>
    <col min="8211" max="8211" width="10" style="3084" customWidth="1"/>
    <col min="8212" max="8212" width="26.125" style="3084" customWidth="1"/>
    <col min="8213" max="8448" width="8.875" style="3084"/>
    <col min="8449" max="8449" width="9.5" style="3084" customWidth="1"/>
    <col min="8450" max="8450" width="8.875" style="3084"/>
    <col min="8451" max="8453" width="12.875" style="3084" customWidth="1"/>
    <col min="8454" max="8454" width="47.5" style="3084" customWidth="1"/>
    <col min="8455" max="8455" width="13" style="3084" customWidth="1"/>
    <col min="8456" max="8457" width="8.875" style="3084"/>
    <col min="8458" max="8458" width="5.75" style="3084" customWidth="1"/>
    <col min="8459" max="8459" width="11.75" style="3084" customWidth="1"/>
    <col min="8460" max="8461" width="10.75" style="3084" customWidth="1"/>
    <col min="8462" max="8462" width="10" style="3084" customWidth="1"/>
    <col min="8463" max="8464" width="10.5" style="3084" bestFit="1" customWidth="1"/>
    <col min="8465" max="8465" width="10" style="3084" customWidth="1"/>
    <col min="8466" max="8466" width="10.125" style="3084" customWidth="1"/>
    <col min="8467" max="8467" width="10" style="3084" customWidth="1"/>
    <col min="8468" max="8468" width="26.125" style="3084" customWidth="1"/>
    <col min="8469" max="8704" width="8.875" style="3084"/>
    <col min="8705" max="8705" width="9.5" style="3084" customWidth="1"/>
    <col min="8706" max="8706" width="8.875" style="3084"/>
    <col min="8707" max="8709" width="12.875" style="3084" customWidth="1"/>
    <col min="8710" max="8710" width="47.5" style="3084" customWidth="1"/>
    <col min="8711" max="8711" width="13" style="3084" customWidth="1"/>
    <col min="8712" max="8713" width="8.875" style="3084"/>
    <col min="8714" max="8714" width="5.75" style="3084" customWidth="1"/>
    <col min="8715" max="8715" width="11.75" style="3084" customWidth="1"/>
    <col min="8716" max="8717" width="10.75" style="3084" customWidth="1"/>
    <col min="8718" max="8718" width="10" style="3084" customWidth="1"/>
    <col min="8719" max="8720" width="10.5" style="3084" bestFit="1" customWidth="1"/>
    <col min="8721" max="8721" width="10" style="3084" customWidth="1"/>
    <col min="8722" max="8722" width="10.125" style="3084" customWidth="1"/>
    <col min="8723" max="8723" width="10" style="3084" customWidth="1"/>
    <col min="8724" max="8724" width="26.125" style="3084" customWidth="1"/>
    <col min="8725" max="8960" width="8.875" style="3084"/>
    <col min="8961" max="8961" width="9.5" style="3084" customWidth="1"/>
    <col min="8962" max="8962" width="8.875" style="3084"/>
    <col min="8963" max="8965" width="12.875" style="3084" customWidth="1"/>
    <col min="8966" max="8966" width="47.5" style="3084" customWidth="1"/>
    <col min="8967" max="8967" width="13" style="3084" customWidth="1"/>
    <col min="8968" max="8969" width="8.875" style="3084"/>
    <col min="8970" max="8970" width="5.75" style="3084" customWidth="1"/>
    <col min="8971" max="8971" width="11.75" style="3084" customWidth="1"/>
    <col min="8972" max="8973" width="10.75" style="3084" customWidth="1"/>
    <col min="8974" max="8974" width="10" style="3084" customWidth="1"/>
    <col min="8975" max="8976" width="10.5" style="3084" bestFit="1" customWidth="1"/>
    <col min="8977" max="8977" width="10" style="3084" customWidth="1"/>
    <col min="8978" max="8978" width="10.125" style="3084" customWidth="1"/>
    <col min="8979" max="8979" width="10" style="3084" customWidth="1"/>
    <col min="8980" max="8980" width="26.125" style="3084" customWidth="1"/>
    <col min="8981" max="9216" width="8.875" style="3084"/>
    <col min="9217" max="9217" width="9.5" style="3084" customWidth="1"/>
    <col min="9218" max="9218" width="8.875" style="3084"/>
    <col min="9219" max="9221" width="12.875" style="3084" customWidth="1"/>
    <col min="9222" max="9222" width="47.5" style="3084" customWidth="1"/>
    <col min="9223" max="9223" width="13" style="3084" customWidth="1"/>
    <col min="9224" max="9225" width="8.875" style="3084"/>
    <col min="9226" max="9226" width="5.75" style="3084" customWidth="1"/>
    <col min="9227" max="9227" width="11.75" style="3084" customWidth="1"/>
    <col min="9228" max="9229" width="10.75" style="3084" customWidth="1"/>
    <col min="9230" max="9230" width="10" style="3084" customWidth="1"/>
    <col min="9231" max="9232" width="10.5" style="3084" bestFit="1" customWidth="1"/>
    <col min="9233" max="9233" width="10" style="3084" customWidth="1"/>
    <col min="9234" max="9234" width="10.125" style="3084" customWidth="1"/>
    <col min="9235" max="9235" width="10" style="3084" customWidth="1"/>
    <col min="9236" max="9236" width="26.125" style="3084" customWidth="1"/>
    <col min="9237" max="9472" width="8.875" style="3084"/>
    <col min="9473" max="9473" width="9.5" style="3084" customWidth="1"/>
    <col min="9474" max="9474" width="8.875" style="3084"/>
    <col min="9475" max="9477" width="12.875" style="3084" customWidth="1"/>
    <col min="9478" max="9478" width="47.5" style="3084" customWidth="1"/>
    <col min="9479" max="9479" width="13" style="3084" customWidth="1"/>
    <col min="9480" max="9481" width="8.875" style="3084"/>
    <col min="9482" max="9482" width="5.75" style="3084" customWidth="1"/>
    <col min="9483" max="9483" width="11.75" style="3084" customWidth="1"/>
    <col min="9484" max="9485" width="10.75" style="3084" customWidth="1"/>
    <col min="9486" max="9486" width="10" style="3084" customWidth="1"/>
    <col min="9487" max="9488" width="10.5" style="3084" bestFit="1" customWidth="1"/>
    <col min="9489" max="9489" width="10" style="3084" customWidth="1"/>
    <col min="9490" max="9490" width="10.125" style="3084" customWidth="1"/>
    <col min="9491" max="9491" width="10" style="3084" customWidth="1"/>
    <col min="9492" max="9492" width="26.125" style="3084" customWidth="1"/>
    <col min="9493" max="9728" width="8.875" style="3084"/>
    <col min="9729" max="9729" width="9.5" style="3084" customWidth="1"/>
    <col min="9730" max="9730" width="8.875" style="3084"/>
    <col min="9731" max="9733" width="12.875" style="3084" customWidth="1"/>
    <col min="9734" max="9734" width="47.5" style="3084" customWidth="1"/>
    <col min="9735" max="9735" width="13" style="3084" customWidth="1"/>
    <col min="9736" max="9737" width="8.875" style="3084"/>
    <col min="9738" max="9738" width="5.75" style="3084" customWidth="1"/>
    <col min="9739" max="9739" width="11.75" style="3084" customWidth="1"/>
    <col min="9740" max="9741" width="10.75" style="3084" customWidth="1"/>
    <col min="9742" max="9742" width="10" style="3084" customWidth="1"/>
    <col min="9743" max="9744" width="10.5" style="3084" bestFit="1" customWidth="1"/>
    <col min="9745" max="9745" width="10" style="3084" customWidth="1"/>
    <col min="9746" max="9746" width="10.125" style="3084" customWidth="1"/>
    <col min="9747" max="9747" width="10" style="3084" customWidth="1"/>
    <col min="9748" max="9748" width="26.125" style="3084" customWidth="1"/>
    <col min="9749" max="9984" width="8.875" style="3084"/>
    <col min="9985" max="9985" width="9.5" style="3084" customWidth="1"/>
    <col min="9986" max="9986" width="8.875" style="3084"/>
    <col min="9987" max="9989" width="12.875" style="3084" customWidth="1"/>
    <col min="9990" max="9990" width="47.5" style="3084" customWidth="1"/>
    <col min="9991" max="9991" width="13" style="3084" customWidth="1"/>
    <col min="9992" max="9993" width="8.875" style="3084"/>
    <col min="9994" max="9994" width="5.75" style="3084" customWidth="1"/>
    <col min="9995" max="9995" width="11.75" style="3084" customWidth="1"/>
    <col min="9996" max="9997" width="10.75" style="3084" customWidth="1"/>
    <col min="9998" max="9998" width="10" style="3084" customWidth="1"/>
    <col min="9999" max="10000" width="10.5" style="3084" bestFit="1" customWidth="1"/>
    <col min="10001" max="10001" width="10" style="3084" customWidth="1"/>
    <col min="10002" max="10002" width="10.125" style="3084" customWidth="1"/>
    <col min="10003" max="10003" width="10" style="3084" customWidth="1"/>
    <col min="10004" max="10004" width="26.125" style="3084" customWidth="1"/>
    <col min="10005" max="10240" width="8.875" style="3084"/>
    <col min="10241" max="10241" width="9.5" style="3084" customWidth="1"/>
    <col min="10242" max="10242" width="8.875" style="3084"/>
    <col min="10243" max="10245" width="12.875" style="3084" customWidth="1"/>
    <col min="10246" max="10246" width="47.5" style="3084" customWidth="1"/>
    <col min="10247" max="10247" width="13" style="3084" customWidth="1"/>
    <col min="10248" max="10249" width="8.875" style="3084"/>
    <col min="10250" max="10250" width="5.75" style="3084" customWidth="1"/>
    <col min="10251" max="10251" width="11.75" style="3084" customWidth="1"/>
    <col min="10252" max="10253" width="10.75" style="3084" customWidth="1"/>
    <col min="10254" max="10254" width="10" style="3084" customWidth="1"/>
    <col min="10255" max="10256" width="10.5" style="3084" bestFit="1" customWidth="1"/>
    <col min="10257" max="10257" width="10" style="3084" customWidth="1"/>
    <col min="10258" max="10258" width="10.125" style="3084" customWidth="1"/>
    <col min="10259" max="10259" width="10" style="3084" customWidth="1"/>
    <col min="10260" max="10260" width="26.125" style="3084" customWidth="1"/>
    <col min="10261" max="10496" width="8.875" style="3084"/>
    <col min="10497" max="10497" width="9.5" style="3084" customWidth="1"/>
    <col min="10498" max="10498" width="8.875" style="3084"/>
    <col min="10499" max="10501" width="12.875" style="3084" customWidth="1"/>
    <col min="10502" max="10502" width="47.5" style="3084" customWidth="1"/>
    <col min="10503" max="10503" width="13" style="3084" customWidth="1"/>
    <col min="10504" max="10505" width="8.875" style="3084"/>
    <col min="10506" max="10506" width="5.75" style="3084" customWidth="1"/>
    <col min="10507" max="10507" width="11.75" style="3084" customWidth="1"/>
    <col min="10508" max="10509" width="10.75" style="3084" customWidth="1"/>
    <col min="10510" max="10510" width="10" style="3084" customWidth="1"/>
    <col min="10511" max="10512" width="10.5" style="3084" bestFit="1" customWidth="1"/>
    <col min="10513" max="10513" width="10" style="3084" customWidth="1"/>
    <col min="10514" max="10514" width="10.125" style="3084" customWidth="1"/>
    <col min="10515" max="10515" width="10" style="3084" customWidth="1"/>
    <col min="10516" max="10516" width="26.125" style="3084" customWidth="1"/>
    <col min="10517" max="10752" width="8.875" style="3084"/>
    <col min="10753" max="10753" width="9.5" style="3084" customWidth="1"/>
    <col min="10754" max="10754" width="8.875" style="3084"/>
    <col min="10755" max="10757" width="12.875" style="3084" customWidth="1"/>
    <col min="10758" max="10758" width="47.5" style="3084" customWidth="1"/>
    <col min="10759" max="10759" width="13" style="3084" customWidth="1"/>
    <col min="10760" max="10761" width="8.875" style="3084"/>
    <col min="10762" max="10762" width="5.75" style="3084" customWidth="1"/>
    <col min="10763" max="10763" width="11.75" style="3084" customWidth="1"/>
    <col min="10764" max="10765" width="10.75" style="3084" customWidth="1"/>
    <col min="10766" max="10766" width="10" style="3084" customWidth="1"/>
    <col min="10767" max="10768" width="10.5" style="3084" bestFit="1" customWidth="1"/>
    <col min="10769" max="10769" width="10" style="3084" customWidth="1"/>
    <col min="10770" max="10770" width="10.125" style="3084" customWidth="1"/>
    <col min="10771" max="10771" width="10" style="3084" customWidth="1"/>
    <col min="10772" max="10772" width="26.125" style="3084" customWidth="1"/>
    <col min="10773" max="11008" width="8.875" style="3084"/>
    <col min="11009" max="11009" width="9.5" style="3084" customWidth="1"/>
    <col min="11010" max="11010" width="8.875" style="3084"/>
    <col min="11011" max="11013" width="12.875" style="3084" customWidth="1"/>
    <col min="11014" max="11014" width="47.5" style="3084" customWidth="1"/>
    <col min="11015" max="11015" width="13" style="3084" customWidth="1"/>
    <col min="11016" max="11017" width="8.875" style="3084"/>
    <col min="11018" max="11018" width="5.75" style="3084" customWidth="1"/>
    <col min="11019" max="11019" width="11.75" style="3084" customWidth="1"/>
    <col min="11020" max="11021" width="10.75" style="3084" customWidth="1"/>
    <col min="11022" max="11022" width="10" style="3084" customWidth="1"/>
    <col min="11023" max="11024" width="10.5" style="3084" bestFit="1" customWidth="1"/>
    <col min="11025" max="11025" width="10" style="3084" customWidth="1"/>
    <col min="11026" max="11026" width="10.125" style="3084" customWidth="1"/>
    <col min="11027" max="11027" width="10" style="3084" customWidth="1"/>
    <col min="11028" max="11028" width="26.125" style="3084" customWidth="1"/>
    <col min="11029" max="11264" width="8.875" style="3084"/>
    <col min="11265" max="11265" width="9.5" style="3084" customWidth="1"/>
    <col min="11266" max="11266" width="8.875" style="3084"/>
    <col min="11267" max="11269" width="12.875" style="3084" customWidth="1"/>
    <col min="11270" max="11270" width="47.5" style="3084" customWidth="1"/>
    <col min="11271" max="11271" width="13" style="3084" customWidth="1"/>
    <col min="11272" max="11273" width="8.875" style="3084"/>
    <col min="11274" max="11274" width="5.75" style="3084" customWidth="1"/>
    <col min="11275" max="11275" width="11.75" style="3084" customWidth="1"/>
    <col min="11276" max="11277" width="10.75" style="3084" customWidth="1"/>
    <col min="11278" max="11278" width="10" style="3084" customWidth="1"/>
    <col min="11279" max="11280" width="10.5" style="3084" bestFit="1" customWidth="1"/>
    <col min="11281" max="11281" width="10" style="3084" customWidth="1"/>
    <col min="11282" max="11282" width="10.125" style="3084" customWidth="1"/>
    <col min="11283" max="11283" width="10" style="3084" customWidth="1"/>
    <col min="11284" max="11284" width="26.125" style="3084" customWidth="1"/>
    <col min="11285" max="11520" width="8.875" style="3084"/>
    <col min="11521" max="11521" width="9.5" style="3084" customWidth="1"/>
    <col min="11522" max="11522" width="8.875" style="3084"/>
    <col min="11523" max="11525" width="12.875" style="3084" customWidth="1"/>
    <col min="11526" max="11526" width="47.5" style="3084" customWidth="1"/>
    <col min="11527" max="11527" width="13" style="3084" customWidth="1"/>
    <col min="11528" max="11529" width="8.875" style="3084"/>
    <col min="11530" max="11530" width="5.75" style="3084" customWidth="1"/>
    <col min="11531" max="11531" width="11.75" style="3084" customWidth="1"/>
    <col min="11532" max="11533" width="10.75" style="3084" customWidth="1"/>
    <col min="11534" max="11534" width="10" style="3084" customWidth="1"/>
    <col min="11535" max="11536" width="10.5" style="3084" bestFit="1" customWidth="1"/>
    <col min="11537" max="11537" width="10" style="3084" customWidth="1"/>
    <col min="11538" max="11538" width="10.125" style="3084" customWidth="1"/>
    <col min="11539" max="11539" width="10" style="3084" customWidth="1"/>
    <col min="11540" max="11540" width="26.125" style="3084" customWidth="1"/>
    <col min="11541" max="11776" width="8.875" style="3084"/>
    <col min="11777" max="11777" width="9.5" style="3084" customWidth="1"/>
    <col min="11778" max="11778" width="8.875" style="3084"/>
    <col min="11779" max="11781" width="12.875" style="3084" customWidth="1"/>
    <col min="11782" max="11782" width="47.5" style="3084" customWidth="1"/>
    <col min="11783" max="11783" width="13" style="3084" customWidth="1"/>
    <col min="11784" max="11785" width="8.875" style="3084"/>
    <col min="11786" max="11786" width="5.75" style="3084" customWidth="1"/>
    <col min="11787" max="11787" width="11.75" style="3084" customWidth="1"/>
    <col min="11788" max="11789" width="10.75" style="3084" customWidth="1"/>
    <col min="11790" max="11790" width="10" style="3084" customWidth="1"/>
    <col min="11791" max="11792" width="10.5" style="3084" bestFit="1" customWidth="1"/>
    <col min="11793" max="11793" width="10" style="3084" customWidth="1"/>
    <col min="11794" max="11794" width="10.125" style="3084" customWidth="1"/>
    <col min="11795" max="11795" width="10" style="3084" customWidth="1"/>
    <col min="11796" max="11796" width="26.125" style="3084" customWidth="1"/>
    <col min="11797" max="12032" width="8.875" style="3084"/>
    <col min="12033" max="12033" width="9.5" style="3084" customWidth="1"/>
    <col min="12034" max="12034" width="8.875" style="3084"/>
    <col min="12035" max="12037" width="12.875" style="3084" customWidth="1"/>
    <col min="12038" max="12038" width="47.5" style="3084" customWidth="1"/>
    <col min="12039" max="12039" width="13" style="3084" customWidth="1"/>
    <col min="12040" max="12041" width="8.875" style="3084"/>
    <col min="12042" max="12042" width="5.75" style="3084" customWidth="1"/>
    <col min="12043" max="12043" width="11.75" style="3084" customWidth="1"/>
    <col min="12044" max="12045" width="10.75" style="3084" customWidth="1"/>
    <col min="12046" max="12046" width="10" style="3084" customWidth="1"/>
    <col min="12047" max="12048" width="10.5" style="3084" bestFit="1" customWidth="1"/>
    <col min="12049" max="12049" width="10" style="3084" customWidth="1"/>
    <col min="12050" max="12050" width="10.125" style="3084" customWidth="1"/>
    <col min="12051" max="12051" width="10" style="3084" customWidth="1"/>
    <col min="12052" max="12052" width="26.125" style="3084" customWidth="1"/>
    <col min="12053" max="12288" width="8.875" style="3084"/>
    <col min="12289" max="12289" width="9.5" style="3084" customWidth="1"/>
    <col min="12290" max="12290" width="8.875" style="3084"/>
    <col min="12291" max="12293" width="12.875" style="3084" customWidth="1"/>
    <col min="12294" max="12294" width="47.5" style="3084" customWidth="1"/>
    <col min="12295" max="12295" width="13" style="3084" customWidth="1"/>
    <col min="12296" max="12297" width="8.875" style="3084"/>
    <col min="12298" max="12298" width="5.75" style="3084" customWidth="1"/>
    <col min="12299" max="12299" width="11.75" style="3084" customWidth="1"/>
    <col min="12300" max="12301" width="10.75" style="3084" customWidth="1"/>
    <col min="12302" max="12302" width="10" style="3084" customWidth="1"/>
    <col min="12303" max="12304" width="10.5" style="3084" bestFit="1" customWidth="1"/>
    <col min="12305" max="12305" width="10" style="3084" customWidth="1"/>
    <col min="12306" max="12306" width="10.125" style="3084" customWidth="1"/>
    <col min="12307" max="12307" width="10" style="3084" customWidth="1"/>
    <col min="12308" max="12308" width="26.125" style="3084" customWidth="1"/>
    <col min="12309" max="12544" width="8.875" style="3084"/>
    <col min="12545" max="12545" width="9.5" style="3084" customWidth="1"/>
    <col min="12546" max="12546" width="8.875" style="3084"/>
    <col min="12547" max="12549" width="12.875" style="3084" customWidth="1"/>
    <col min="12550" max="12550" width="47.5" style="3084" customWidth="1"/>
    <col min="12551" max="12551" width="13" style="3084" customWidth="1"/>
    <col min="12552" max="12553" width="8.875" style="3084"/>
    <col min="12554" max="12554" width="5.75" style="3084" customWidth="1"/>
    <col min="12555" max="12555" width="11.75" style="3084" customWidth="1"/>
    <col min="12556" max="12557" width="10.75" style="3084" customWidth="1"/>
    <col min="12558" max="12558" width="10" style="3084" customWidth="1"/>
    <col min="12559" max="12560" width="10.5" style="3084" bestFit="1" customWidth="1"/>
    <col min="12561" max="12561" width="10" style="3084" customWidth="1"/>
    <col min="12562" max="12562" width="10.125" style="3084" customWidth="1"/>
    <col min="12563" max="12563" width="10" style="3084" customWidth="1"/>
    <col min="12564" max="12564" width="26.125" style="3084" customWidth="1"/>
    <col min="12565" max="12800" width="8.875" style="3084"/>
    <col min="12801" max="12801" width="9.5" style="3084" customWidth="1"/>
    <col min="12802" max="12802" width="8.875" style="3084"/>
    <col min="12803" max="12805" width="12.875" style="3084" customWidth="1"/>
    <col min="12806" max="12806" width="47.5" style="3084" customWidth="1"/>
    <col min="12807" max="12807" width="13" style="3084" customWidth="1"/>
    <col min="12808" max="12809" width="8.875" style="3084"/>
    <col min="12810" max="12810" width="5.75" style="3084" customWidth="1"/>
    <col min="12811" max="12811" width="11.75" style="3084" customWidth="1"/>
    <col min="12812" max="12813" width="10.75" style="3084" customWidth="1"/>
    <col min="12814" max="12814" width="10" style="3084" customWidth="1"/>
    <col min="12815" max="12816" width="10.5" style="3084" bestFit="1" customWidth="1"/>
    <col min="12817" max="12817" width="10" style="3084" customWidth="1"/>
    <col min="12818" max="12818" width="10.125" style="3084" customWidth="1"/>
    <col min="12819" max="12819" width="10" style="3084" customWidth="1"/>
    <col min="12820" max="12820" width="26.125" style="3084" customWidth="1"/>
    <col min="12821" max="13056" width="8.875" style="3084"/>
    <col min="13057" max="13057" width="9.5" style="3084" customWidth="1"/>
    <col min="13058" max="13058" width="8.875" style="3084"/>
    <col min="13059" max="13061" width="12.875" style="3084" customWidth="1"/>
    <col min="13062" max="13062" width="47.5" style="3084" customWidth="1"/>
    <col min="13063" max="13063" width="13" style="3084" customWidth="1"/>
    <col min="13064" max="13065" width="8.875" style="3084"/>
    <col min="13066" max="13066" width="5.75" style="3084" customWidth="1"/>
    <col min="13067" max="13067" width="11.75" style="3084" customWidth="1"/>
    <col min="13068" max="13069" width="10.75" style="3084" customWidth="1"/>
    <col min="13070" max="13070" width="10" style="3084" customWidth="1"/>
    <col min="13071" max="13072" width="10.5" style="3084" bestFit="1" customWidth="1"/>
    <col min="13073" max="13073" width="10" style="3084" customWidth="1"/>
    <col min="13074" max="13074" width="10.125" style="3084" customWidth="1"/>
    <col min="13075" max="13075" width="10" style="3084" customWidth="1"/>
    <col min="13076" max="13076" width="26.125" style="3084" customWidth="1"/>
    <col min="13077" max="13312" width="8.875" style="3084"/>
    <col min="13313" max="13313" width="9.5" style="3084" customWidth="1"/>
    <col min="13314" max="13314" width="8.875" style="3084"/>
    <col min="13315" max="13317" width="12.875" style="3084" customWidth="1"/>
    <col min="13318" max="13318" width="47.5" style="3084" customWidth="1"/>
    <col min="13319" max="13319" width="13" style="3084" customWidth="1"/>
    <col min="13320" max="13321" width="8.875" style="3084"/>
    <col min="13322" max="13322" width="5.75" style="3084" customWidth="1"/>
    <col min="13323" max="13323" width="11.75" style="3084" customWidth="1"/>
    <col min="13324" max="13325" width="10.75" style="3084" customWidth="1"/>
    <col min="13326" max="13326" width="10" style="3084" customWidth="1"/>
    <col min="13327" max="13328" width="10.5" style="3084" bestFit="1" customWidth="1"/>
    <col min="13329" max="13329" width="10" style="3084" customWidth="1"/>
    <col min="13330" max="13330" width="10.125" style="3084" customWidth="1"/>
    <col min="13331" max="13331" width="10" style="3084" customWidth="1"/>
    <col min="13332" max="13332" width="26.125" style="3084" customWidth="1"/>
    <col min="13333" max="13568" width="8.875" style="3084"/>
    <col min="13569" max="13569" width="9.5" style="3084" customWidth="1"/>
    <col min="13570" max="13570" width="8.875" style="3084"/>
    <col min="13571" max="13573" width="12.875" style="3084" customWidth="1"/>
    <col min="13574" max="13574" width="47.5" style="3084" customWidth="1"/>
    <col min="13575" max="13575" width="13" style="3084" customWidth="1"/>
    <col min="13576" max="13577" width="8.875" style="3084"/>
    <col min="13578" max="13578" width="5.75" style="3084" customWidth="1"/>
    <col min="13579" max="13579" width="11.75" style="3084" customWidth="1"/>
    <col min="13580" max="13581" width="10.75" style="3084" customWidth="1"/>
    <col min="13582" max="13582" width="10" style="3084" customWidth="1"/>
    <col min="13583" max="13584" width="10.5" style="3084" bestFit="1" customWidth="1"/>
    <col min="13585" max="13585" width="10" style="3084" customWidth="1"/>
    <col min="13586" max="13586" width="10.125" style="3084" customWidth="1"/>
    <col min="13587" max="13587" width="10" style="3084" customWidth="1"/>
    <col min="13588" max="13588" width="26.125" style="3084" customWidth="1"/>
    <col min="13589" max="13824" width="8.875" style="3084"/>
    <col min="13825" max="13825" width="9.5" style="3084" customWidth="1"/>
    <col min="13826" max="13826" width="8.875" style="3084"/>
    <col min="13827" max="13829" width="12.875" style="3084" customWidth="1"/>
    <col min="13830" max="13830" width="47.5" style="3084" customWidth="1"/>
    <col min="13831" max="13831" width="13" style="3084" customWidth="1"/>
    <col min="13832" max="13833" width="8.875" style="3084"/>
    <col min="13834" max="13834" width="5.75" style="3084" customWidth="1"/>
    <col min="13835" max="13835" width="11.75" style="3084" customWidth="1"/>
    <col min="13836" max="13837" width="10.75" style="3084" customWidth="1"/>
    <col min="13838" max="13838" width="10" style="3084" customWidth="1"/>
    <col min="13839" max="13840" width="10.5" style="3084" bestFit="1" customWidth="1"/>
    <col min="13841" max="13841" width="10" style="3084" customWidth="1"/>
    <col min="13842" max="13842" width="10.125" style="3084" customWidth="1"/>
    <col min="13843" max="13843" width="10" style="3084" customWidth="1"/>
    <col min="13844" max="13844" width="26.125" style="3084" customWidth="1"/>
    <col min="13845" max="14080" width="8.875" style="3084"/>
    <col min="14081" max="14081" width="9.5" style="3084" customWidth="1"/>
    <col min="14082" max="14082" width="8.875" style="3084"/>
    <col min="14083" max="14085" width="12.875" style="3084" customWidth="1"/>
    <col min="14086" max="14086" width="47.5" style="3084" customWidth="1"/>
    <col min="14087" max="14087" width="13" style="3084" customWidth="1"/>
    <col min="14088" max="14089" width="8.875" style="3084"/>
    <col min="14090" max="14090" width="5.75" style="3084" customWidth="1"/>
    <col min="14091" max="14091" width="11.75" style="3084" customWidth="1"/>
    <col min="14092" max="14093" width="10.75" style="3084" customWidth="1"/>
    <col min="14094" max="14094" width="10" style="3084" customWidth="1"/>
    <col min="14095" max="14096" width="10.5" style="3084" bestFit="1" customWidth="1"/>
    <col min="14097" max="14097" width="10" style="3084" customWidth="1"/>
    <col min="14098" max="14098" width="10.125" style="3084" customWidth="1"/>
    <col min="14099" max="14099" width="10" style="3084" customWidth="1"/>
    <col min="14100" max="14100" width="26.125" style="3084" customWidth="1"/>
    <col min="14101" max="14336" width="8.875" style="3084"/>
    <col min="14337" max="14337" width="9.5" style="3084" customWidth="1"/>
    <col min="14338" max="14338" width="8.875" style="3084"/>
    <col min="14339" max="14341" width="12.875" style="3084" customWidth="1"/>
    <col min="14342" max="14342" width="47.5" style="3084" customWidth="1"/>
    <col min="14343" max="14343" width="13" style="3084" customWidth="1"/>
    <col min="14344" max="14345" width="8.875" style="3084"/>
    <col min="14346" max="14346" width="5.75" style="3084" customWidth="1"/>
    <col min="14347" max="14347" width="11.75" style="3084" customWidth="1"/>
    <col min="14348" max="14349" width="10.75" style="3084" customWidth="1"/>
    <col min="14350" max="14350" width="10" style="3084" customWidth="1"/>
    <col min="14351" max="14352" width="10.5" style="3084" bestFit="1" customWidth="1"/>
    <col min="14353" max="14353" width="10" style="3084" customWidth="1"/>
    <col min="14354" max="14354" width="10.125" style="3084" customWidth="1"/>
    <col min="14355" max="14355" width="10" style="3084" customWidth="1"/>
    <col min="14356" max="14356" width="26.125" style="3084" customWidth="1"/>
    <col min="14357" max="14592" width="8.875" style="3084"/>
    <col min="14593" max="14593" width="9.5" style="3084" customWidth="1"/>
    <col min="14594" max="14594" width="8.875" style="3084"/>
    <col min="14595" max="14597" width="12.875" style="3084" customWidth="1"/>
    <col min="14598" max="14598" width="47.5" style="3084" customWidth="1"/>
    <col min="14599" max="14599" width="13" style="3084" customWidth="1"/>
    <col min="14600" max="14601" width="8.875" style="3084"/>
    <col min="14602" max="14602" width="5.75" style="3084" customWidth="1"/>
    <col min="14603" max="14603" width="11.75" style="3084" customWidth="1"/>
    <col min="14604" max="14605" width="10.75" style="3084" customWidth="1"/>
    <col min="14606" max="14606" width="10" style="3084" customWidth="1"/>
    <col min="14607" max="14608" width="10.5" style="3084" bestFit="1" customWidth="1"/>
    <col min="14609" max="14609" width="10" style="3084" customWidth="1"/>
    <col min="14610" max="14610" width="10.125" style="3084" customWidth="1"/>
    <col min="14611" max="14611" width="10" style="3084" customWidth="1"/>
    <col min="14612" max="14612" width="26.125" style="3084" customWidth="1"/>
    <col min="14613" max="14848" width="8.875" style="3084"/>
    <col min="14849" max="14849" width="9.5" style="3084" customWidth="1"/>
    <col min="14850" max="14850" width="8.875" style="3084"/>
    <col min="14851" max="14853" width="12.875" style="3084" customWidth="1"/>
    <col min="14854" max="14854" width="47.5" style="3084" customWidth="1"/>
    <col min="14855" max="14855" width="13" style="3084" customWidth="1"/>
    <col min="14856" max="14857" width="8.875" style="3084"/>
    <col min="14858" max="14858" width="5.75" style="3084" customWidth="1"/>
    <col min="14859" max="14859" width="11.75" style="3084" customWidth="1"/>
    <col min="14860" max="14861" width="10.75" style="3084" customWidth="1"/>
    <col min="14862" max="14862" width="10" style="3084" customWidth="1"/>
    <col min="14863" max="14864" width="10.5" style="3084" bestFit="1" customWidth="1"/>
    <col min="14865" max="14865" width="10" style="3084" customWidth="1"/>
    <col min="14866" max="14866" width="10.125" style="3084" customWidth="1"/>
    <col min="14867" max="14867" width="10" style="3084" customWidth="1"/>
    <col min="14868" max="14868" width="26.125" style="3084" customWidth="1"/>
    <col min="14869" max="15104" width="8.875" style="3084"/>
    <col min="15105" max="15105" width="9.5" style="3084" customWidth="1"/>
    <col min="15106" max="15106" width="8.875" style="3084"/>
    <col min="15107" max="15109" width="12.875" style="3084" customWidth="1"/>
    <col min="15110" max="15110" width="47.5" style="3084" customWidth="1"/>
    <col min="15111" max="15111" width="13" style="3084" customWidth="1"/>
    <col min="15112" max="15113" width="8.875" style="3084"/>
    <col min="15114" max="15114" width="5.75" style="3084" customWidth="1"/>
    <col min="15115" max="15115" width="11.75" style="3084" customWidth="1"/>
    <col min="15116" max="15117" width="10.75" style="3084" customWidth="1"/>
    <col min="15118" max="15118" width="10" style="3084" customWidth="1"/>
    <col min="15119" max="15120" width="10.5" style="3084" bestFit="1" customWidth="1"/>
    <col min="15121" max="15121" width="10" style="3084" customWidth="1"/>
    <col min="15122" max="15122" width="10.125" style="3084" customWidth="1"/>
    <col min="15123" max="15123" width="10" style="3084" customWidth="1"/>
    <col min="15124" max="15124" width="26.125" style="3084" customWidth="1"/>
    <col min="15125" max="15360" width="8.875" style="3084"/>
    <col min="15361" max="15361" width="9.5" style="3084" customWidth="1"/>
    <col min="15362" max="15362" width="8.875" style="3084"/>
    <col min="15363" max="15365" width="12.875" style="3084" customWidth="1"/>
    <col min="15366" max="15366" width="47.5" style="3084" customWidth="1"/>
    <col min="15367" max="15367" width="13" style="3084" customWidth="1"/>
    <col min="15368" max="15369" width="8.875" style="3084"/>
    <col min="15370" max="15370" width="5.75" style="3084" customWidth="1"/>
    <col min="15371" max="15371" width="11.75" style="3084" customWidth="1"/>
    <col min="15372" max="15373" width="10.75" style="3084" customWidth="1"/>
    <col min="15374" max="15374" width="10" style="3084" customWidth="1"/>
    <col min="15375" max="15376" width="10.5" style="3084" bestFit="1" customWidth="1"/>
    <col min="15377" max="15377" width="10" style="3084" customWidth="1"/>
    <col min="15378" max="15378" width="10.125" style="3084" customWidth="1"/>
    <col min="15379" max="15379" width="10" style="3084" customWidth="1"/>
    <col min="15380" max="15380" width="26.125" style="3084" customWidth="1"/>
    <col min="15381" max="15616" width="8.875" style="3084"/>
    <col min="15617" max="15617" width="9.5" style="3084" customWidth="1"/>
    <col min="15618" max="15618" width="8.875" style="3084"/>
    <col min="15619" max="15621" width="12.875" style="3084" customWidth="1"/>
    <col min="15622" max="15622" width="47.5" style="3084" customWidth="1"/>
    <col min="15623" max="15623" width="13" style="3084" customWidth="1"/>
    <col min="15624" max="15625" width="8.875" style="3084"/>
    <col min="15626" max="15626" width="5.75" style="3084" customWidth="1"/>
    <col min="15627" max="15627" width="11.75" style="3084" customWidth="1"/>
    <col min="15628" max="15629" width="10.75" style="3084" customWidth="1"/>
    <col min="15630" max="15630" width="10" style="3084" customWidth="1"/>
    <col min="15631" max="15632" width="10.5" style="3084" bestFit="1" customWidth="1"/>
    <col min="15633" max="15633" width="10" style="3084" customWidth="1"/>
    <col min="15634" max="15634" width="10.125" style="3084" customWidth="1"/>
    <col min="15635" max="15635" width="10" style="3084" customWidth="1"/>
    <col min="15636" max="15636" width="26.125" style="3084" customWidth="1"/>
    <col min="15637" max="15872" width="8.875" style="3084"/>
    <col min="15873" max="15873" width="9.5" style="3084" customWidth="1"/>
    <col min="15874" max="15874" width="8.875" style="3084"/>
    <col min="15875" max="15877" width="12.875" style="3084" customWidth="1"/>
    <col min="15878" max="15878" width="47.5" style="3084" customWidth="1"/>
    <col min="15879" max="15879" width="13" style="3084" customWidth="1"/>
    <col min="15880" max="15881" width="8.875" style="3084"/>
    <col min="15882" max="15882" width="5.75" style="3084" customWidth="1"/>
    <col min="15883" max="15883" width="11.75" style="3084" customWidth="1"/>
    <col min="15884" max="15885" width="10.75" style="3084" customWidth="1"/>
    <col min="15886" max="15886" width="10" style="3084" customWidth="1"/>
    <col min="15887" max="15888" width="10.5" style="3084" bestFit="1" customWidth="1"/>
    <col min="15889" max="15889" width="10" style="3084" customWidth="1"/>
    <col min="15890" max="15890" width="10.125" style="3084" customWidth="1"/>
    <col min="15891" max="15891" width="10" style="3084" customWidth="1"/>
    <col min="15892" max="15892" width="26.125" style="3084" customWidth="1"/>
    <col min="15893" max="16128" width="8.875" style="3084"/>
    <col min="16129" max="16129" width="9.5" style="3084" customWidth="1"/>
    <col min="16130" max="16130" width="8.875" style="3084"/>
    <col min="16131" max="16133" width="12.875" style="3084" customWidth="1"/>
    <col min="16134" max="16134" width="47.5" style="3084" customWidth="1"/>
    <col min="16135" max="16135" width="13" style="3084" customWidth="1"/>
    <col min="16136" max="16137" width="8.875" style="3084"/>
    <col min="16138" max="16138" width="5.75" style="3084" customWidth="1"/>
    <col min="16139" max="16139" width="11.75" style="3084" customWidth="1"/>
    <col min="16140" max="16141" width="10.75" style="3084" customWidth="1"/>
    <col min="16142" max="16142" width="10" style="3084" customWidth="1"/>
    <col min="16143" max="16144" width="10.5" style="3084" bestFit="1" customWidth="1"/>
    <col min="16145" max="16145" width="10" style="3084" customWidth="1"/>
    <col min="16146" max="16146" width="10.125" style="3084" customWidth="1"/>
    <col min="16147" max="16147" width="10" style="3084" customWidth="1"/>
    <col min="16148" max="16148" width="26.125" style="3084" customWidth="1"/>
    <col min="16149" max="16384" width="8.875" style="3084"/>
  </cols>
  <sheetData>
    <row r="1" spans="1:23" ht="21" customHeight="1">
      <c r="A1" s="3080" t="s">
        <v>2794</v>
      </c>
      <c r="B1" s="3081"/>
      <c r="C1" s="3087"/>
      <c r="D1" s="3087"/>
      <c r="E1" s="3082"/>
      <c r="F1" s="3083"/>
      <c r="G1" s="3176"/>
      <c r="J1" s="3179" t="s">
        <v>2650</v>
      </c>
      <c r="K1" s="3180"/>
      <c r="L1" s="3180"/>
      <c r="M1" s="3180"/>
      <c r="N1" s="3180"/>
      <c r="O1" s="3180"/>
      <c r="P1" s="3180"/>
      <c r="Q1" s="3180"/>
      <c r="R1" s="3181"/>
      <c r="S1" s="3182"/>
      <c r="T1" s="3182"/>
      <c r="U1" s="3182"/>
    </row>
    <row r="2" spans="1:23" s="3090" customFormat="1" ht="13.15" customHeight="1">
      <c r="A2" s="3085" t="s">
        <v>2651</v>
      </c>
      <c r="B2" s="3086" t="e">
        <f>C40</f>
        <v>#DIV/0!</v>
      </c>
      <c r="C2" s="3087" t="s">
        <v>2652</v>
      </c>
      <c r="D2" s="3087"/>
      <c r="E2" s="3088"/>
      <c r="F2" s="3089"/>
      <c r="G2" s="3183"/>
      <c r="H2" s="3184"/>
      <c r="I2" s="3185"/>
      <c r="J2" s="3613" t="s">
        <v>2653</v>
      </c>
      <c r="K2" s="3614"/>
      <c r="L2" s="3186" t="s">
        <v>2654</v>
      </c>
      <c r="M2" s="3186" t="s">
        <v>2655</v>
      </c>
      <c r="N2" s="3186" t="s">
        <v>2656</v>
      </c>
      <c r="O2" s="3186" t="s">
        <v>2657</v>
      </c>
      <c r="P2" s="3186" t="s">
        <v>2658</v>
      </c>
      <c r="Q2" s="3187" t="s">
        <v>2659</v>
      </c>
      <c r="R2" s="3188" t="s">
        <v>2660</v>
      </c>
      <c r="S2" s="3182"/>
      <c r="T2" s="3182"/>
      <c r="U2" s="3182"/>
      <c r="V2" s="3185"/>
      <c r="W2" s="3184"/>
    </row>
    <row r="3" spans="1:23" s="3090" customFormat="1" ht="13.15" customHeight="1">
      <c r="A3" s="3092" t="s">
        <v>2661</v>
      </c>
      <c r="B3" s="3093" t="e">
        <f>ROUND(B2*10000/B4,0)</f>
        <v>#DIV/0!</v>
      </c>
      <c r="C3" s="3087" t="s">
        <v>2662</v>
      </c>
      <c r="D3" s="3087"/>
      <c r="E3" s="3088"/>
      <c r="F3" s="3089"/>
      <c r="G3" s="3183"/>
      <c r="H3" s="3184"/>
      <c r="I3" s="3185"/>
      <c r="J3" s="3615" t="s">
        <v>2663</v>
      </c>
      <c r="K3" s="3616"/>
      <c r="L3" s="3189"/>
      <c r="M3" s="3189"/>
      <c r="N3" s="3189"/>
      <c r="O3" s="3189"/>
      <c r="P3" s="3189"/>
      <c r="Q3" s="3190"/>
      <c r="R3" s="3191">
        <f>SUM(L3:Q3)</f>
        <v>0</v>
      </c>
      <c r="S3" s="3182"/>
      <c r="T3" s="3182"/>
      <c r="U3" s="3182"/>
      <c r="V3" s="3185"/>
      <c r="W3" s="3184"/>
    </row>
    <row r="4" spans="1:23" s="3090" customFormat="1" ht="13.15" customHeight="1">
      <c r="A4" s="3094" t="s">
        <v>2664</v>
      </c>
      <c r="B4" s="3151"/>
      <c r="C4" s="3087"/>
      <c r="D4" s="3087"/>
      <c r="E4" s="3088"/>
      <c r="F4" s="3089"/>
      <c r="G4" s="3183"/>
      <c r="H4" s="3184"/>
      <c r="I4" s="3185"/>
      <c r="J4" s="3615" t="s">
        <v>2665</v>
      </c>
      <c r="K4" s="3616"/>
      <c r="L4" s="3192"/>
      <c r="M4" s="3192"/>
      <c r="N4" s="3192"/>
      <c r="O4" s="3192"/>
      <c r="P4" s="3192"/>
      <c r="Q4" s="3193"/>
      <c r="R4" s="3194">
        <f>SUM(L4:Q4)</f>
        <v>0</v>
      </c>
      <c r="S4" s="3182"/>
      <c r="T4" s="3182"/>
      <c r="U4" s="3182"/>
      <c r="V4" s="3185"/>
      <c r="W4" s="3184"/>
    </row>
    <row r="5" spans="1:23" s="3090" customFormat="1" ht="13.15" customHeight="1" thickBot="1">
      <c r="A5" s="3095" t="s">
        <v>2666</v>
      </c>
      <c r="B5" s="3152"/>
      <c r="C5" s="3087"/>
      <c r="D5" s="3096"/>
      <c r="E5" s="3089"/>
      <c r="F5" s="3089"/>
      <c r="G5" s="3183"/>
      <c r="H5" s="3184"/>
      <c r="I5" s="3185"/>
      <c r="J5" s="3195" t="s">
        <v>2667</v>
      </c>
      <c r="K5" s="3196"/>
      <c r="L5" s="3196"/>
      <c r="M5" s="3197"/>
      <c r="N5" s="3197"/>
      <c r="O5" s="3197"/>
      <c r="P5" s="3197"/>
      <c r="Q5" s="3197"/>
      <c r="R5" s="3188">
        <f>SUM(R14,R19,R24,R25,R27,R28)</f>
        <v>0</v>
      </c>
      <c r="S5" s="3182"/>
      <c r="T5" s="3182" t="s">
        <v>2668</v>
      </c>
      <c r="U5" s="3182" t="e">
        <f>ROUND(R5*10000/365/R3,1)</f>
        <v>#DIV/0!</v>
      </c>
      <c r="V5" s="3185"/>
      <c r="W5" s="3184"/>
    </row>
    <row r="6" spans="1:23" s="3090" customFormat="1" ht="13.15" customHeight="1" thickBot="1">
      <c r="A6" s="3621" t="s">
        <v>2669</v>
      </c>
      <c r="B6" s="3622"/>
      <c r="C6" s="3623"/>
      <c r="D6" s="3153"/>
      <c r="E6" s="3097"/>
      <c r="F6" s="3098"/>
      <c r="G6" s="3198"/>
      <c r="H6" s="3184"/>
      <c r="I6" s="3185"/>
      <c r="J6" s="3607">
        <v>1</v>
      </c>
      <c r="K6" s="3608" t="s">
        <v>2670</v>
      </c>
      <c r="L6" s="3199" t="s">
        <v>2671</v>
      </c>
      <c r="M6" s="3200" t="s">
        <v>2672</v>
      </c>
      <c r="N6" s="3200" t="s">
        <v>2673</v>
      </c>
      <c r="O6" s="3200" t="s">
        <v>2674</v>
      </c>
      <c r="P6" s="3200" t="s">
        <v>2675</v>
      </c>
      <c r="Q6" s="3200" t="s">
        <v>2676</v>
      </c>
      <c r="R6" s="3191" t="s">
        <v>2677</v>
      </c>
      <c r="S6" s="3182"/>
      <c r="T6" s="3182" t="s">
        <v>2678</v>
      </c>
      <c r="U6" s="3182"/>
      <c r="V6" s="3185"/>
      <c r="W6" s="3184"/>
    </row>
    <row r="7" spans="1:23" s="3090" customFormat="1" ht="13.15" customHeight="1">
      <c r="A7" s="3100" t="s">
        <v>2679</v>
      </c>
      <c r="B7" s="3101"/>
      <c r="C7" s="3102"/>
      <c r="D7" s="3103">
        <f>SUM(D9,D10,D11,D17,0)</f>
        <v>0</v>
      </c>
      <c r="E7" s="3104" t="e">
        <f>E9+E10+E11+E17</f>
        <v>#DIV/0!</v>
      </c>
      <c r="F7" s="3105"/>
      <c r="G7" s="3201"/>
      <c r="H7" s="3184"/>
      <c r="I7" s="3185"/>
      <c r="J7" s="3607"/>
      <c r="K7" s="3609"/>
      <c r="L7" s="3202" t="s">
        <v>2779</v>
      </c>
      <c r="M7" s="3203"/>
      <c r="N7" s="3203"/>
      <c r="O7" s="3204"/>
      <c r="P7" s="3204"/>
      <c r="Q7" s="3205">
        <v>365</v>
      </c>
      <c r="R7" s="3206">
        <f>ROUND(M7*N7*O7*P7*Q7/10000,0)</f>
        <v>0</v>
      </c>
      <c r="S7" s="3182"/>
      <c r="T7" s="3182" t="s">
        <v>2680</v>
      </c>
      <c r="U7" s="3182"/>
      <c r="V7" s="3185"/>
      <c r="W7" s="3184"/>
    </row>
    <row r="8" spans="1:23" s="3090" customFormat="1" ht="13.15" customHeight="1">
      <c r="A8" s="3106" t="s">
        <v>2681</v>
      </c>
      <c r="B8" s="3624" t="s">
        <v>2682</v>
      </c>
      <c r="C8" s="3625"/>
      <c r="D8" s="3107" t="s">
        <v>2683</v>
      </c>
      <c r="E8" s="3108" t="s">
        <v>2684</v>
      </c>
      <c r="F8" s="3091" t="s">
        <v>2685</v>
      </c>
      <c r="G8" s="3261" t="s">
        <v>2793</v>
      </c>
      <c r="H8" s="3184"/>
      <c r="I8" s="3185"/>
      <c r="J8" s="3607"/>
      <c r="K8" s="3609"/>
      <c r="L8" s="3202" t="s">
        <v>2780</v>
      </c>
      <c r="M8" s="3203"/>
      <c r="N8" s="3203"/>
      <c r="O8" s="3204"/>
      <c r="P8" s="3204"/>
      <c r="Q8" s="3205">
        <v>365</v>
      </c>
      <c r="R8" s="3206">
        <f t="shared" ref="R8:R13" si="0">ROUND(M8*N8*O8*P8*Q8/10000,0)</f>
        <v>0</v>
      </c>
      <c r="S8" s="3182"/>
      <c r="T8" s="3182" t="s">
        <v>2686</v>
      </c>
      <c r="U8" s="3182"/>
      <c r="V8" s="3185"/>
      <c r="W8" s="3184"/>
    </row>
    <row r="9" spans="1:23" s="3090" customFormat="1" ht="13.15" customHeight="1">
      <c r="A9" s="3106">
        <v>1</v>
      </c>
      <c r="B9" s="3624" t="s">
        <v>2687</v>
      </c>
      <c r="C9" s="3625"/>
      <c r="D9" s="3107">
        <f>ROUND(D6*E9,0)</f>
        <v>0</v>
      </c>
      <c r="E9" s="3154"/>
      <c r="F9" s="3109" t="s">
        <v>2688</v>
      </c>
      <c r="G9" s="3207" t="s">
        <v>2791</v>
      </c>
      <c r="H9" s="3184"/>
      <c r="I9" s="3185"/>
      <c r="J9" s="3607"/>
      <c r="K9" s="3609"/>
      <c r="L9" s="3202" t="s">
        <v>2781</v>
      </c>
      <c r="M9" s="3203"/>
      <c r="N9" s="3203"/>
      <c r="O9" s="3204"/>
      <c r="P9" s="3204"/>
      <c r="Q9" s="3205">
        <v>365</v>
      </c>
      <c r="R9" s="3206">
        <f t="shared" si="0"/>
        <v>0</v>
      </c>
      <c r="S9" s="3182"/>
      <c r="T9" s="3182"/>
      <c r="U9" s="3182"/>
      <c r="V9" s="3185"/>
      <c r="W9" s="3184"/>
    </row>
    <row r="10" spans="1:23" s="3090" customFormat="1" ht="13.15" customHeight="1">
      <c r="A10" s="3106">
        <v>2</v>
      </c>
      <c r="B10" s="3624" t="s">
        <v>2689</v>
      </c>
      <c r="C10" s="3625"/>
      <c r="D10" s="3107">
        <f>ROUND(D6*E10,0)</f>
        <v>0</v>
      </c>
      <c r="E10" s="3154"/>
      <c r="F10" s="3109" t="s">
        <v>2690</v>
      </c>
      <c r="G10" s="3207" t="s">
        <v>2792</v>
      </c>
      <c r="H10" s="3184"/>
      <c r="I10" s="3185"/>
      <c r="J10" s="3607"/>
      <c r="K10" s="3609"/>
      <c r="L10" s="3202" t="s">
        <v>2782</v>
      </c>
      <c r="M10" s="3203"/>
      <c r="N10" s="3203"/>
      <c r="O10" s="3204"/>
      <c r="P10" s="3204"/>
      <c r="Q10" s="3205">
        <v>365</v>
      </c>
      <c r="R10" s="3206">
        <f t="shared" si="0"/>
        <v>0</v>
      </c>
      <c r="S10" s="3182"/>
      <c r="T10" s="3182"/>
      <c r="U10" s="3182"/>
      <c r="V10" s="3185"/>
      <c r="W10" s="3184"/>
    </row>
    <row r="11" spans="1:23" s="3090" customFormat="1" ht="13.15" customHeight="1">
      <c r="A11" s="3106">
        <v>3</v>
      </c>
      <c r="B11" s="3624" t="s">
        <v>2691</v>
      </c>
      <c r="C11" s="3625"/>
      <c r="D11" s="3107">
        <f>D12+D14+D15+D16</f>
        <v>0</v>
      </c>
      <c r="E11" s="3110" t="e">
        <f>D11/D6</f>
        <v>#DIV/0!</v>
      </c>
      <c r="F11" s="3091"/>
      <c r="G11" s="3207"/>
      <c r="H11" s="3184"/>
      <c r="I11" s="3185"/>
      <c r="J11" s="3607"/>
      <c r="K11" s="3609"/>
      <c r="L11" s="3202" t="s">
        <v>2783</v>
      </c>
      <c r="M11" s="3203"/>
      <c r="N11" s="3203"/>
      <c r="O11" s="3204"/>
      <c r="P11" s="3204"/>
      <c r="Q11" s="3205">
        <v>365</v>
      </c>
      <c r="R11" s="3206">
        <f t="shared" si="0"/>
        <v>0</v>
      </c>
      <c r="S11" s="3182"/>
      <c r="T11" s="3182"/>
      <c r="U11" s="3182"/>
      <c r="V11" s="3185"/>
      <c r="W11" s="3184"/>
    </row>
    <row r="12" spans="1:23" s="3090" customFormat="1" ht="13.15" customHeight="1">
      <c r="A12" s="3111" t="s">
        <v>2692</v>
      </c>
      <c r="B12" s="3617" t="s">
        <v>2693</v>
      </c>
      <c r="C12" s="3618"/>
      <c r="D12" s="3112">
        <f>ROUND(D13*1.2%*(1-30%),0)</f>
        <v>0</v>
      </c>
      <c r="E12" s="3113">
        <v>1.2E-2</v>
      </c>
      <c r="F12" s="3091" t="s">
        <v>2694</v>
      </c>
      <c r="G12" s="3207"/>
      <c r="H12" s="3184"/>
      <c r="I12" s="3185"/>
      <c r="J12" s="3607"/>
      <c r="K12" s="3609"/>
      <c r="L12" s="3202" t="s">
        <v>2784</v>
      </c>
      <c r="M12" s="3203"/>
      <c r="N12" s="3203"/>
      <c r="O12" s="3204"/>
      <c r="P12" s="3204"/>
      <c r="Q12" s="3205">
        <v>365</v>
      </c>
      <c r="R12" s="3206">
        <f t="shared" si="0"/>
        <v>0</v>
      </c>
      <c r="S12" s="3182"/>
      <c r="T12" s="3182"/>
      <c r="U12" s="3182"/>
      <c r="V12" s="3185"/>
      <c r="W12" s="3184"/>
    </row>
    <row r="13" spans="1:23" s="3090" customFormat="1" ht="13.15" customHeight="1">
      <c r="A13" s="3111"/>
      <c r="B13" s="3114"/>
      <c r="C13" s="3115" t="s">
        <v>2695</v>
      </c>
      <c r="D13" s="3155"/>
      <c r="E13" s="3116"/>
      <c r="F13" s="3091"/>
      <c r="G13" s="3207"/>
      <c r="H13" s="3184"/>
      <c r="I13" s="3185"/>
      <c r="J13" s="3607"/>
      <c r="K13" s="3609"/>
      <c r="L13" s="3202" t="s">
        <v>2785</v>
      </c>
      <c r="M13" s="3203"/>
      <c r="N13" s="3203"/>
      <c r="O13" s="3204"/>
      <c r="P13" s="3204"/>
      <c r="Q13" s="3205">
        <v>365</v>
      </c>
      <c r="R13" s="3206">
        <f t="shared" si="0"/>
        <v>0</v>
      </c>
      <c r="S13" s="3182"/>
      <c r="T13" s="3182"/>
      <c r="U13" s="3182"/>
      <c r="V13" s="3185"/>
      <c r="W13" s="3184"/>
    </row>
    <row r="14" spans="1:23" s="3090" customFormat="1" ht="13.15" customHeight="1">
      <c r="A14" s="3111" t="s">
        <v>2696</v>
      </c>
      <c r="B14" s="3617" t="s">
        <v>2697</v>
      </c>
      <c r="C14" s="3618"/>
      <c r="D14" s="3112">
        <f>ROUND(E14*B5/10000,0)</f>
        <v>0</v>
      </c>
      <c r="E14" s="3156"/>
      <c r="F14" s="3091" t="s">
        <v>2698</v>
      </c>
      <c r="G14" s="3207"/>
      <c r="H14" s="3184"/>
      <c r="I14" s="3185"/>
      <c r="J14" s="3607"/>
      <c r="K14" s="3610"/>
      <c r="L14" s="3208" t="s">
        <v>2699</v>
      </c>
      <c r="M14" s="3209">
        <f>SUM(M7:M13)</f>
        <v>0</v>
      </c>
      <c r="N14" s="3209" t="e">
        <f>ROUND((N7*M7+N8*M8+N9*M9+N10*M10+N11*M11+N12*M12+N13*M13)/M14,0)</f>
        <v>#DIV/0!</v>
      </c>
      <c r="O14" s="3210"/>
      <c r="P14" s="3210"/>
      <c r="Q14" s="3211"/>
      <c r="R14" s="3188">
        <f>SUM(R7:R13)</f>
        <v>0</v>
      </c>
      <c r="S14" s="3182"/>
      <c r="T14" s="3182"/>
      <c r="U14" s="3182"/>
      <c r="V14" s="3185"/>
      <c r="W14" s="3184"/>
    </row>
    <row r="15" spans="1:23" s="3090" customFormat="1" ht="13.15" customHeight="1">
      <c r="A15" s="3111" t="s">
        <v>2700</v>
      </c>
      <c r="B15" s="3617" t="s">
        <v>2701</v>
      </c>
      <c r="C15" s="3618"/>
      <c r="D15" s="3112">
        <f>ROUND(D6*E15,0)</f>
        <v>0</v>
      </c>
      <c r="E15" s="3113">
        <v>5.5E-2</v>
      </c>
      <c r="F15" s="3091" t="s">
        <v>2702</v>
      </c>
      <c r="G15" s="3207"/>
      <c r="H15" s="3184"/>
      <c r="I15" s="3185"/>
      <c r="J15" s="3607">
        <v>2</v>
      </c>
      <c r="K15" s="3608" t="s">
        <v>2703</v>
      </c>
      <c r="L15" s="3212" t="s">
        <v>2704</v>
      </c>
      <c r="M15" s="3213" t="s">
        <v>2705</v>
      </c>
      <c r="N15" s="3213" t="s">
        <v>2706</v>
      </c>
      <c r="O15" s="3214" t="s">
        <v>2707</v>
      </c>
      <c r="P15" s="3214" t="s">
        <v>2708</v>
      </c>
      <c r="Q15" s="3151" t="s">
        <v>2709</v>
      </c>
      <c r="R15" s="3215" t="s">
        <v>2710</v>
      </c>
      <c r="S15" s="3182"/>
      <c r="T15" s="3182"/>
      <c r="U15" s="3182"/>
      <c r="V15" s="3185"/>
      <c r="W15" s="3184"/>
    </row>
    <row r="16" spans="1:23" s="3090" customFormat="1" ht="13.15" customHeight="1">
      <c r="A16" s="3111" t="s">
        <v>2711</v>
      </c>
      <c r="B16" s="3617" t="s">
        <v>2712</v>
      </c>
      <c r="C16" s="3618"/>
      <c r="D16" s="3157">
        <f>D6*E16</f>
        <v>0</v>
      </c>
      <c r="E16" s="3158"/>
      <c r="F16" s="3109" t="s">
        <v>2713</v>
      </c>
      <c r="G16" s="3207"/>
      <c r="H16" s="3184"/>
      <c r="I16" s="3185"/>
      <c r="J16" s="3607"/>
      <c r="K16" s="3609"/>
      <c r="L16" s="3202" t="s">
        <v>2786</v>
      </c>
      <c r="M16" s="3203"/>
      <c r="N16" s="3203"/>
      <c r="O16" s="3204"/>
      <c r="P16" s="3205">
        <v>365</v>
      </c>
      <c r="Q16" s="3203"/>
      <c r="R16" s="3216">
        <f>ROUND(M16*N16*O16*P16/10000,0)</f>
        <v>0</v>
      </c>
      <c r="S16" s="3182"/>
      <c r="T16" s="3182"/>
      <c r="U16" s="3182"/>
      <c r="V16" s="3185"/>
      <c r="W16" s="3184"/>
    </row>
    <row r="17" spans="1:23" s="3090" customFormat="1" ht="13.15" customHeight="1" thickBot="1">
      <c r="A17" s="3117">
        <v>4</v>
      </c>
      <c r="B17" s="3619" t="s">
        <v>2714</v>
      </c>
      <c r="C17" s="3620"/>
      <c r="D17" s="3118">
        <f>ROUND(D6*E17,0)</f>
        <v>0</v>
      </c>
      <c r="E17" s="3159"/>
      <c r="F17" s="3119" t="s">
        <v>2715</v>
      </c>
      <c r="G17" s="3260">
        <v>0.1</v>
      </c>
      <c r="H17" s="3184"/>
      <c r="I17" s="3185"/>
      <c r="J17" s="3607"/>
      <c r="K17" s="3609"/>
      <c r="L17" s="3202" t="s">
        <v>2787</v>
      </c>
      <c r="M17" s="3203"/>
      <c r="N17" s="3203"/>
      <c r="O17" s="3204"/>
      <c r="P17" s="3205">
        <v>365</v>
      </c>
      <c r="Q17" s="3203"/>
      <c r="R17" s="3216">
        <f>ROUND(M17*N17*O17*P17/10000,0)</f>
        <v>0</v>
      </c>
      <c r="S17" s="3182"/>
      <c r="T17" s="3182"/>
      <c r="U17" s="3182"/>
      <c r="V17" s="3185"/>
      <c r="W17" s="3184"/>
    </row>
    <row r="18" spans="1:23" s="3090" customFormat="1" ht="13.15" customHeight="1" thickBot="1">
      <c r="A18" s="3100" t="s">
        <v>2716</v>
      </c>
      <c r="B18" s="3101"/>
      <c r="C18" s="3101"/>
      <c r="D18" s="3120">
        <f>ROUND(D6*E18,0)</f>
        <v>0</v>
      </c>
      <c r="E18" s="3160"/>
      <c r="F18" s="3121" t="s">
        <v>2717</v>
      </c>
      <c r="G18" s="3260">
        <v>0.05</v>
      </c>
      <c r="H18" s="3184"/>
      <c r="I18" s="3185"/>
      <c r="J18" s="3607"/>
      <c r="K18" s="3609"/>
      <c r="L18" s="3202" t="s">
        <v>2788</v>
      </c>
      <c r="M18" s="3203"/>
      <c r="N18" s="3203"/>
      <c r="O18" s="3204"/>
      <c r="P18" s="3205">
        <v>365</v>
      </c>
      <c r="Q18" s="3203"/>
      <c r="R18" s="3216">
        <f>ROUND(M18*N18*O18*P18/10000,0)</f>
        <v>0</v>
      </c>
      <c r="S18" s="3182"/>
      <c r="T18" s="3182"/>
      <c r="U18" s="3182"/>
      <c r="V18" s="3185"/>
      <c r="W18" s="3184"/>
    </row>
    <row r="19" spans="1:23" s="3090" customFormat="1" ht="13.15" customHeight="1" thickBot="1">
      <c r="A19" s="3122" t="s">
        <v>2718</v>
      </c>
      <c r="B19" s="3097"/>
      <c r="C19" s="3097"/>
      <c r="D19" s="3097"/>
      <c r="E19" s="3097"/>
      <c r="F19" s="3098"/>
      <c r="G19" s="3207"/>
      <c r="H19" s="3184"/>
      <c r="I19" s="3185"/>
      <c r="J19" s="3607"/>
      <c r="K19" s="3610"/>
      <c r="L19" s="3208" t="s">
        <v>2699</v>
      </c>
      <c r="M19" s="3209"/>
      <c r="N19" s="3209">
        <f>SUM(N16:N18)</f>
        <v>0</v>
      </c>
      <c r="O19" s="3210"/>
      <c r="P19" s="3217" t="s">
        <v>2789</v>
      </c>
      <c r="Q19" s="3214">
        <v>0.5</v>
      </c>
      <c r="R19" s="3218">
        <f>ROUND(IF(P19="按比例",R14*Q19,SUM(R16:R18)),0)</f>
        <v>0</v>
      </c>
      <c r="S19" s="3182"/>
      <c r="T19" s="3182"/>
      <c r="U19" s="3182"/>
      <c r="V19" s="3185"/>
      <c r="W19" s="3184"/>
    </row>
    <row r="20" spans="1:23" s="3090" customFormat="1" ht="13.15" customHeight="1">
      <c r="A20" s="3100"/>
      <c r="B20" s="3101"/>
      <c r="C20" s="3101"/>
      <c r="D20" s="3101"/>
      <c r="E20" s="3101"/>
      <c r="F20" s="3123"/>
      <c r="G20" s="3207"/>
      <c r="H20" s="3184"/>
      <c r="I20" s="3185"/>
      <c r="J20" s="3607">
        <v>3</v>
      </c>
      <c r="K20" s="3608" t="s">
        <v>2719</v>
      </c>
      <c r="L20" s="3212" t="s">
        <v>2720</v>
      </c>
      <c r="M20" s="3213" t="s">
        <v>2721</v>
      </c>
      <c r="N20" s="3219" t="s">
        <v>2722</v>
      </c>
      <c r="O20" s="3214" t="s">
        <v>2723</v>
      </c>
      <c r="P20" s="3156" t="s">
        <v>2708</v>
      </c>
      <c r="Q20" s="3151" t="s">
        <v>2709</v>
      </c>
      <c r="R20" s="3215" t="s">
        <v>2710</v>
      </c>
      <c r="S20" s="3220"/>
      <c r="T20" s="3220"/>
      <c r="U20" s="3220"/>
      <c r="V20" s="3185"/>
      <c r="W20" s="3184"/>
    </row>
    <row r="21" spans="1:23" s="3090" customFormat="1" ht="13.15" customHeight="1">
      <c r="A21" s="3100"/>
      <c r="B21" s="3101"/>
      <c r="C21" s="3124" t="s">
        <v>2724</v>
      </c>
      <c r="D21" s="3125" t="s">
        <v>2725</v>
      </c>
      <c r="E21" s="3126" t="s">
        <v>2726</v>
      </c>
      <c r="F21" s="3123"/>
      <c r="G21" s="3207"/>
      <c r="H21" s="3184"/>
      <c r="I21" s="3185"/>
      <c r="J21" s="3607"/>
      <c r="K21" s="3609"/>
      <c r="L21" s="3212" t="s">
        <v>2727</v>
      </c>
      <c r="M21" s="3213"/>
      <c r="N21" s="3213"/>
      <c r="O21" s="3214"/>
      <c r="P21" s="3156">
        <v>365</v>
      </c>
      <c r="Q21" s="3151"/>
      <c r="R21" s="3221">
        <f>ROUND(M21*N21*O21*P21/10000,0)</f>
        <v>0</v>
      </c>
      <c r="S21" s="3220"/>
      <c r="T21" s="3220"/>
      <c r="U21" s="3220"/>
      <c r="V21" s="3185"/>
      <c r="W21" s="3184"/>
    </row>
    <row r="22" spans="1:23" s="3090" customFormat="1" ht="13.15" customHeight="1">
      <c r="A22" s="3100"/>
      <c r="B22" s="3101"/>
      <c r="C22" s="3161" t="s">
        <v>2728</v>
      </c>
      <c r="D22" s="3162" t="s">
        <v>2729</v>
      </c>
      <c r="E22" s="3163" t="s">
        <v>2730</v>
      </c>
      <c r="F22" s="3123"/>
      <c r="G22" s="3222"/>
      <c r="H22" s="3184"/>
      <c r="I22" s="3185"/>
      <c r="J22" s="3607"/>
      <c r="K22" s="3609"/>
      <c r="L22" s="3212" t="s">
        <v>2731</v>
      </c>
      <c r="M22" s="3213"/>
      <c r="N22" s="3213"/>
      <c r="O22" s="3214"/>
      <c r="P22" s="3156">
        <v>365</v>
      </c>
      <c r="Q22" s="3151"/>
      <c r="R22" s="3221">
        <f>ROUND(M22*N22*O22*P22/10000,0)</f>
        <v>0</v>
      </c>
      <c r="S22" s="3220"/>
      <c r="T22" s="3220"/>
      <c r="U22" s="3220"/>
      <c r="V22" s="3185"/>
      <c r="W22" s="3184"/>
    </row>
    <row r="23" spans="1:23" s="3090" customFormat="1" ht="13.15" customHeight="1">
      <c r="A23" s="3127">
        <v>1</v>
      </c>
      <c r="B23" s="3099" t="s">
        <v>2732</v>
      </c>
      <c r="C23" s="3128">
        <f>D6</f>
        <v>0</v>
      </c>
      <c r="D23" s="3129">
        <f>C23*(1+D24)</f>
        <v>0</v>
      </c>
      <c r="E23" s="3130">
        <f>D23*(1+E24)</f>
        <v>0</v>
      </c>
      <c r="F23" s="3131"/>
      <c r="G23" s="3223"/>
      <c r="H23" s="3184"/>
      <c r="I23" s="3185"/>
      <c r="J23" s="3607"/>
      <c r="K23" s="3609"/>
      <c r="L23" s="3212" t="s">
        <v>2733</v>
      </c>
      <c r="M23" s="3213"/>
      <c r="N23" s="3213"/>
      <c r="O23" s="3214"/>
      <c r="P23" s="3156">
        <v>365</v>
      </c>
      <c r="Q23" s="3151"/>
      <c r="R23" s="3221">
        <f>ROUND(M23*N23*O23*P23/10000,0)</f>
        <v>0</v>
      </c>
      <c r="S23" s="3182"/>
      <c r="T23" s="3182"/>
      <c r="U23" s="3182"/>
      <c r="V23" s="3185"/>
      <c r="W23" s="3184"/>
    </row>
    <row r="24" spans="1:23" s="3090" customFormat="1" ht="13.15" customHeight="1">
      <c r="A24" s="3132"/>
      <c r="B24" s="3133" t="s">
        <v>2734</v>
      </c>
      <c r="C24" s="3134"/>
      <c r="D24" s="3164"/>
      <c r="E24" s="3165"/>
      <c r="F24" s="3135"/>
      <c r="G24" s="3223"/>
      <c r="H24" s="3184"/>
      <c r="I24" s="3185"/>
      <c r="J24" s="3607"/>
      <c r="K24" s="3610"/>
      <c r="L24" s="3208" t="s">
        <v>2699</v>
      </c>
      <c r="M24" s="3209">
        <f>SUM(M21:M23)</f>
        <v>0</v>
      </c>
      <c r="N24" s="3209"/>
      <c r="O24" s="3210"/>
      <c r="P24" s="3217" t="s">
        <v>2789</v>
      </c>
      <c r="Q24" s="3214">
        <v>0.1</v>
      </c>
      <c r="R24" s="3218">
        <f>ROUND(IF(P24="按比例",R14*Q24,SUM(R21:R23)),0)</f>
        <v>0</v>
      </c>
      <c r="S24" s="3182"/>
      <c r="T24" s="3182"/>
      <c r="U24" s="3182"/>
      <c r="V24" s="3185"/>
      <c r="W24" s="3184"/>
    </row>
    <row r="25" spans="1:23" s="3136" customFormat="1" ht="13.15" customHeight="1">
      <c r="A25" s="3132"/>
      <c r="B25" s="3133"/>
      <c r="C25" s="3134"/>
      <c r="D25" s="3164"/>
      <c r="E25" s="3165"/>
      <c r="F25" s="3135"/>
      <c r="G25" s="3222"/>
      <c r="H25" s="3184"/>
      <c r="I25" s="3185"/>
      <c r="J25" s="3224">
        <v>4</v>
      </c>
      <c r="K25" s="3225" t="s">
        <v>2735</v>
      </c>
      <c r="L25" s="3226"/>
      <c r="M25" s="3226"/>
      <c r="N25" s="3226"/>
      <c r="O25" s="3226"/>
      <c r="P25" s="3227"/>
      <c r="Q25" s="3228">
        <v>0</v>
      </c>
      <c r="R25" s="3218">
        <f>ROUND(R14*Q25,0)</f>
        <v>0</v>
      </c>
      <c r="S25" s="3182"/>
      <c r="T25" s="3182"/>
      <c r="U25" s="3182"/>
      <c r="V25" s="3229"/>
      <c r="W25" s="3230"/>
    </row>
    <row r="26" spans="1:23" s="3136" customFormat="1" ht="13.15" customHeight="1">
      <c r="A26" s="3127">
        <v>2</v>
      </c>
      <c r="B26" s="3099" t="s">
        <v>2736</v>
      </c>
      <c r="C26" s="3128">
        <f>D7</f>
        <v>0</v>
      </c>
      <c r="D26" s="3129">
        <f>D23*D27</f>
        <v>0</v>
      </c>
      <c r="E26" s="3130">
        <f>E23*E27</f>
        <v>0</v>
      </c>
      <c r="F26" s="3131"/>
      <c r="G26" s="3223"/>
      <c r="H26" s="3184"/>
      <c r="I26" s="3185"/>
      <c r="J26" s="3611">
        <v>5</v>
      </c>
      <c r="K26" s="3231" t="s">
        <v>2737</v>
      </c>
      <c r="L26" s="3232"/>
      <c r="M26" s="3233"/>
      <c r="N26" s="3234" t="s">
        <v>2738</v>
      </c>
      <c r="O26" s="3234" t="s">
        <v>2739</v>
      </c>
      <c r="P26" s="3235" t="s">
        <v>2740</v>
      </c>
      <c r="Q26" s="3235" t="s">
        <v>2741</v>
      </c>
      <c r="R26" s="3191" t="s">
        <v>2710</v>
      </c>
      <c r="S26" s="3236"/>
      <c r="T26" s="3236"/>
      <c r="U26" s="3236"/>
      <c r="V26" s="3229"/>
      <c r="W26" s="3230"/>
    </row>
    <row r="27" spans="1:23" s="3090" customFormat="1" ht="13.15" customHeight="1">
      <c r="A27" s="3132"/>
      <c r="B27" s="3133" t="s">
        <v>2742</v>
      </c>
      <c r="C27" s="3137" t="e">
        <f>E7</f>
        <v>#DIV/0!</v>
      </c>
      <c r="D27" s="3164"/>
      <c r="E27" s="3165"/>
      <c r="F27" s="3135"/>
      <c r="G27" s="3223"/>
      <c r="H27" s="3230"/>
      <c r="I27" s="3229"/>
      <c r="J27" s="3612"/>
      <c r="K27" s="3237"/>
      <c r="L27" s="3238"/>
      <c r="M27" s="3239"/>
      <c r="N27" s="3240"/>
      <c r="O27" s="3240"/>
      <c r="P27" s="3240"/>
      <c r="Q27" s="3241"/>
      <c r="R27" s="3218">
        <f>ROUND(O27*N27*P27*(1-Q27)/10000,0)</f>
        <v>0</v>
      </c>
      <c r="S27" s="3182"/>
      <c r="T27" s="3182"/>
      <c r="U27" s="3182"/>
      <c r="V27" s="3185"/>
      <c r="W27" s="3184"/>
    </row>
    <row r="28" spans="1:23" s="3136" customFormat="1" ht="13.15" customHeight="1" thickBot="1">
      <c r="A28" s="3132"/>
      <c r="B28" s="3133"/>
      <c r="C28" s="3137"/>
      <c r="D28" s="3164"/>
      <c r="E28" s="3165" t="s">
        <v>2743</v>
      </c>
      <c r="F28" s="3135"/>
      <c r="G28" s="3222"/>
      <c r="H28" s="3230"/>
      <c r="I28" s="3229"/>
      <c r="J28" s="3242">
        <v>6</v>
      </c>
      <c r="K28" s="3243" t="s">
        <v>2744</v>
      </c>
      <c r="L28" s="3244" t="s">
        <v>2745</v>
      </c>
      <c r="M28" s="3245"/>
      <c r="N28" s="3244" t="s">
        <v>2746</v>
      </c>
      <c r="O28" s="3246"/>
      <c r="P28" s="3244" t="s">
        <v>2747</v>
      </c>
      <c r="Q28" s="3247">
        <v>1.4999999999999999E-2</v>
      </c>
      <c r="R28" s="3248"/>
      <c r="S28" s="3220"/>
      <c r="T28" s="3220"/>
      <c r="U28" s="3220"/>
      <c r="V28" s="3229"/>
      <c r="W28" s="3230"/>
    </row>
    <row r="29" spans="1:23" s="3136" customFormat="1" ht="13.15" customHeight="1">
      <c r="A29" s="3127">
        <v>3</v>
      </c>
      <c r="B29" s="3099" t="s">
        <v>2748</v>
      </c>
      <c r="C29" s="3128">
        <f>C23*C30</f>
        <v>0</v>
      </c>
      <c r="D29" s="3129">
        <f>D23*C30</f>
        <v>0</v>
      </c>
      <c r="E29" s="3130">
        <f>E23*C30</f>
        <v>0</v>
      </c>
      <c r="F29" s="3131"/>
      <c r="G29" s="3223"/>
      <c r="H29" s="3184"/>
      <c r="I29" s="3185"/>
      <c r="J29" s="3220"/>
      <c r="K29" s="3220"/>
      <c r="L29" s="3220"/>
      <c r="M29" s="3220"/>
      <c r="N29" s="3220"/>
      <c r="O29" s="3220"/>
      <c r="P29" s="3220"/>
      <c r="Q29" s="3220"/>
      <c r="R29" s="3220"/>
      <c r="S29" s="3220"/>
      <c r="T29" s="3220"/>
      <c r="U29" s="3220"/>
      <c r="V29" s="3229"/>
      <c r="W29" s="3230"/>
    </row>
    <row r="30" spans="1:23" s="3090" customFormat="1" ht="13.15" customHeight="1" thickBot="1">
      <c r="A30" s="3132"/>
      <c r="B30" s="3133" t="s">
        <v>2742</v>
      </c>
      <c r="C30" s="3137">
        <f>E18</f>
        <v>0</v>
      </c>
      <c r="D30" s="3138"/>
      <c r="E30" s="3116"/>
      <c r="F30" s="3135"/>
      <c r="G30" s="3223"/>
      <c r="H30" s="3230"/>
      <c r="I30" s="3229"/>
      <c r="J30" s="3220"/>
      <c r="K30" s="3220"/>
      <c r="L30" s="3220"/>
      <c r="M30" s="3220"/>
      <c r="N30" s="3220"/>
      <c r="O30" s="3220"/>
      <c r="P30" s="3220"/>
      <c r="Q30" s="3220"/>
      <c r="R30" s="3220"/>
      <c r="S30" s="3220"/>
      <c r="T30" s="3220"/>
      <c r="U30" s="3182"/>
      <c r="V30" s="3185"/>
      <c r="W30" s="3184"/>
    </row>
    <row r="31" spans="1:23" s="3136" customFormat="1" ht="13.15" customHeight="1">
      <c r="A31" s="3132"/>
      <c r="B31" s="3133"/>
      <c r="C31" s="3166"/>
      <c r="D31" s="3138"/>
      <c r="E31" s="3116"/>
      <c r="F31" s="3135"/>
      <c r="G31" s="3222"/>
      <c r="H31" s="3230"/>
      <c r="I31" s="3229"/>
      <c r="J31" s="3179" t="s">
        <v>2749</v>
      </c>
      <c r="K31" s="3180"/>
      <c r="L31" s="3180"/>
      <c r="M31" s="3180"/>
      <c r="N31" s="3180"/>
      <c r="O31" s="3180"/>
      <c r="P31" s="3180"/>
      <c r="Q31" s="3180"/>
      <c r="R31" s="3181"/>
      <c r="S31" s="3220"/>
      <c r="T31" s="3182"/>
      <c r="U31" s="3182"/>
      <c r="V31" s="3229"/>
      <c r="W31" s="3230"/>
    </row>
    <row r="32" spans="1:23" s="3136" customFormat="1" ht="13.15" customHeight="1">
      <c r="A32" s="3127">
        <v>4</v>
      </c>
      <c r="B32" s="3099" t="s">
        <v>2750</v>
      </c>
      <c r="C32" s="3128">
        <f>C23-C26-C29</f>
        <v>0</v>
      </c>
      <c r="D32" s="3129">
        <f>D23-D26-D29</f>
        <v>0</v>
      </c>
      <c r="E32" s="3130">
        <f>E23-E26-E29</f>
        <v>0</v>
      </c>
      <c r="F32" s="3131"/>
      <c r="G32" s="3222"/>
      <c r="H32" s="3184"/>
      <c r="I32" s="3185"/>
      <c r="J32" s="3613" t="s">
        <v>2751</v>
      </c>
      <c r="K32" s="3614"/>
      <c r="L32" s="3186" t="s">
        <v>2752</v>
      </c>
      <c r="M32" s="3186" t="s">
        <v>2655</v>
      </c>
      <c r="N32" s="3186" t="s">
        <v>2656</v>
      </c>
      <c r="O32" s="3186" t="s">
        <v>2657</v>
      </c>
      <c r="P32" s="3186" t="s">
        <v>2658</v>
      </c>
      <c r="Q32" s="3187" t="s">
        <v>2753</v>
      </c>
      <c r="R32" s="3249" t="s">
        <v>2754</v>
      </c>
      <c r="S32" s="3220"/>
      <c r="T32" s="3182"/>
      <c r="U32" s="3182"/>
      <c r="V32" s="3229"/>
      <c r="W32" s="3230"/>
    </row>
    <row r="33" spans="1:23" s="3090" customFormat="1" ht="13.15" customHeight="1">
      <c r="A33" s="3127"/>
      <c r="B33" s="3099"/>
      <c r="C33" s="3128"/>
      <c r="D33" s="3139"/>
      <c r="E33" s="3140"/>
      <c r="F33" s="3131"/>
      <c r="G33" s="3222"/>
      <c r="H33" s="3230"/>
      <c r="I33" s="3229"/>
      <c r="J33" s="3615" t="s">
        <v>2755</v>
      </c>
      <c r="K33" s="3616"/>
      <c r="L33" s="3189"/>
      <c r="M33" s="3189"/>
      <c r="N33" s="3189"/>
      <c r="O33" s="3189"/>
      <c r="P33" s="3189"/>
      <c r="Q33" s="3190"/>
      <c r="R33" s="3250">
        <f>SUM(L33:Q33)</f>
        <v>0</v>
      </c>
      <c r="S33" s="3220"/>
      <c r="T33" s="3182"/>
      <c r="U33" s="3182"/>
      <c r="V33" s="3185"/>
      <c r="W33" s="3184"/>
    </row>
    <row r="34" spans="1:23" s="3090" customFormat="1" ht="13.15" customHeight="1">
      <c r="A34" s="3127">
        <v>5</v>
      </c>
      <c r="B34" s="3099" t="s">
        <v>2756</v>
      </c>
      <c r="C34" s="3167"/>
      <c r="D34" s="3168"/>
      <c r="E34" s="3169"/>
      <c r="F34" s="3131"/>
      <c r="G34" s="3222"/>
      <c r="H34" s="3230"/>
      <c r="I34" s="3229"/>
      <c r="J34" s="3615" t="s">
        <v>2757</v>
      </c>
      <c r="K34" s="3616"/>
      <c r="L34" s="3192"/>
      <c r="M34" s="3192"/>
      <c r="N34" s="3192"/>
      <c r="O34" s="3192"/>
      <c r="P34" s="3192"/>
      <c r="Q34" s="3193"/>
      <c r="R34" s="3251">
        <f>SUM(L34:Q34)</f>
        <v>0</v>
      </c>
      <c r="S34" s="3220"/>
      <c r="T34" s="3182"/>
      <c r="U34" s="3182" t="e">
        <f>ROUND(R35*10000/365/R33,1)</f>
        <v>#DIV/0!</v>
      </c>
      <c r="V34" s="3185"/>
      <c r="W34" s="3184"/>
    </row>
    <row r="35" spans="1:23" s="3090" customFormat="1" ht="13.15" customHeight="1">
      <c r="A35" s="3127">
        <v>6</v>
      </c>
      <c r="B35" s="3099" t="s">
        <v>2758</v>
      </c>
      <c r="C35" s="3170"/>
      <c r="D35" s="3171"/>
      <c r="E35" s="3172"/>
      <c r="F35" s="3131"/>
      <c r="G35" s="3252"/>
      <c r="H35" s="3184"/>
      <c r="I35" s="3229"/>
      <c r="J35" s="3195" t="s">
        <v>2759</v>
      </c>
      <c r="K35" s="3196"/>
      <c r="L35" s="3196"/>
      <c r="M35" s="3197"/>
      <c r="N35" s="3197"/>
      <c r="O35" s="3197"/>
      <c r="P35" s="3197"/>
      <c r="Q35" s="3197"/>
      <c r="R35" s="3253">
        <f>R40+R41+R43</f>
        <v>0</v>
      </c>
      <c r="S35" s="3220"/>
      <c r="T35" s="3182" t="s">
        <v>2760</v>
      </c>
      <c r="U35" s="3182"/>
      <c r="V35" s="3185"/>
      <c r="W35" s="3184"/>
    </row>
    <row r="36" spans="1:23" s="3090" customFormat="1" ht="13.15" customHeight="1" thickBot="1">
      <c r="A36" s="3127">
        <v>7</v>
      </c>
      <c r="B36" s="3141" t="s">
        <v>2761</v>
      </c>
      <c r="C36" s="3173"/>
      <c r="D36" s="3174"/>
      <c r="E36" s="3175"/>
      <c r="F36" s="3142">
        <f>C36+D36+E36</f>
        <v>0</v>
      </c>
      <c r="G36" s="3222"/>
      <c r="H36" s="3184"/>
      <c r="I36" s="3185"/>
      <c r="J36" s="3607">
        <v>1</v>
      </c>
      <c r="K36" s="3608" t="s">
        <v>2762</v>
      </c>
      <c r="L36" s="3199"/>
      <c r="M36" s="3200"/>
      <c r="N36" s="3200"/>
      <c r="O36" s="3200"/>
      <c r="P36" s="3200"/>
      <c r="Q36" s="3200"/>
      <c r="R36" s="3191" t="s">
        <v>2710</v>
      </c>
      <c r="S36" s="3220"/>
      <c r="T36" s="3182" t="s">
        <v>2763</v>
      </c>
      <c r="U36" s="3182"/>
      <c r="V36" s="3185"/>
      <c r="W36" s="3184"/>
    </row>
    <row r="37" spans="1:23" s="3090" customFormat="1" ht="13.15" customHeight="1">
      <c r="A37" s="3127"/>
      <c r="B37" s="3099"/>
      <c r="C37" s="3099"/>
      <c r="D37" s="3099"/>
      <c r="E37" s="3099"/>
      <c r="F37" s="3131"/>
      <c r="G37" s="3222"/>
      <c r="H37" s="3184"/>
      <c r="I37" s="3185"/>
      <c r="J37" s="3607"/>
      <c r="K37" s="3609"/>
      <c r="L37" s="3212"/>
      <c r="M37" s="3213"/>
      <c r="N37" s="3151"/>
      <c r="O37" s="3214"/>
      <c r="P37" s="3214"/>
      <c r="Q37" s="3156"/>
      <c r="R37" s="3254"/>
      <c r="S37" s="3220"/>
      <c r="T37" s="3182" t="s">
        <v>2764</v>
      </c>
      <c r="U37" s="3182"/>
      <c r="V37" s="3185"/>
      <c r="W37" s="3184"/>
    </row>
    <row r="38" spans="1:23" s="3090" customFormat="1" ht="13.15" customHeight="1">
      <c r="A38" s="3127">
        <v>8</v>
      </c>
      <c r="B38" s="3099"/>
      <c r="C38" s="3107" t="e">
        <f>ROUND(C32*(1-((1+C35)/(1+C34))^C36)/(C34-C35),0)</f>
        <v>#DIV/0!</v>
      </c>
      <c r="D38" s="3107">
        <f>IF(D23=0,0,ROUND(D32*(1-((1+D35)/(1+D34))^D36)/(D34-D35),0))</f>
        <v>0</v>
      </c>
      <c r="E38" s="3107">
        <f>IF(E23=0,0,ROUND(E32*(1-((1+E35)/(1+E34))^E36)/(E34-E35),0))</f>
        <v>0</v>
      </c>
      <c r="F38" s="3131"/>
      <c r="G38" s="3222"/>
      <c r="H38" s="3184"/>
      <c r="I38" s="3185"/>
      <c r="J38" s="3607"/>
      <c r="K38" s="3609"/>
      <c r="L38" s="3212"/>
      <c r="M38" s="3213"/>
      <c r="N38" s="3151"/>
      <c r="O38" s="3214"/>
      <c r="P38" s="3214"/>
      <c r="Q38" s="3156"/>
      <c r="R38" s="3254"/>
      <c r="S38" s="3220"/>
      <c r="T38" s="3182" t="s">
        <v>2686</v>
      </c>
      <c r="U38" s="3182"/>
      <c r="V38" s="3185"/>
      <c r="W38" s="3184"/>
    </row>
    <row r="39" spans="1:23" s="3090" customFormat="1" ht="13.15" customHeight="1">
      <c r="A39" s="3127">
        <v>9</v>
      </c>
      <c r="B39" s="3099" t="s">
        <v>2765</v>
      </c>
      <c r="C39" s="3112" t="e">
        <f>C38</f>
        <v>#DIV/0!</v>
      </c>
      <c r="D39" s="3099">
        <f>D38/(1+D34)^C36</f>
        <v>0</v>
      </c>
      <c r="E39" s="3099">
        <f>E38/(1+E34)^(C36+D36)</f>
        <v>0</v>
      </c>
      <c r="F39" s="3131"/>
      <c r="G39" s="3255"/>
      <c r="H39" s="3184"/>
      <c r="I39" s="3185"/>
      <c r="J39" s="3607"/>
      <c r="K39" s="3609"/>
      <c r="L39" s="3212"/>
      <c r="M39" s="3213"/>
      <c r="N39" s="3151"/>
      <c r="O39" s="3214"/>
      <c r="P39" s="3214"/>
      <c r="Q39" s="3156"/>
      <c r="R39" s="3254"/>
      <c r="S39" s="3220"/>
      <c r="T39" s="3182"/>
      <c r="U39" s="3182"/>
      <c r="V39" s="3185"/>
      <c r="W39" s="3184"/>
    </row>
    <row r="40" spans="1:23" s="3090" customFormat="1" ht="13.15" customHeight="1">
      <c r="A40" s="3143">
        <v>10</v>
      </c>
      <c r="B40" s="3099" t="s">
        <v>2766</v>
      </c>
      <c r="C40" s="3144" t="e">
        <f>C39+D39+E39</f>
        <v>#DIV/0!</v>
      </c>
      <c r="D40" s="3145"/>
      <c r="E40" s="3145"/>
      <c r="F40" s="3146"/>
      <c r="G40" s="3222"/>
      <c r="H40" s="3184"/>
      <c r="I40" s="3185"/>
      <c r="J40" s="3607"/>
      <c r="K40" s="3610"/>
      <c r="L40" s="3208" t="s">
        <v>2767</v>
      </c>
      <c r="M40" s="3209"/>
      <c r="N40" s="3209"/>
      <c r="O40" s="3210"/>
      <c r="P40" s="3210"/>
      <c r="Q40" s="3211"/>
      <c r="R40" s="3188">
        <f>SUM(R37:R39)</f>
        <v>0</v>
      </c>
      <c r="S40" s="3220"/>
      <c r="T40" s="3182"/>
      <c r="U40" s="3182"/>
      <c r="V40" s="3185"/>
      <c r="W40" s="3184"/>
    </row>
    <row r="41" spans="1:23" s="3090" customFormat="1" ht="13.15" customHeight="1" thickBot="1">
      <c r="A41" s="3147">
        <v>11</v>
      </c>
      <c r="B41" s="3148" t="s">
        <v>2768</v>
      </c>
      <c r="C41" s="3148" t="e">
        <f>ROUND(C40*10000/B4,0)</f>
        <v>#DIV/0!</v>
      </c>
      <c r="D41" s="3149"/>
      <c r="E41" s="3149"/>
      <c r="F41" s="3150"/>
      <c r="G41" s="3256"/>
      <c r="H41" s="3184"/>
      <c r="I41" s="3185"/>
      <c r="J41" s="3224">
        <v>2</v>
      </c>
      <c r="K41" s="3225" t="s">
        <v>2769</v>
      </c>
      <c r="L41" s="3226"/>
      <c r="M41" s="3226"/>
      <c r="N41" s="3226"/>
      <c r="O41" s="3226"/>
      <c r="P41" s="3227"/>
      <c r="Q41" s="3228"/>
      <c r="R41" s="3218">
        <f>ROUND(R40*Q41,0)</f>
        <v>0</v>
      </c>
      <c r="S41" s="3220"/>
      <c r="T41" s="3182"/>
      <c r="U41" s="3236"/>
      <c r="V41" s="3185"/>
      <c r="W41" s="3184"/>
    </row>
    <row r="42" spans="1:23" s="3090" customFormat="1" ht="13.15" customHeight="1">
      <c r="G42" s="3256"/>
      <c r="H42" s="3184"/>
      <c r="I42" s="3185"/>
      <c r="J42" s="3611">
        <v>3</v>
      </c>
      <c r="K42" s="3231" t="s">
        <v>2770</v>
      </c>
      <c r="L42" s="3232"/>
      <c r="M42" s="3233"/>
      <c r="N42" s="3234" t="s">
        <v>2771</v>
      </c>
      <c r="O42" s="3234" t="s">
        <v>2772</v>
      </c>
      <c r="P42" s="3235" t="s">
        <v>2773</v>
      </c>
      <c r="Q42" s="3235" t="s">
        <v>2774</v>
      </c>
      <c r="R42" s="3191" t="s">
        <v>2677</v>
      </c>
      <c r="S42" s="3236"/>
      <c r="T42" s="3236"/>
      <c r="U42" s="3182"/>
      <c r="V42" s="3185"/>
      <c r="W42" s="3184"/>
    </row>
    <row r="43" spans="1:23" ht="13.15" customHeight="1">
      <c r="A43" s="3090"/>
      <c r="B43" s="3090"/>
      <c r="C43" s="3090"/>
      <c r="D43" s="3090"/>
      <c r="E43" s="3090"/>
      <c r="F43" s="3090"/>
      <c r="I43" s="3177"/>
      <c r="J43" s="3612"/>
      <c r="K43" s="3237"/>
      <c r="L43" s="3238"/>
      <c r="M43" s="3239"/>
      <c r="N43" s="3213"/>
      <c r="O43" s="3213"/>
      <c r="P43" s="3213"/>
      <c r="Q43" s="3228"/>
      <c r="R43" s="3218">
        <f>ROUND(O43*N43*P43*(1-Q43)/10000,0)</f>
        <v>0</v>
      </c>
      <c r="S43" s="3220"/>
      <c r="T43" s="3182"/>
      <c r="V43" s="3258"/>
      <c r="W43" s="3178"/>
    </row>
    <row r="44" spans="1:23" ht="13.15" customHeight="1" thickBot="1">
      <c r="J44" s="3242">
        <v>6</v>
      </c>
      <c r="K44" s="3243" t="s">
        <v>2775</v>
      </c>
      <c r="L44" s="3259" t="s">
        <v>2776</v>
      </c>
      <c r="M44" s="3245"/>
      <c r="N44" s="3259" t="s">
        <v>2777</v>
      </c>
      <c r="O44" s="3245"/>
      <c r="P44" s="3259" t="s">
        <v>2778</v>
      </c>
      <c r="Q44" s="3247">
        <v>1.4999999999999999E-2</v>
      </c>
      <c r="R44" s="324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G53" sqref="G53"/>
      <selection pane="bottomLeft" activeCell="G53" sqref="G53"/>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0.25">
      <c r="A1" s="288" t="s">
        <v>1968</v>
      </c>
      <c r="B1" s="822"/>
      <c r="C1" s="37"/>
      <c r="D1" s="37"/>
      <c r="E1" s="37"/>
      <c r="F1" s="37"/>
      <c r="G1" s="37"/>
      <c r="H1" s="37"/>
      <c r="I1" s="37"/>
      <c r="J1" s="37"/>
      <c r="K1" s="37"/>
      <c r="L1" s="37"/>
      <c r="M1" s="37"/>
      <c r="N1" s="37"/>
      <c r="O1" s="37"/>
      <c r="P1" s="37"/>
      <c r="Q1" s="37"/>
      <c r="R1" s="645"/>
      <c r="S1" s="31"/>
      <c r="T1" s="31"/>
      <c r="U1" s="957"/>
      <c r="V1" s="957"/>
      <c r="X1" s="957"/>
      <c r="Y1" s="957"/>
    </row>
    <row r="2" spans="1:44" ht="15.75">
      <c r="A2" s="81" t="s">
        <v>1969</v>
      </c>
      <c r="B2" s="250">
        <f>B23</f>
        <v>0</v>
      </c>
      <c r="C2" s="860" t="str">
        <f>C23</f>
        <v>元</v>
      </c>
      <c r="D2" s="37"/>
      <c r="E2" s="37"/>
      <c r="F2" s="37"/>
      <c r="G2" s="37"/>
      <c r="H2" s="37"/>
      <c r="I2" s="37"/>
      <c r="J2" s="37"/>
      <c r="K2" s="37"/>
      <c r="L2" s="37"/>
      <c r="M2" s="37"/>
      <c r="N2" s="37"/>
      <c r="O2" s="37"/>
      <c r="P2" s="37"/>
      <c r="Q2" s="37"/>
      <c r="R2" s="645"/>
      <c r="S2" s="31"/>
      <c r="T2" s="31"/>
      <c r="U2" s="957"/>
      <c r="V2" s="957"/>
      <c r="X2" s="957"/>
      <c r="Y2" s="957"/>
    </row>
    <row r="3" spans="1:44" ht="15.75">
      <c r="A3" s="83" t="s">
        <v>1970</v>
      </c>
      <c r="B3" s="250" t="e">
        <f>B24</f>
        <v>#DIV/0!</v>
      </c>
      <c r="C3" s="860" t="s">
        <v>1971</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1972</v>
      </c>
      <c r="C4" s="3629" t="s">
        <v>1973</v>
      </c>
      <c r="D4" s="3630"/>
      <c r="E4" s="3630"/>
      <c r="F4" s="3630"/>
      <c r="G4" s="3630"/>
      <c r="H4" s="3630"/>
      <c r="I4" s="3630"/>
      <c r="J4" s="3630"/>
      <c r="K4" s="3630"/>
      <c r="L4" s="3630"/>
      <c r="M4" s="3630"/>
      <c r="N4" s="3630"/>
      <c r="O4" s="3630"/>
      <c r="P4" s="3630"/>
      <c r="Q4" s="3630"/>
      <c r="R4" s="3630"/>
      <c r="S4" s="3631"/>
      <c r="T4" s="575" t="s">
        <v>1974</v>
      </c>
      <c r="U4" s="957"/>
      <c r="V4" s="957"/>
      <c r="X4" s="957"/>
      <c r="Y4" s="957"/>
    </row>
    <row r="5" spans="1:44" s="587" customFormat="1">
      <c r="A5" s="961"/>
      <c r="B5" s="583" t="s">
        <v>1975</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c r="D6" s="590"/>
      <c r="E6" s="590"/>
      <c r="F6" s="590"/>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963"/>
      <c r="B7" s="840"/>
      <c r="C7" s="841"/>
      <c r="D7" s="842"/>
      <c r="E7" s="842"/>
      <c r="F7" s="842"/>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1976</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1977</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1978</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1979</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1980</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1981</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1982</v>
      </c>
      <c r="B20" s="1481" t="s">
        <v>1983</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5"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1984</v>
      </c>
      <c r="G22" s="1252"/>
      <c r="H22" s="1252"/>
      <c r="I22" s="1252"/>
      <c r="J22" s="1253"/>
      <c r="K22" s="37"/>
      <c r="L22" s="37"/>
      <c r="M22" s="37"/>
      <c r="N22" s="37"/>
      <c r="O22" s="37"/>
      <c r="P22" s="37"/>
      <c r="Q22" s="37"/>
      <c r="R22" s="645"/>
      <c r="S22" s="31"/>
      <c r="T22" s="31"/>
      <c r="U22" s="957"/>
      <c r="V22" s="958"/>
      <c r="W22" s="662"/>
      <c r="X22" s="662"/>
      <c r="Y22" s="662"/>
      <c r="Z22" s="662"/>
    </row>
    <row r="23" spans="1:45" ht="16.5" thickBot="1">
      <c r="A23" s="81" t="s">
        <v>1985</v>
      </c>
      <c r="B23" s="224">
        <f>IF(F23="——",IF(C23="万元",T25,S25),IF(C23="万元",T25-H23,S25-H23))</f>
        <v>0</v>
      </c>
      <c r="C23" s="1483" t="str">
        <f>'数据-取费表'!B3</f>
        <v>元</v>
      </c>
      <c r="D23" s="37"/>
      <c r="E23" s="37"/>
      <c r="F23" s="1484" t="s">
        <v>1001</v>
      </c>
      <c r="G23" s="1254"/>
      <c r="H23" s="575" t="e">
        <f ca="1">SUMIF(INDIRECT("'"&amp;J23&amp;"'"&amp;"!A:A"),"承租人权益价值",INDIRECT("'"&amp;J23&amp;"'"&amp;"!c:c"))</f>
        <v>#REF!</v>
      </c>
      <c r="I23" s="575" t="str">
        <f>C2</f>
        <v>元</v>
      </c>
      <c r="J23" s="1485"/>
      <c r="K23" s="37"/>
      <c r="L23" s="37"/>
      <c r="M23" s="37"/>
      <c r="N23" s="37"/>
      <c r="O23" s="37"/>
      <c r="P23" s="37"/>
      <c r="Q23" s="37"/>
      <c r="R23" s="645"/>
      <c r="S23" s="31"/>
      <c r="T23" s="31"/>
      <c r="U23" s="957"/>
      <c r="V23" s="958"/>
      <c r="W23" s="662"/>
      <c r="X23" s="662"/>
      <c r="Y23" s="662"/>
      <c r="Z23" s="662"/>
    </row>
    <row r="24" spans="1:45" ht="15.75">
      <c r="A24" s="1483" t="s">
        <v>1986</v>
      </c>
      <c r="B24" s="224" t="e">
        <f>ROUND(B23*10000/B25,0)</f>
        <v>#DIV/0!</v>
      </c>
      <c r="C24" s="822"/>
      <c r="D24" s="37"/>
      <c r="E24" s="37"/>
      <c r="F24" s="37"/>
      <c r="G24" s="37"/>
      <c r="H24" s="37"/>
      <c r="I24" s="37"/>
      <c r="J24" s="37"/>
      <c r="K24" s="37"/>
      <c r="L24" s="37"/>
      <c r="M24" s="37"/>
      <c r="N24" s="37"/>
      <c r="O24" s="37"/>
      <c r="P24" s="37"/>
      <c r="Q24" s="37"/>
      <c r="R24" s="645"/>
      <c r="S24" s="13" t="s">
        <v>1987</v>
      </c>
      <c r="T24" s="1260" t="s">
        <v>1988</v>
      </c>
      <c r="U24" s="2173" t="s">
        <v>1989</v>
      </c>
      <c r="V24" s="2905"/>
      <c r="W24" s="2906" t="s">
        <v>1990</v>
      </c>
      <c r="X24" s="2173" t="s">
        <v>1991</v>
      </c>
      <c r="Y24" s="2905"/>
      <c r="Z24" s="2907" t="s">
        <v>1990</v>
      </c>
    </row>
    <row r="25" spans="1:45">
      <c r="A25" s="250" t="s">
        <v>1992</v>
      </c>
      <c r="B25" s="13">
        <f>SUM(B27:B10000)</f>
        <v>0</v>
      </c>
      <c r="C25" s="3626" t="s">
        <v>45</v>
      </c>
      <c r="D25" s="3627"/>
      <c r="E25" s="3627"/>
      <c r="F25" s="3627"/>
      <c r="G25" s="3627"/>
      <c r="H25" s="3627"/>
      <c r="I25" s="3627"/>
      <c r="J25" s="3627"/>
      <c r="K25" s="3627"/>
      <c r="L25" s="3627"/>
      <c r="M25" s="3627"/>
      <c r="N25" s="3627"/>
      <c r="O25" s="3627"/>
      <c r="P25" s="3627"/>
      <c r="Q25" s="3628"/>
      <c r="R25" s="597" t="e">
        <f>IF(C23="万元",ROUND(T25*10000/B25,0),ROUND(S25/B25,0))</f>
        <v>#DIV/0!</v>
      </c>
      <c r="S25" s="13">
        <f>SUM(S27:S10000)</f>
        <v>0</v>
      </c>
      <c r="T25" s="13">
        <f>SUM(T27:T10000)</f>
        <v>0</v>
      </c>
      <c r="U25" s="17">
        <f>SUM(U27:U10000)</f>
        <v>0</v>
      </c>
      <c r="V25" s="17">
        <f>SUM(V27:V10000)</f>
        <v>0</v>
      </c>
      <c r="W25" s="2909"/>
      <c r="X25" s="17">
        <f>SUM(X27:X10000)</f>
        <v>0</v>
      </c>
      <c r="Y25" s="17">
        <f>SUM(Y27:Y10000)</f>
        <v>0</v>
      </c>
      <c r="Z25" s="1486"/>
    </row>
    <row r="26" spans="1:45" s="11" customFormat="1" ht="24">
      <c r="A26" s="10" t="s">
        <v>1993</v>
      </c>
      <c r="B26" s="10" t="s">
        <v>1994</v>
      </c>
      <c r="C26" s="10" t="s">
        <v>1995</v>
      </c>
      <c r="D26" s="10" t="str">
        <f>B8</f>
        <v>修正项2</v>
      </c>
      <c r="E26" s="10" t="s">
        <v>1995</v>
      </c>
      <c r="F26" s="10" t="str">
        <f>B10</f>
        <v>修正项3</v>
      </c>
      <c r="G26" s="10" t="s">
        <v>1995</v>
      </c>
      <c r="H26" s="10" t="str">
        <f>B12</f>
        <v>修正项4</v>
      </c>
      <c r="I26" s="10" t="s">
        <v>1995</v>
      </c>
      <c r="J26" s="10" t="str">
        <f>B14</f>
        <v>修正项5</v>
      </c>
      <c r="K26" s="10" t="s">
        <v>1995</v>
      </c>
      <c r="L26" s="10" t="str">
        <f>B16</f>
        <v>修正项6</v>
      </c>
      <c r="M26" s="10" t="s">
        <v>1995</v>
      </c>
      <c r="N26" s="10" t="str">
        <f>B18</f>
        <v>修正项7</v>
      </c>
      <c r="O26" s="10" t="s">
        <v>1995</v>
      </c>
      <c r="P26" s="10" t="str">
        <f>B20</f>
        <v>楼层</v>
      </c>
      <c r="Q26" s="10" t="s">
        <v>1995</v>
      </c>
      <c r="R26" s="598" t="s">
        <v>1996</v>
      </c>
      <c r="S26" s="10" t="s">
        <v>1997</v>
      </c>
      <c r="T26" s="10" t="s">
        <v>1997</v>
      </c>
      <c r="U26" s="683" t="s">
        <v>1998</v>
      </c>
      <c r="V26" s="683" t="s">
        <v>1999</v>
      </c>
      <c r="W26" s="10" t="s">
        <v>2000</v>
      </c>
      <c r="X26" s="683" t="s">
        <v>1998</v>
      </c>
      <c r="Y26" s="683" t="s">
        <v>1999</v>
      </c>
      <c r="Z26" s="10" t="s">
        <v>2000</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2001</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c r="S27" s="600">
        <f>ROUND(R27*B27,0)</f>
        <v>0</v>
      </c>
      <c r="T27" s="600">
        <f>ROUND(R27*B27/10000,0)</f>
        <v>0</v>
      </c>
      <c r="U27" s="2908">
        <f>ROUND(W27*B27,0)</f>
        <v>0</v>
      </c>
      <c r="V27" s="2908">
        <f>ROUND(W27*B27/10000,0)</f>
        <v>0</v>
      </c>
      <c r="W27" s="955"/>
      <c r="X27" s="2908">
        <f>ROUND(Z27*B27,0)</f>
        <v>0</v>
      </c>
      <c r="Y27" s="2908">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859">
        <f>ROUND(R28*B28/10000,0)</f>
        <v>0</v>
      </c>
      <c r="U28" s="2908">
        <f t="shared" ref="U28:U91" si="22">ROUND(W28*B28,0)</f>
        <v>0</v>
      </c>
      <c r="V28" s="2908">
        <f t="shared" ref="V28:V91" si="23">ROUND(W28*B28/10000,0)</f>
        <v>0</v>
      </c>
      <c r="W28" s="956"/>
      <c r="X28" s="2908">
        <f t="shared" ref="X28:X91" si="24">ROUND(Z28*B28,0)</f>
        <v>0</v>
      </c>
      <c r="Y28" s="2908">
        <f t="shared" ref="Y28:Y91" si="25">ROUND(Z28*B28/10000,0)</f>
        <v>0</v>
      </c>
      <c r="Z28" s="956"/>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859">
        <f t="shared" ref="T29:T92" si="28">ROUND(R29*B29/10000,0)</f>
        <v>0</v>
      </c>
      <c r="U29" s="2908">
        <f t="shared" si="22"/>
        <v>0</v>
      </c>
      <c r="V29" s="2908">
        <f t="shared" si="23"/>
        <v>0</v>
      </c>
      <c r="W29" s="956"/>
      <c r="X29" s="2908">
        <f t="shared" si="24"/>
        <v>0</v>
      </c>
      <c r="Y29" s="2908">
        <f t="shared" si="25"/>
        <v>0</v>
      </c>
      <c r="Z29" s="956"/>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859">
        <f t="shared" si="28"/>
        <v>0</v>
      </c>
      <c r="U30" s="2908">
        <f t="shared" si="22"/>
        <v>0</v>
      </c>
      <c r="V30" s="2908">
        <f t="shared" si="23"/>
        <v>0</v>
      </c>
      <c r="W30" s="956"/>
      <c r="X30" s="2908">
        <f t="shared" si="24"/>
        <v>0</v>
      </c>
      <c r="Y30" s="2908">
        <f t="shared" si="25"/>
        <v>0</v>
      </c>
      <c r="Z30" s="956"/>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859">
        <f t="shared" si="28"/>
        <v>0</v>
      </c>
      <c r="U31" s="2908">
        <f t="shared" si="22"/>
        <v>0</v>
      </c>
      <c r="V31" s="2908">
        <f t="shared" si="23"/>
        <v>0</v>
      </c>
      <c r="W31" s="956"/>
      <c r="X31" s="2908">
        <f t="shared" si="24"/>
        <v>0</v>
      </c>
      <c r="Y31" s="2908">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8">
        <f t="shared" si="22"/>
        <v>0</v>
      </c>
      <c r="V32" s="2908">
        <f t="shared" si="23"/>
        <v>0</v>
      </c>
      <c r="W32" s="956"/>
      <c r="X32" s="2908">
        <f t="shared" si="24"/>
        <v>0</v>
      </c>
      <c r="Y32" s="2908">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8">
        <f t="shared" si="22"/>
        <v>0</v>
      </c>
      <c r="V33" s="2908">
        <f t="shared" si="23"/>
        <v>0</v>
      </c>
      <c r="W33" s="956"/>
      <c r="X33" s="2908">
        <f t="shared" si="24"/>
        <v>0</v>
      </c>
      <c r="Y33" s="2908">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8">
        <f t="shared" si="22"/>
        <v>0</v>
      </c>
      <c r="V34" s="2908">
        <f t="shared" si="23"/>
        <v>0</v>
      </c>
      <c r="W34" s="956"/>
      <c r="X34" s="2908">
        <f t="shared" si="24"/>
        <v>0</v>
      </c>
      <c r="Y34" s="2908">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8">
        <f t="shared" si="22"/>
        <v>0</v>
      </c>
      <c r="V35" s="2908">
        <f t="shared" si="23"/>
        <v>0</v>
      </c>
      <c r="W35" s="956"/>
      <c r="X35" s="2908">
        <f t="shared" si="24"/>
        <v>0</v>
      </c>
      <c r="Y35" s="2908">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8">
        <f t="shared" si="22"/>
        <v>0</v>
      </c>
      <c r="V36" s="2908">
        <f t="shared" si="23"/>
        <v>0</v>
      </c>
      <c r="W36" s="956"/>
      <c r="X36" s="2908">
        <f t="shared" si="24"/>
        <v>0</v>
      </c>
      <c r="Y36" s="2908">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8">
        <f t="shared" si="22"/>
        <v>0</v>
      </c>
      <c r="V37" s="2908">
        <f t="shared" si="23"/>
        <v>0</v>
      </c>
      <c r="W37" s="956"/>
      <c r="X37" s="2908">
        <f t="shared" si="24"/>
        <v>0</v>
      </c>
      <c r="Y37" s="2908">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8">
        <f t="shared" si="22"/>
        <v>0</v>
      </c>
      <c r="V38" s="2908">
        <f t="shared" si="23"/>
        <v>0</v>
      </c>
      <c r="W38" s="956"/>
      <c r="X38" s="2908">
        <f t="shared" si="24"/>
        <v>0</v>
      </c>
      <c r="Y38" s="2908">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8">
        <f t="shared" si="22"/>
        <v>0</v>
      </c>
      <c r="V39" s="2908">
        <f t="shared" si="23"/>
        <v>0</v>
      </c>
      <c r="W39" s="956"/>
      <c r="X39" s="2908">
        <f t="shared" si="24"/>
        <v>0</v>
      </c>
      <c r="Y39" s="2908">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8">
        <f t="shared" si="22"/>
        <v>0</v>
      </c>
      <c r="V40" s="2908">
        <f t="shared" si="23"/>
        <v>0</v>
      </c>
      <c r="W40" s="956"/>
      <c r="X40" s="2908">
        <f t="shared" si="24"/>
        <v>0</v>
      </c>
      <c r="Y40" s="2908">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8">
        <f t="shared" si="22"/>
        <v>0</v>
      </c>
      <c r="V41" s="2908">
        <f t="shared" si="23"/>
        <v>0</v>
      </c>
      <c r="W41" s="956"/>
      <c r="X41" s="2908">
        <f t="shared" si="24"/>
        <v>0</v>
      </c>
      <c r="Y41" s="2908">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8">
        <f t="shared" si="22"/>
        <v>0</v>
      </c>
      <c r="V42" s="2908">
        <f t="shared" si="23"/>
        <v>0</v>
      </c>
      <c r="W42" s="956"/>
      <c r="X42" s="2908">
        <f t="shared" si="24"/>
        <v>0</v>
      </c>
      <c r="Y42" s="2908">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8">
        <f t="shared" si="22"/>
        <v>0</v>
      </c>
      <c r="V43" s="2908">
        <f t="shared" si="23"/>
        <v>0</v>
      </c>
      <c r="W43" s="956"/>
      <c r="X43" s="2908">
        <f t="shared" si="24"/>
        <v>0</v>
      </c>
      <c r="Y43" s="2908">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8">
        <f t="shared" si="22"/>
        <v>0</v>
      </c>
      <c r="V44" s="2908">
        <f t="shared" si="23"/>
        <v>0</v>
      </c>
      <c r="W44" s="956"/>
      <c r="X44" s="2908">
        <f t="shared" si="24"/>
        <v>0</v>
      </c>
      <c r="Y44" s="2908">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8">
        <f t="shared" si="22"/>
        <v>0</v>
      </c>
      <c r="V45" s="2908">
        <f t="shared" si="23"/>
        <v>0</v>
      </c>
      <c r="W45" s="956"/>
      <c r="X45" s="2908">
        <f t="shared" si="24"/>
        <v>0</v>
      </c>
      <c r="Y45" s="2908">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8">
        <f t="shared" si="22"/>
        <v>0</v>
      </c>
      <c r="V46" s="2908">
        <f t="shared" si="23"/>
        <v>0</v>
      </c>
      <c r="W46" s="956"/>
      <c r="X46" s="2908">
        <f t="shared" si="24"/>
        <v>0</v>
      </c>
      <c r="Y46" s="2908">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8">
        <f t="shared" si="22"/>
        <v>0</v>
      </c>
      <c r="V47" s="2908">
        <f t="shared" si="23"/>
        <v>0</v>
      </c>
      <c r="W47" s="956"/>
      <c r="X47" s="2908">
        <f t="shared" si="24"/>
        <v>0</v>
      </c>
      <c r="Y47" s="2908">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8">
        <f t="shared" si="22"/>
        <v>0</v>
      </c>
      <c r="V48" s="2908">
        <f t="shared" si="23"/>
        <v>0</v>
      </c>
      <c r="W48" s="956"/>
      <c r="X48" s="2908">
        <f t="shared" si="24"/>
        <v>0</v>
      </c>
      <c r="Y48" s="2908">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8">
        <f t="shared" si="22"/>
        <v>0</v>
      </c>
      <c r="V49" s="2908">
        <f t="shared" si="23"/>
        <v>0</v>
      </c>
      <c r="W49" s="956"/>
      <c r="X49" s="2908">
        <f t="shared" si="24"/>
        <v>0</v>
      </c>
      <c r="Y49" s="2908">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8">
        <f t="shared" si="22"/>
        <v>0</v>
      </c>
      <c r="V50" s="2908">
        <f t="shared" si="23"/>
        <v>0</v>
      </c>
      <c r="W50" s="956"/>
      <c r="X50" s="2908">
        <f t="shared" si="24"/>
        <v>0</v>
      </c>
      <c r="Y50" s="2908">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8">
        <f t="shared" si="22"/>
        <v>0</v>
      </c>
      <c r="V51" s="2908">
        <f t="shared" si="23"/>
        <v>0</v>
      </c>
      <c r="W51" s="956"/>
      <c r="X51" s="2908">
        <f t="shared" si="24"/>
        <v>0</v>
      </c>
      <c r="Y51" s="2908">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8">
        <f t="shared" si="22"/>
        <v>0</v>
      </c>
      <c r="V52" s="2908">
        <f t="shared" si="23"/>
        <v>0</v>
      </c>
      <c r="W52" s="956"/>
      <c r="X52" s="2908">
        <f t="shared" si="24"/>
        <v>0</v>
      </c>
      <c r="Y52" s="2908">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8">
        <f t="shared" si="22"/>
        <v>0</v>
      </c>
      <c r="V53" s="2908">
        <f t="shared" si="23"/>
        <v>0</v>
      </c>
      <c r="W53" s="956"/>
      <c r="X53" s="2908">
        <f t="shared" si="24"/>
        <v>0</v>
      </c>
      <c r="Y53" s="2908">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8">
        <f t="shared" si="22"/>
        <v>0</v>
      </c>
      <c r="V54" s="2908">
        <f t="shared" si="23"/>
        <v>0</v>
      </c>
      <c r="W54" s="956"/>
      <c r="X54" s="2908">
        <f t="shared" si="24"/>
        <v>0</v>
      </c>
      <c r="Y54" s="2908">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8">
        <f t="shared" si="22"/>
        <v>0</v>
      </c>
      <c r="V55" s="2908">
        <f t="shared" si="23"/>
        <v>0</v>
      </c>
      <c r="W55" s="956"/>
      <c r="X55" s="2908">
        <f t="shared" si="24"/>
        <v>0</v>
      </c>
      <c r="Y55" s="2908">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8">
        <f t="shared" si="22"/>
        <v>0</v>
      </c>
      <c r="V56" s="2908">
        <f t="shared" si="23"/>
        <v>0</v>
      </c>
      <c r="W56" s="956"/>
      <c r="X56" s="2908">
        <f t="shared" si="24"/>
        <v>0</v>
      </c>
      <c r="Y56" s="2908">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8">
        <f t="shared" si="22"/>
        <v>0</v>
      </c>
      <c r="V57" s="2908">
        <f t="shared" si="23"/>
        <v>0</v>
      </c>
      <c r="W57" s="956"/>
      <c r="X57" s="2908">
        <f t="shared" si="24"/>
        <v>0</v>
      </c>
      <c r="Y57" s="2908">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8">
        <f t="shared" si="22"/>
        <v>0</v>
      </c>
      <c r="V58" s="2908">
        <f t="shared" si="23"/>
        <v>0</v>
      </c>
      <c r="W58" s="956"/>
      <c r="X58" s="2908">
        <f t="shared" si="24"/>
        <v>0</v>
      </c>
      <c r="Y58" s="2908">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8">
        <f t="shared" si="22"/>
        <v>0</v>
      </c>
      <c r="V59" s="2908">
        <f t="shared" si="23"/>
        <v>0</v>
      </c>
      <c r="W59" s="956"/>
      <c r="X59" s="2908">
        <f t="shared" si="24"/>
        <v>0</v>
      </c>
      <c r="Y59" s="2908">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8">
        <f t="shared" si="22"/>
        <v>0</v>
      </c>
      <c r="V60" s="2908">
        <f t="shared" si="23"/>
        <v>0</v>
      </c>
      <c r="W60" s="956"/>
      <c r="X60" s="2908">
        <f t="shared" si="24"/>
        <v>0</v>
      </c>
      <c r="Y60" s="2908">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8">
        <f t="shared" si="22"/>
        <v>0</v>
      </c>
      <c r="V61" s="2908">
        <f t="shared" si="23"/>
        <v>0</v>
      </c>
      <c r="W61" s="956"/>
      <c r="X61" s="2908">
        <f t="shared" si="24"/>
        <v>0</v>
      </c>
      <c r="Y61" s="2908">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8">
        <f t="shared" si="22"/>
        <v>0</v>
      </c>
      <c r="V62" s="2908">
        <f t="shared" si="23"/>
        <v>0</v>
      </c>
      <c r="W62" s="956"/>
      <c r="X62" s="2908">
        <f t="shared" si="24"/>
        <v>0</v>
      </c>
      <c r="Y62" s="2908">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8">
        <f t="shared" si="22"/>
        <v>0</v>
      </c>
      <c r="V63" s="2908">
        <f t="shared" si="23"/>
        <v>0</v>
      </c>
      <c r="W63" s="956"/>
      <c r="X63" s="2908">
        <f t="shared" si="24"/>
        <v>0</v>
      </c>
      <c r="Y63" s="2908">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8">
        <f t="shared" si="22"/>
        <v>0</v>
      </c>
      <c r="V64" s="2908">
        <f t="shared" si="23"/>
        <v>0</v>
      </c>
      <c r="W64" s="956"/>
      <c r="X64" s="2908">
        <f t="shared" si="24"/>
        <v>0</v>
      </c>
      <c r="Y64" s="2908">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8">
        <f t="shared" si="22"/>
        <v>0</v>
      </c>
      <c r="V65" s="2908">
        <f t="shared" si="23"/>
        <v>0</v>
      </c>
      <c r="W65" s="956"/>
      <c r="X65" s="2908">
        <f t="shared" si="24"/>
        <v>0</v>
      </c>
      <c r="Y65" s="2908">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8">
        <f t="shared" si="22"/>
        <v>0</v>
      </c>
      <c r="V66" s="2908">
        <f t="shared" si="23"/>
        <v>0</v>
      </c>
      <c r="W66" s="956"/>
      <c r="X66" s="2908">
        <f t="shared" si="24"/>
        <v>0</v>
      </c>
      <c r="Y66" s="2908">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8">
        <f t="shared" si="22"/>
        <v>0</v>
      </c>
      <c r="V67" s="2908">
        <f t="shared" si="23"/>
        <v>0</v>
      </c>
      <c r="W67" s="956"/>
      <c r="X67" s="2908">
        <f t="shared" si="24"/>
        <v>0</v>
      </c>
      <c r="Y67" s="2908">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8">
        <f t="shared" si="22"/>
        <v>0</v>
      </c>
      <c r="V68" s="2908">
        <f t="shared" si="23"/>
        <v>0</v>
      </c>
      <c r="W68" s="956"/>
      <c r="X68" s="2908">
        <f t="shared" si="24"/>
        <v>0</v>
      </c>
      <c r="Y68" s="2908">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8">
        <f t="shared" si="22"/>
        <v>0</v>
      </c>
      <c r="V69" s="2908">
        <f t="shared" si="23"/>
        <v>0</v>
      </c>
      <c r="W69" s="956"/>
      <c r="X69" s="2908">
        <f t="shared" si="24"/>
        <v>0</v>
      </c>
      <c r="Y69" s="2908">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8">
        <f t="shared" si="22"/>
        <v>0</v>
      </c>
      <c r="V70" s="2908">
        <f t="shared" si="23"/>
        <v>0</v>
      </c>
      <c r="W70" s="956"/>
      <c r="X70" s="2908">
        <f t="shared" si="24"/>
        <v>0</v>
      </c>
      <c r="Y70" s="2908">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8">
        <f t="shared" si="22"/>
        <v>0</v>
      </c>
      <c r="V71" s="2908">
        <f t="shared" si="23"/>
        <v>0</v>
      </c>
      <c r="W71" s="956"/>
      <c r="X71" s="2908">
        <f t="shared" si="24"/>
        <v>0</v>
      </c>
      <c r="Y71" s="2908">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8">
        <f t="shared" si="22"/>
        <v>0</v>
      </c>
      <c r="V72" s="2908">
        <f t="shared" si="23"/>
        <v>0</v>
      </c>
      <c r="W72" s="956"/>
      <c r="X72" s="2908">
        <f t="shared" si="24"/>
        <v>0</v>
      </c>
      <c r="Y72" s="2908">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8">
        <f t="shared" si="22"/>
        <v>0</v>
      </c>
      <c r="V73" s="2908">
        <f t="shared" si="23"/>
        <v>0</v>
      </c>
      <c r="W73" s="956"/>
      <c r="X73" s="2908">
        <f t="shared" si="24"/>
        <v>0</v>
      </c>
      <c r="Y73" s="2908">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8">
        <f t="shared" si="22"/>
        <v>0</v>
      </c>
      <c r="V74" s="2908">
        <f t="shared" si="23"/>
        <v>0</v>
      </c>
      <c r="W74" s="956"/>
      <c r="X74" s="2908">
        <f t="shared" si="24"/>
        <v>0</v>
      </c>
      <c r="Y74" s="2908">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8">
        <f t="shared" si="22"/>
        <v>0</v>
      </c>
      <c r="V75" s="2908">
        <f t="shared" si="23"/>
        <v>0</v>
      </c>
      <c r="W75" s="956"/>
      <c r="X75" s="2908">
        <f t="shared" si="24"/>
        <v>0</v>
      </c>
      <c r="Y75" s="2908">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8">
        <f t="shared" si="22"/>
        <v>0</v>
      </c>
      <c r="V76" s="2908">
        <f t="shared" si="23"/>
        <v>0</v>
      </c>
      <c r="W76" s="956"/>
      <c r="X76" s="2908">
        <f t="shared" si="24"/>
        <v>0</v>
      </c>
      <c r="Y76" s="2908">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8">
        <f t="shared" si="22"/>
        <v>0</v>
      </c>
      <c r="V77" s="2908">
        <f t="shared" si="23"/>
        <v>0</v>
      </c>
      <c r="W77" s="956"/>
      <c r="X77" s="2908">
        <f t="shared" si="24"/>
        <v>0</v>
      </c>
      <c r="Y77" s="2908">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8">
        <f t="shared" si="22"/>
        <v>0</v>
      </c>
      <c r="V78" s="2908">
        <f t="shared" si="23"/>
        <v>0</v>
      </c>
      <c r="W78" s="956"/>
      <c r="X78" s="2908">
        <f t="shared" si="24"/>
        <v>0</v>
      </c>
      <c r="Y78" s="2908">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8">
        <f t="shared" si="22"/>
        <v>0</v>
      </c>
      <c r="V79" s="2908">
        <f t="shared" si="23"/>
        <v>0</v>
      </c>
      <c r="W79" s="956"/>
      <c r="X79" s="2908">
        <f t="shared" si="24"/>
        <v>0</v>
      </c>
      <c r="Y79" s="2908">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8">
        <f t="shared" si="22"/>
        <v>0</v>
      </c>
      <c r="V80" s="2908">
        <f t="shared" si="23"/>
        <v>0</v>
      </c>
      <c r="W80" s="956"/>
      <c r="X80" s="2908">
        <f t="shared" si="24"/>
        <v>0</v>
      </c>
      <c r="Y80" s="2908">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8">
        <f t="shared" si="22"/>
        <v>0</v>
      </c>
      <c r="V81" s="2908">
        <f t="shared" si="23"/>
        <v>0</v>
      </c>
      <c r="W81" s="956"/>
      <c r="X81" s="2908">
        <f t="shared" si="24"/>
        <v>0</v>
      </c>
      <c r="Y81" s="2908">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8">
        <f t="shared" si="22"/>
        <v>0</v>
      </c>
      <c r="V82" s="2908">
        <f t="shared" si="23"/>
        <v>0</v>
      </c>
      <c r="W82" s="956"/>
      <c r="X82" s="2908">
        <f t="shared" si="24"/>
        <v>0</v>
      </c>
      <c r="Y82" s="2908">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8">
        <f t="shared" si="22"/>
        <v>0</v>
      </c>
      <c r="V83" s="2908">
        <f t="shared" si="23"/>
        <v>0</v>
      </c>
      <c r="W83" s="956"/>
      <c r="X83" s="2908">
        <f t="shared" si="24"/>
        <v>0</v>
      </c>
      <c r="Y83" s="2908">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8">
        <f t="shared" si="22"/>
        <v>0</v>
      </c>
      <c r="V84" s="2908">
        <f t="shared" si="23"/>
        <v>0</v>
      </c>
      <c r="W84" s="956"/>
      <c r="X84" s="2908">
        <f t="shared" si="24"/>
        <v>0</v>
      </c>
      <c r="Y84" s="2908">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8">
        <f t="shared" si="22"/>
        <v>0</v>
      </c>
      <c r="V85" s="2908">
        <f t="shared" si="23"/>
        <v>0</v>
      </c>
      <c r="W85" s="956"/>
      <c r="X85" s="2908">
        <f t="shared" si="24"/>
        <v>0</v>
      </c>
      <c r="Y85" s="2908">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8">
        <f t="shared" si="22"/>
        <v>0</v>
      </c>
      <c r="V86" s="2908">
        <f t="shared" si="23"/>
        <v>0</v>
      </c>
      <c r="W86" s="956"/>
      <c r="X86" s="2908">
        <f t="shared" si="24"/>
        <v>0</v>
      </c>
      <c r="Y86" s="2908">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8">
        <f t="shared" si="22"/>
        <v>0</v>
      </c>
      <c r="V87" s="2908">
        <f t="shared" si="23"/>
        <v>0</v>
      </c>
      <c r="W87" s="956"/>
      <c r="X87" s="2908">
        <f t="shared" si="24"/>
        <v>0</v>
      </c>
      <c r="Y87" s="2908">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8">
        <f t="shared" si="22"/>
        <v>0</v>
      </c>
      <c r="V88" s="2908">
        <f t="shared" si="23"/>
        <v>0</v>
      </c>
      <c r="W88" s="956"/>
      <c r="X88" s="2908">
        <f t="shared" si="24"/>
        <v>0</v>
      </c>
      <c r="Y88" s="2908">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8">
        <f t="shared" si="22"/>
        <v>0</v>
      </c>
      <c r="V89" s="2908">
        <f t="shared" si="23"/>
        <v>0</v>
      </c>
      <c r="W89" s="956"/>
      <c r="X89" s="2908">
        <f t="shared" si="24"/>
        <v>0</v>
      </c>
      <c r="Y89" s="2908">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8">
        <f t="shared" si="22"/>
        <v>0</v>
      </c>
      <c r="V90" s="2908">
        <f t="shared" si="23"/>
        <v>0</v>
      </c>
      <c r="W90" s="956"/>
      <c r="X90" s="2908">
        <f t="shared" si="24"/>
        <v>0</v>
      </c>
      <c r="Y90" s="2908">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8">
        <f t="shared" si="22"/>
        <v>0</v>
      </c>
      <c r="V91" s="2908">
        <f t="shared" si="23"/>
        <v>0</v>
      </c>
      <c r="W91" s="956"/>
      <c r="X91" s="2908">
        <f t="shared" si="24"/>
        <v>0</v>
      </c>
      <c r="Y91" s="2908">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8">
        <f t="shared" ref="U92:U155" si="37">ROUND(W92*B92,0)</f>
        <v>0</v>
      </c>
      <c r="V92" s="2908">
        <f t="shared" ref="V92:V155" si="38">ROUND(W92*B92/10000,0)</f>
        <v>0</v>
      </c>
      <c r="W92" s="956"/>
      <c r="X92" s="2908">
        <f t="shared" ref="X92:X155" si="39">ROUND(Z92*B92,0)</f>
        <v>0</v>
      </c>
      <c r="Y92" s="2908">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8">
        <f t="shared" si="37"/>
        <v>0</v>
      </c>
      <c r="V93" s="2908">
        <f t="shared" si="38"/>
        <v>0</v>
      </c>
      <c r="W93" s="956"/>
      <c r="X93" s="2908">
        <f t="shared" si="39"/>
        <v>0</v>
      </c>
      <c r="Y93" s="2908">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8">
        <f t="shared" si="37"/>
        <v>0</v>
      </c>
      <c r="V94" s="2908">
        <f t="shared" si="38"/>
        <v>0</v>
      </c>
      <c r="W94" s="956"/>
      <c r="X94" s="2908">
        <f t="shared" si="39"/>
        <v>0</v>
      </c>
      <c r="Y94" s="2908">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8">
        <f t="shared" si="37"/>
        <v>0</v>
      </c>
      <c r="V95" s="2908">
        <f t="shared" si="38"/>
        <v>0</v>
      </c>
      <c r="W95" s="956"/>
      <c r="X95" s="2908">
        <f t="shared" si="39"/>
        <v>0</v>
      </c>
      <c r="Y95" s="2908">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8">
        <f t="shared" si="37"/>
        <v>0</v>
      </c>
      <c r="V96" s="2908">
        <f t="shared" si="38"/>
        <v>0</v>
      </c>
      <c r="W96" s="956"/>
      <c r="X96" s="2908">
        <f t="shared" si="39"/>
        <v>0</v>
      </c>
      <c r="Y96" s="2908">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8">
        <f t="shared" si="37"/>
        <v>0</v>
      </c>
      <c r="V97" s="2908">
        <f t="shared" si="38"/>
        <v>0</v>
      </c>
      <c r="W97" s="956"/>
      <c r="X97" s="2908">
        <f t="shared" si="39"/>
        <v>0</v>
      </c>
      <c r="Y97" s="2908">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8">
        <f t="shared" si="37"/>
        <v>0</v>
      </c>
      <c r="V98" s="2908">
        <f t="shared" si="38"/>
        <v>0</v>
      </c>
      <c r="W98" s="956"/>
      <c r="X98" s="2908">
        <f t="shared" si="39"/>
        <v>0</v>
      </c>
      <c r="Y98" s="2908">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8">
        <f t="shared" si="37"/>
        <v>0</v>
      </c>
      <c r="V99" s="2908">
        <f t="shared" si="38"/>
        <v>0</v>
      </c>
      <c r="W99" s="956"/>
      <c r="X99" s="2908">
        <f t="shared" si="39"/>
        <v>0</v>
      </c>
      <c r="Y99" s="2908">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8">
        <f t="shared" si="37"/>
        <v>0</v>
      </c>
      <c r="V100" s="2908">
        <f t="shared" si="38"/>
        <v>0</v>
      </c>
      <c r="W100" s="956"/>
      <c r="X100" s="2908">
        <f t="shared" si="39"/>
        <v>0</v>
      </c>
      <c r="Y100" s="2908">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8">
        <f t="shared" si="37"/>
        <v>0</v>
      </c>
      <c r="V101" s="2908">
        <f t="shared" si="38"/>
        <v>0</v>
      </c>
      <c r="W101" s="956"/>
      <c r="X101" s="2908">
        <f t="shared" si="39"/>
        <v>0</v>
      </c>
      <c r="Y101" s="2908">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8">
        <f t="shared" si="37"/>
        <v>0</v>
      </c>
      <c r="V102" s="2908">
        <f t="shared" si="38"/>
        <v>0</v>
      </c>
      <c r="W102" s="956"/>
      <c r="X102" s="2908">
        <f t="shared" si="39"/>
        <v>0</v>
      </c>
      <c r="Y102" s="2908">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8">
        <f t="shared" si="37"/>
        <v>0</v>
      </c>
      <c r="V103" s="2908">
        <f t="shared" si="38"/>
        <v>0</v>
      </c>
      <c r="W103" s="956"/>
      <c r="X103" s="2908">
        <f t="shared" si="39"/>
        <v>0</v>
      </c>
      <c r="Y103" s="2908">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8">
        <f t="shared" si="37"/>
        <v>0</v>
      </c>
      <c r="V104" s="2908">
        <f t="shared" si="38"/>
        <v>0</v>
      </c>
      <c r="W104" s="956"/>
      <c r="X104" s="2908">
        <f t="shared" si="39"/>
        <v>0</v>
      </c>
      <c r="Y104" s="2908">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8">
        <f t="shared" si="37"/>
        <v>0</v>
      </c>
      <c r="V105" s="2908">
        <f t="shared" si="38"/>
        <v>0</v>
      </c>
      <c r="W105" s="956"/>
      <c r="X105" s="2908">
        <f t="shared" si="39"/>
        <v>0</v>
      </c>
      <c r="Y105" s="2908">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8">
        <f t="shared" si="37"/>
        <v>0</v>
      </c>
      <c r="V106" s="2908">
        <f t="shared" si="38"/>
        <v>0</v>
      </c>
      <c r="W106" s="956"/>
      <c r="X106" s="2908">
        <f t="shared" si="39"/>
        <v>0</v>
      </c>
      <c r="Y106" s="2908">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8">
        <f t="shared" si="37"/>
        <v>0</v>
      </c>
      <c r="V107" s="2908">
        <f t="shared" si="38"/>
        <v>0</v>
      </c>
      <c r="W107" s="956"/>
      <c r="X107" s="2908">
        <f t="shared" si="39"/>
        <v>0</v>
      </c>
      <c r="Y107" s="2908">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8">
        <f t="shared" si="37"/>
        <v>0</v>
      </c>
      <c r="V108" s="2908">
        <f t="shared" si="38"/>
        <v>0</v>
      </c>
      <c r="W108" s="956"/>
      <c r="X108" s="2908">
        <f t="shared" si="39"/>
        <v>0</v>
      </c>
      <c r="Y108" s="2908">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8">
        <f t="shared" si="37"/>
        <v>0</v>
      </c>
      <c r="V109" s="2908">
        <f t="shared" si="38"/>
        <v>0</v>
      </c>
      <c r="W109" s="956"/>
      <c r="X109" s="2908">
        <f t="shared" si="39"/>
        <v>0</v>
      </c>
      <c r="Y109" s="2908">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8">
        <f t="shared" si="37"/>
        <v>0</v>
      </c>
      <c r="V110" s="2908">
        <f t="shared" si="38"/>
        <v>0</v>
      </c>
      <c r="W110" s="956"/>
      <c r="X110" s="2908">
        <f t="shared" si="39"/>
        <v>0</v>
      </c>
      <c r="Y110" s="2908">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8">
        <f t="shared" si="37"/>
        <v>0</v>
      </c>
      <c r="V111" s="2908">
        <f t="shared" si="38"/>
        <v>0</v>
      </c>
      <c r="W111" s="956"/>
      <c r="X111" s="2908">
        <f t="shared" si="39"/>
        <v>0</v>
      </c>
      <c r="Y111" s="2908">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8">
        <f t="shared" si="37"/>
        <v>0</v>
      </c>
      <c r="V112" s="2908">
        <f t="shared" si="38"/>
        <v>0</v>
      </c>
      <c r="W112" s="956"/>
      <c r="X112" s="2908">
        <f t="shared" si="39"/>
        <v>0</v>
      </c>
      <c r="Y112" s="2908">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8">
        <f t="shared" si="37"/>
        <v>0</v>
      </c>
      <c r="V113" s="2908">
        <f t="shared" si="38"/>
        <v>0</v>
      </c>
      <c r="W113" s="956"/>
      <c r="X113" s="2908">
        <f t="shared" si="39"/>
        <v>0</v>
      </c>
      <c r="Y113" s="2908">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8">
        <f t="shared" si="37"/>
        <v>0</v>
      </c>
      <c r="V114" s="2908">
        <f t="shared" si="38"/>
        <v>0</v>
      </c>
      <c r="W114" s="956"/>
      <c r="X114" s="2908">
        <f t="shared" si="39"/>
        <v>0</v>
      </c>
      <c r="Y114" s="2908">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8">
        <f t="shared" si="37"/>
        <v>0</v>
      </c>
      <c r="V115" s="2908">
        <f t="shared" si="38"/>
        <v>0</v>
      </c>
      <c r="W115" s="956"/>
      <c r="X115" s="2908">
        <f t="shared" si="39"/>
        <v>0</v>
      </c>
      <c r="Y115" s="2908">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8">
        <f t="shared" si="37"/>
        <v>0</v>
      </c>
      <c r="V116" s="2908">
        <f t="shared" si="38"/>
        <v>0</v>
      </c>
      <c r="W116" s="956"/>
      <c r="X116" s="2908">
        <f t="shared" si="39"/>
        <v>0</v>
      </c>
      <c r="Y116" s="2908">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8">
        <f t="shared" si="37"/>
        <v>0</v>
      </c>
      <c r="V117" s="2908">
        <f t="shared" si="38"/>
        <v>0</v>
      </c>
      <c r="W117" s="956"/>
      <c r="X117" s="2908">
        <f t="shared" si="39"/>
        <v>0</v>
      </c>
      <c r="Y117" s="2908">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8">
        <f t="shared" si="37"/>
        <v>0</v>
      </c>
      <c r="V118" s="2908">
        <f t="shared" si="38"/>
        <v>0</v>
      </c>
      <c r="W118" s="956"/>
      <c r="X118" s="2908">
        <f t="shared" si="39"/>
        <v>0</v>
      </c>
      <c r="Y118" s="2908">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8">
        <f t="shared" si="37"/>
        <v>0</v>
      </c>
      <c r="V119" s="2908">
        <f t="shared" si="38"/>
        <v>0</v>
      </c>
      <c r="W119" s="956"/>
      <c r="X119" s="2908">
        <f t="shared" si="39"/>
        <v>0</v>
      </c>
      <c r="Y119" s="2908">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8">
        <f t="shared" si="37"/>
        <v>0</v>
      </c>
      <c r="V120" s="2908">
        <f t="shared" si="38"/>
        <v>0</v>
      </c>
      <c r="W120" s="956"/>
      <c r="X120" s="2908">
        <f t="shared" si="39"/>
        <v>0</v>
      </c>
      <c r="Y120" s="2908">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8">
        <f t="shared" si="37"/>
        <v>0</v>
      </c>
      <c r="V121" s="2908">
        <f t="shared" si="38"/>
        <v>0</v>
      </c>
      <c r="W121" s="956"/>
      <c r="X121" s="2908">
        <f t="shared" si="39"/>
        <v>0</v>
      </c>
      <c r="Y121" s="2908">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8">
        <f t="shared" si="37"/>
        <v>0</v>
      </c>
      <c r="V122" s="2908">
        <f t="shared" si="38"/>
        <v>0</v>
      </c>
      <c r="W122" s="956"/>
      <c r="X122" s="2908">
        <f t="shared" si="39"/>
        <v>0</v>
      </c>
      <c r="Y122" s="2908">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8">
        <f t="shared" si="37"/>
        <v>0</v>
      </c>
      <c r="V123" s="2908">
        <f t="shared" si="38"/>
        <v>0</v>
      </c>
      <c r="W123" s="956"/>
      <c r="X123" s="2908">
        <f t="shared" si="39"/>
        <v>0</v>
      </c>
      <c r="Y123" s="2908">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8">
        <f t="shared" si="37"/>
        <v>0</v>
      </c>
      <c r="V124" s="2908">
        <f t="shared" si="38"/>
        <v>0</v>
      </c>
      <c r="W124" s="956"/>
      <c r="X124" s="2908">
        <f t="shared" si="39"/>
        <v>0</v>
      </c>
      <c r="Y124" s="2908">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8">
        <f t="shared" si="37"/>
        <v>0</v>
      </c>
      <c r="V125" s="2908">
        <f t="shared" si="38"/>
        <v>0</v>
      </c>
      <c r="W125" s="956"/>
      <c r="X125" s="2908">
        <f t="shared" si="39"/>
        <v>0</v>
      </c>
      <c r="Y125" s="2908">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8">
        <f t="shared" si="37"/>
        <v>0</v>
      </c>
      <c r="V126" s="2908">
        <f t="shared" si="38"/>
        <v>0</v>
      </c>
      <c r="W126" s="956"/>
      <c r="X126" s="2908">
        <f t="shared" si="39"/>
        <v>0</v>
      </c>
      <c r="Y126" s="2908">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8">
        <f t="shared" si="37"/>
        <v>0</v>
      </c>
      <c r="V127" s="2908">
        <f t="shared" si="38"/>
        <v>0</v>
      </c>
      <c r="W127" s="956"/>
      <c r="X127" s="2908">
        <f t="shared" si="39"/>
        <v>0</v>
      </c>
      <c r="Y127" s="2908">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8">
        <f t="shared" si="37"/>
        <v>0</v>
      </c>
      <c r="V128" s="2908">
        <f t="shared" si="38"/>
        <v>0</v>
      </c>
      <c r="W128" s="956"/>
      <c r="X128" s="2908">
        <f t="shared" si="39"/>
        <v>0</v>
      </c>
      <c r="Y128" s="2908">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8">
        <f t="shared" si="37"/>
        <v>0</v>
      </c>
      <c r="V129" s="2908">
        <f t="shared" si="38"/>
        <v>0</v>
      </c>
      <c r="W129" s="956"/>
      <c r="X129" s="2908">
        <f t="shared" si="39"/>
        <v>0</v>
      </c>
      <c r="Y129" s="2908">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8">
        <f t="shared" si="37"/>
        <v>0</v>
      </c>
      <c r="V130" s="2908">
        <f t="shared" si="38"/>
        <v>0</v>
      </c>
      <c r="W130" s="956"/>
      <c r="X130" s="2908">
        <f t="shared" si="39"/>
        <v>0</v>
      </c>
      <c r="Y130" s="2908">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8">
        <f t="shared" si="37"/>
        <v>0</v>
      </c>
      <c r="V131" s="2908">
        <f t="shared" si="38"/>
        <v>0</v>
      </c>
      <c r="W131" s="956"/>
      <c r="X131" s="2908">
        <f t="shared" si="39"/>
        <v>0</v>
      </c>
      <c r="Y131" s="2908">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8">
        <f t="shared" si="37"/>
        <v>0</v>
      </c>
      <c r="V132" s="2908">
        <f t="shared" si="38"/>
        <v>0</v>
      </c>
      <c r="W132" s="956"/>
      <c r="X132" s="2908">
        <f t="shared" si="39"/>
        <v>0</v>
      </c>
      <c r="Y132" s="2908">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8">
        <f t="shared" si="37"/>
        <v>0</v>
      </c>
      <c r="V133" s="2908">
        <f t="shared" si="38"/>
        <v>0</v>
      </c>
      <c r="W133" s="956"/>
      <c r="X133" s="2908">
        <f t="shared" si="39"/>
        <v>0</v>
      </c>
      <c r="Y133" s="2908">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8">
        <f t="shared" si="37"/>
        <v>0</v>
      </c>
      <c r="V134" s="2908">
        <f t="shared" si="38"/>
        <v>0</v>
      </c>
      <c r="W134" s="956"/>
      <c r="X134" s="2908">
        <f t="shared" si="39"/>
        <v>0</v>
      </c>
      <c r="Y134" s="2908">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8">
        <f t="shared" si="37"/>
        <v>0</v>
      </c>
      <c r="V135" s="2908">
        <f t="shared" si="38"/>
        <v>0</v>
      </c>
      <c r="W135" s="956"/>
      <c r="X135" s="2908">
        <f t="shared" si="39"/>
        <v>0</v>
      </c>
      <c r="Y135" s="2908">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8">
        <f t="shared" si="37"/>
        <v>0</v>
      </c>
      <c r="V136" s="2908">
        <f t="shared" si="38"/>
        <v>0</v>
      </c>
      <c r="W136" s="956"/>
      <c r="X136" s="2908">
        <f t="shared" si="39"/>
        <v>0</v>
      </c>
      <c r="Y136" s="2908">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8">
        <f t="shared" si="37"/>
        <v>0</v>
      </c>
      <c r="V137" s="2908">
        <f t="shared" si="38"/>
        <v>0</v>
      </c>
      <c r="W137" s="956"/>
      <c r="X137" s="2908">
        <f t="shared" si="39"/>
        <v>0</v>
      </c>
      <c r="Y137" s="2908">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8">
        <f t="shared" si="37"/>
        <v>0</v>
      </c>
      <c r="V138" s="2908">
        <f t="shared" si="38"/>
        <v>0</v>
      </c>
      <c r="W138" s="956"/>
      <c r="X138" s="2908">
        <f t="shared" si="39"/>
        <v>0</v>
      </c>
      <c r="Y138" s="2908">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8">
        <f t="shared" si="37"/>
        <v>0</v>
      </c>
      <c r="V139" s="2908">
        <f t="shared" si="38"/>
        <v>0</v>
      </c>
      <c r="W139" s="956"/>
      <c r="X139" s="2908">
        <f t="shared" si="39"/>
        <v>0</v>
      </c>
      <c r="Y139" s="2908">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8">
        <f t="shared" si="37"/>
        <v>0</v>
      </c>
      <c r="V140" s="2908">
        <f t="shared" si="38"/>
        <v>0</v>
      </c>
      <c r="W140" s="956"/>
      <c r="X140" s="2908">
        <f t="shared" si="39"/>
        <v>0</v>
      </c>
      <c r="Y140" s="2908">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8">
        <f t="shared" si="37"/>
        <v>0</v>
      </c>
      <c r="V141" s="2908">
        <f t="shared" si="38"/>
        <v>0</v>
      </c>
      <c r="W141" s="956"/>
      <c r="X141" s="2908">
        <f t="shared" si="39"/>
        <v>0</v>
      </c>
      <c r="Y141" s="2908">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8">
        <f t="shared" si="37"/>
        <v>0</v>
      </c>
      <c r="V142" s="2908">
        <f t="shared" si="38"/>
        <v>0</v>
      </c>
      <c r="W142" s="956"/>
      <c r="X142" s="2908">
        <f t="shared" si="39"/>
        <v>0</v>
      </c>
      <c r="Y142" s="2908">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8">
        <f t="shared" si="37"/>
        <v>0</v>
      </c>
      <c r="V143" s="2908">
        <f t="shared" si="38"/>
        <v>0</v>
      </c>
      <c r="W143" s="956"/>
      <c r="X143" s="2908">
        <f t="shared" si="39"/>
        <v>0</v>
      </c>
      <c r="Y143" s="2908">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8">
        <f t="shared" si="37"/>
        <v>0</v>
      </c>
      <c r="V144" s="2908">
        <f t="shared" si="38"/>
        <v>0</v>
      </c>
      <c r="W144" s="956"/>
      <c r="X144" s="2908">
        <f t="shared" si="39"/>
        <v>0</v>
      </c>
      <c r="Y144" s="2908">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8">
        <f t="shared" si="37"/>
        <v>0</v>
      </c>
      <c r="V145" s="2908">
        <f t="shared" si="38"/>
        <v>0</v>
      </c>
      <c r="W145" s="956"/>
      <c r="X145" s="2908">
        <f t="shared" si="39"/>
        <v>0</v>
      </c>
      <c r="Y145" s="2908">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8">
        <f t="shared" si="37"/>
        <v>0</v>
      </c>
      <c r="V146" s="2908">
        <f t="shared" si="38"/>
        <v>0</v>
      </c>
      <c r="W146" s="956"/>
      <c r="X146" s="2908">
        <f t="shared" si="39"/>
        <v>0</v>
      </c>
      <c r="Y146" s="2908">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8">
        <f t="shared" si="37"/>
        <v>0</v>
      </c>
      <c r="V147" s="2908">
        <f t="shared" si="38"/>
        <v>0</v>
      </c>
      <c r="W147" s="956"/>
      <c r="X147" s="2908">
        <f t="shared" si="39"/>
        <v>0</v>
      </c>
      <c r="Y147" s="2908">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8">
        <f t="shared" si="37"/>
        <v>0</v>
      </c>
      <c r="V148" s="2908">
        <f t="shared" si="38"/>
        <v>0</v>
      </c>
      <c r="W148" s="956"/>
      <c r="X148" s="2908">
        <f t="shared" si="39"/>
        <v>0</v>
      </c>
      <c r="Y148" s="2908">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8">
        <f t="shared" si="37"/>
        <v>0</v>
      </c>
      <c r="V149" s="2908">
        <f t="shared" si="38"/>
        <v>0</v>
      </c>
      <c r="W149" s="956"/>
      <c r="X149" s="2908">
        <f t="shared" si="39"/>
        <v>0</v>
      </c>
      <c r="Y149" s="2908">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8">
        <f t="shared" si="37"/>
        <v>0</v>
      </c>
      <c r="V150" s="2908">
        <f t="shared" si="38"/>
        <v>0</v>
      </c>
      <c r="W150" s="956"/>
      <c r="X150" s="2908">
        <f t="shared" si="39"/>
        <v>0</v>
      </c>
      <c r="Y150" s="2908">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8">
        <f t="shared" si="37"/>
        <v>0</v>
      </c>
      <c r="V151" s="2908">
        <f t="shared" si="38"/>
        <v>0</v>
      </c>
      <c r="W151" s="956"/>
      <c r="X151" s="2908">
        <f t="shared" si="39"/>
        <v>0</v>
      </c>
      <c r="Y151" s="2908">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8">
        <f t="shared" si="37"/>
        <v>0</v>
      </c>
      <c r="V152" s="2908">
        <f t="shared" si="38"/>
        <v>0</v>
      </c>
      <c r="W152" s="956"/>
      <c r="X152" s="2908">
        <f t="shared" si="39"/>
        <v>0</v>
      </c>
      <c r="Y152" s="2908">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8">
        <f t="shared" si="37"/>
        <v>0</v>
      </c>
      <c r="V153" s="2908">
        <f t="shared" si="38"/>
        <v>0</v>
      </c>
      <c r="W153" s="956"/>
      <c r="X153" s="2908">
        <f t="shared" si="39"/>
        <v>0</v>
      </c>
      <c r="Y153" s="2908">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8">
        <f t="shared" si="37"/>
        <v>0</v>
      </c>
      <c r="V154" s="2908">
        <f t="shared" si="38"/>
        <v>0</v>
      </c>
      <c r="W154" s="956"/>
      <c r="X154" s="2908">
        <f t="shared" si="39"/>
        <v>0</v>
      </c>
      <c r="Y154" s="2908">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8">
        <f t="shared" si="37"/>
        <v>0</v>
      </c>
      <c r="V155" s="2908">
        <f t="shared" si="38"/>
        <v>0</v>
      </c>
      <c r="W155" s="956"/>
      <c r="X155" s="2908">
        <f t="shared" si="39"/>
        <v>0</v>
      </c>
      <c r="Y155" s="2908">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8">
        <f t="shared" ref="U156:U219" si="52">ROUND(W156*B156,0)</f>
        <v>0</v>
      </c>
      <c r="V156" s="2908">
        <f t="shared" ref="V156:V219" si="53">ROUND(W156*B156/10000,0)</f>
        <v>0</v>
      </c>
      <c r="W156" s="956"/>
      <c r="X156" s="2908">
        <f t="shared" ref="X156:X219" si="54">ROUND(Z156*B156,0)</f>
        <v>0</v>
      </c>
      <c r="Y156" s="2908">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8">
        <f t="shared" si="52"/>
        <v>0</v>
      </c>
      <c r="V157" s="2908">
        <f t="shared" si="53"/>
        <v>0</v>
      </c>
      <c r="W157" s="956"/>
      <c r="X157" s="2908">
        <f t="shared" si="54"/>
        <v>0</v>
      </c>
      <c r="Y157" s="2908">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8">
        <f t="shared" si="52"/>
        <v>0</v>
      </c>
      <c r="V158" s="2908">
        <f t="shared" si="53"/>
        <v>0</v>
      </c>
      <c r="W158" s="956"/>
      <c r="X158" s="2908">
        <f t="shared" si="54"/>
        <v>0</v>
      </c>
      <c r="Y158" s="2908">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8">
        <f t="shared" si="52"/>
        <v>0</v>
      </c>
      <c r="V159" s="2908">
        <f t="shared" si="53"/>
        <v>0</v>
      </c>
      <c r="W159" s="956"/>
      <c r="X159" s="2908">
        <f t="shared" si="54"/>
        <v>0</v>
      </c>
      <c r="Y159" s="2908">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8">
        <f t="shared" si="52"/>
        <v>0</v>
      </c>
      <c r="V160" s="2908">
        <f t="shared" si="53"/>
        <v>0</v>
      </c>
      <c r="W160" s="956"/>
      <c r="X160" s="2908">
        <f t="shared" si="54"/>
        <v>0</v>
      </c>
      <c r="Y160" s="2908">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8">
        <f t="shared" si="52"/>
        <v>0</v>
      </c>
      <c r="V161" s="2908">
        <f t="shared" si="53"/>
        <v>0</v>
      </c>
      <c r="W161" s="956"/>
      <c r="X161" s="2908">
        <f t="shared" si="54"/>
        <v>0</v>
      </c>
      <c r="Y161" s="2908">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8">
        <f t="shared" si="52"/>
        <v>0</v>
      </c>
      <c r="V162" s="2908">
        <f t="shared" si="53"/>
        <v>0</v>
      </c>
      <c r="W162" s="956"/>
      <c r="X162" s="2908">
        <f t="shared" si="54"/>
        <v>0</v>
      </c>
      <c r="Y162" s="2908">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8">
        <f t="shared" si="52"/>
        <v>0</v>
      </c>
      <c r="V163" s="2908">
        <f t="shared" si="53"/>
        <v>0</v>
      </c>
      <c r="W163" s="956"/>
      <c r="X163" s="2908">
        <f t="shared" si="54"/>
        <v>0</v>
      </c>
      <c r="Y163" s="2908">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8">
        <f t="shared" si="52"/>
        <v>0</v>
      </c>
      <c r="V164" s="2908">
        <f t="shared" si="53"/>
        <v>0</v>
      </c>
      <c r="W164" s="956"/>
      <c r="X164" s="2908">
        <f t="shared" si="54"/>
        <v>0</v>
      </c>
      <c r="Y164" s="2908">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8">
        <f t="shared" si="52"/>
        <v>0</v>
      </c>
      <c r="V165" s="2908">
        <f t="shared" si="53"/>
        <v>0</v>
      </c>
      <c r="W165" s="956"/>
      <c r="X165" s="2908">
        <f t="shared" si="54"/>
        <v>0</v>
      </c>
      <c r="Y165" s="2908">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8">
        <f t="shared" si="52"/>
        <v>0</v>
      </c>
      <c r="V166" s="2908">
        <f t="shared" si="53"/>
        <v>0</v>
      </c>
      <c r="W166" s="956"/>
      <c r="X166" s="2908">
        <f t="shared" si="54"/>
        <v>0</v>
      </c>
      <c r="Y166" s="2908">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8">
        <f t="shared" si="52"/>
        <v>0</v>
      </c>
      <c r="V167" s="2908">
        <f t="shared" si="53"/>
        <v>0</v>
      </c>
      <c r="W167" s="956"/>
      <c r="X167" s="2908">
        <f t="shared" si="54"/>
        <v>0</v>
      </c>
      <c r="Y167" s="2908">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8">
        <f t="shared" si="52"/>
        <v>0</v>
      </c>
      <c r="V168" s="2908">
        <f t="shared" si="53"/>
        <v>0</v>
      </c>
      <c r="W168" s="956"/>
      <c r="X168" s="2908">
        <f t="shared" si="54"/>
        <v>0</v>
      </c>
      <c r="Y168" s="2908">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8">
        <f t="shared" si="52"/>
        <v>0</v>
      </c>
      <c r="V169" s="2908">
        <f t="shared" si="53"/>
        <v>0</v>
      </c>
      <c r="W169" s="956"/>
      <c r="X169" s="2908">
        <f t="shared" si="54"/>
        <v>0</v>
      </c>
      <c r="Y169" s="2908">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8">
        <f t="shared" si="52"/>
        <v>0</v>
      </c>
      <c r="V170" s="2908">
        <f t="shared" si="53"/>
        <v>0</v>
      </c>
      <c r="W170" s="956"/>
      <c r="X170" s="2908">
        <f t="shared" si="54"/>
        <v>0</v>
      </c>
      <c r="Y170" s="2908">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8">
        <f t="shared" si="52"/>
        <v>0</v>
      </c>
      <c r="V171" s="2908">
        <f t="shared" si="53"/>
        <v>0</v>
      </c>
      <c r="W171" s="956"/>
      <c r="X171" s="2908">
        <f t="shared" si="54"/>
        <v>0</v>
      </c>
      <c r="Y171" s="2908">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8">
        <f t="shared" si="52"/>
        <v>0</v>
      </c>
      <c r="V172" s="2908">
        <f t="shared" si="53"/>
        <v>0</v>
      </c>
      <c r="W172" s="956"/>
      <c r="X172" s="2908">
        <f t="shared" si="54"/>
        <v>0</v>
      </c>
      <c r="Y172" s="2908">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8">
        <f t="shared" si="52"/>
        <v>0</v>
      </c>
      <c r="V173" s="2908">
        <f t="shared" si="53"/>
        <v>0</v>
      </c>
      <c r="W173" s="956"/>
      <c r="X173" s="2908">
        <f t="shared" si="54"/>
        <v>0</v>
      </c>
      <c r="Y173" s="2908">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8">
        <f t="shared" si="52"/>
        <v>0</v>
      </c>
      <c r="V174" s="2908">
        <f t="shared" si="53"/>
        <v>0</v>
      </c>
      <c r="W174" s="956"/>
      <c r="X174" s="2908">
        <f t="shared" si="54"/>
        <v>0</v>
      </c>
      <c r="Y174" s="2908">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8">
        <f t="shared" si="52"/>
        <v>0</v>
      </c>
      <c r="V175" s="2908">
        <f t="shared" si="53"/>
        <v>0</v>
      </c>
      <c r="W175" s="956"/>
      <c r="X175" s="2908">
        <f t="shared" si="54"/>
        <v>0</v>
      </c>
      <c r="Y175" s="2908">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8">
        <f t="shared" si="52"/>
        <v>0</v>
      </c>
      <c r="V176" s="2908">
        <f t="shared" si="53"/>
        <v>0</v>
      </c>
      <c r="W176" s="956"/>
      <c r="X176" s="2908">
        <f t="shared" si="54"/>
        <v>0</v>
      </c>
      <c r="Y176" s="2908">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8">
        <f t="shared" si="52"/>
        <v>0</v>
      </c>
      <c r="V177" s="2908">
        <f t="shared" si="53"/>
        <v>0</v>
      </c>
      <c r="W177" s="956"/>
      <c r="X177" s="2908">
        <f t="shared" si="54"/>
        <v>0</v>
      </c>
      <c r="Y177" s="2908">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8">
        <f t="shared" si="52"/>
        <v>0</v>
      </c>
      <c r="V178" s="2908">
        <f t="shared" si="53"/>
        <v>0</v>
      </c>
      <c r="W178" s="956"/>
      <c r="X178" s="2908">
        <f t="shared" si="54"/>
        <v>0</v>
      </c>
      <c r="Y178" s="2908">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8">
        <f t="shared" si="52"/>
        <v>0</v>
      </c>
      <c r="V179" s="2908">
        <f t="shared" si="53"/>
        <v>0</v>
      </c>
      <c r="W179" s="956"/>
      <c r="X179" s="2908">
        <f t="shared" si="54"/>
        <v>0</v>
      </c>
      <c r="Y179" s="2908">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8">
        <f t="shared" si="52"/>
        <v>0</v>
      </c>
      <c r="V180" s="2908">
        <f t="shared" si="53"/>
        <v>0</v>
      </c>
      <c r="W180" s="956"/>
      <c r="X180" s="2908">
        <f t="shared" si="54"/>
        <v>0</v>
      </c>
      <c r="Y180" s="2908">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8">
        <f t="shared" si="52"/>
        <v>0</v>
      </c>
      <c r="V181" s="2908">
        <f t="shared" si="53"/>
        <v>0</v>
      </c>
      <c r="W181" s="956"/>
      <c r="X181" s="2908">
        <f t="shared" si="54"/>
        <v>0</v>
      </c>
      <c r="Y181" s="2908">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8">
        <f t="shared" si="52"/>
        <v>0</v>
      </c>
      <c r="V182" s="2908">
        <f t="shared" si="53"/>
        <v>0</v>
      </c>
      <c r="W182" s="956"/>
      <c r="X182" s="2908">
        <f t="shared" si="54"/>
        <v>0</v>
      </c>
      <c r="Y182" s="2908">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8">
        <f t="shared" si="52"/>
        <v>0</v>
      </c>
      <c r="V183" s="2908">
        <f t="shared" si="53"/>
        <v>0</v>
      </c>
      <c r="W183" s="956"/>
      <c r="X183" s="2908">
        <f t="shared" si="54"/>
        <v>0</v>
      </c>
      <c r="Y183" s="2908">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8">
        <f t="shared" si="52"/>
        <v>0</v>
      </c>
      <c r="V184" s="2908">
        <f t="shared" si="53"/>
        <v>0</v>
      </c>
      <c r="W184" s="956"/>
      <c r="X184" s="2908">
        <f t="shared" si="54"/>
        <v>0</v>
      </c>
      <c r="Y184" s="2908">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8">
        <f t="shared" si="52"/>
        <v>0</v>
      </c>
      <c r="V185" s="2908">
        <f t="shared" si="53"/>
        <v>0</v>
      </c>
      <c r="W185" s="956"/>
      <c r="X185" s="2908">
        <f t="shared" si="54"/>
        <v>0</v>
      </c>
      <c r="Y185" s="2908">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8">
        <f t="shared" si="52"/>
        <v>0</v>
      </c>
      <c r="V186" s="2908">
        <f t="shared" si="53"/>
        <v>0</v>
      </c>
      <c r="W186" s="956"/>
      <c r="X186" s="2908">
        <f t="shared" si="54"/>
        <v>0</v>
      </c>
      <c r="Y186" s="2908">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8">
        <f t="shared" si="52"/>
        <v>0</v>
      </c>
      <c r="V187" s="2908">
        <f t="shared" si="53"/>
        <v>0</v>
      </c>
      <c r="W187" s="956"/>
      <c r="X187" s="2908">
        <f t="shared" si="54"/>
        <v>0</v>
      </c>
      <c r="Y187" s="2908">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8">
        <f t="shared" si="52"/>
        <v>0</v>
      </c>
      <c r="V188" s="2908">
        <f t="shared" si="53"/>
        <v>0</v>
      </c>
      <c r="W188" s="956"/>
      <c r="X188" s="2908">
        <f t="shared" si="54"/>
        <v>0</v>
      </c>
      <c r="Y188" s="2908">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8">
        <f t="shared" si="52"/>
        <v>0</v>
      </c>
      <c r="V189" s="2908">
        <f t="shared" si="53"/>
        <v>0</v>
      </c>
      <c r="W189" s="956"/>
      <c r="X189" s="2908">
        <f t="shared" si="54"/>
        <v>0</v>
      </c>
      <c r="Y189" s="2908">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8">
        <f t="shared" si="52"/>
        <v>0</v>
      </c>
      <c r="V190" s="2908">
        <f t="shared" si="53"/>
        <v>0</v>
      </c>
      <c r="W190" s="956"/>
      <c r="X190" s="2908">
        <f t="shared" si="54"/>
        <v>0</v>
      </c>
      <c r="Y190" s="2908">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8">
        <f t="shared" si="52"/>
        <v>0</v>
      </c>
      <c r="V191" s="2908">
        <f t="shared" si="53"/>
        <v>0</v>
      </c>
      <c r="W191" s="956"/>
      <c r="X191" s="2908">
        <f t="shared" si="54"/>
        <v>0</v>
      </c>
      <c r="Y191" s="2908">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8">
        <f t="shared" si="52"/>
        <v>0</v>
      </c>
      <c r="V192" s="2908">
        <f t="shared" si="53"/>
        <v>0</v>
      </c>
      <c r="W192" s="956"/>
      <c r="X192" s="2908">
        <f t="shared" si="54"/>
        <v>0</v>
      </c>
      <c r="Y192" s="2908">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8">
        <f t="shared" si="52"/>
        <v>0</v>
      </c>
      <c r="V193" s="2908">
        <f t="shared" si="53"/>
        <v>0</v>
      </c>
      <c r="W193" s="956"/>
      <c r="X193" s="2908">
        <f t="shared" si="54"/>
        <v>0</v>
      </c>
      <c r="Y193" s="2908">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8">
        <f t="shared" si="52"/>
        <v>0</v>
      </c>
      <c r="V194" s="2908">
        <f t="shared" si="53"/>
        <v>0</v>
      </c>
      <c r="W194" s="956"/>
      <c r="X194" s="2908">
        <f t="shared" si="54"/>
        <v>0</v>
      </c>
      <c r="Y194" s="2908">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8">
        <f t="shared" si="52"/>
        <v>0</v>
      </c>
      <c r="V195" s="2908">
        <f t="shared" si="53"/>
        <v>0</v>
      </c>
      <c r="W195" s="956"/>
      <c r="X195" s="2908">
        <f t="shared" si="54"/>
        <v>0</v>
      </c>
      <c r="Y195" s="2908">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8">
        <f t="shared" si="52"/>
        <v>0</v>
      </c>
      <c r="V196" s="2908">
        <f t="shared" si="53"/>
        <v>0</v>
      </c>
      <c r="W196" s="956"/>
      <c r="X196" s="2908">
        <f t="shared" si="54"/>
        <v>0</v>
      </c>
      <c r="Y196" s="2908">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8">
        <f t="shared" si="52"/>
        <v>0</v>
      </c>
      <c r="V197" s="2908">
        <f t="shared" si="53"/>
        <v>0</v>
      </c>
      <c r="W197" s="956"/>
      <c r="X197" s="2908">
        <f t="shared" si="54"/>
        <v>0</v>
      </c>
      <c r="Y197" s="2908">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8">
        <f t="shared" si="52"/>
        <v>0</v>
      </c>
      <c r="V198" s="2908">
        <f t="shared" si="53"/>
        <v>0</v>
      </c>
      <c r="W198" s="956"/>
      <c r="X198" s="2908">
        <f t="shared" si="54"/>
        <v>0</v>
      </c>
      <c r="Y198" s="2908">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8">
        <f t="shared" si="52"/>
        <v>0</v>
      </c>
      <c r="V199" s="2908">
        <f t="shared" si="53"/>
        <v>0</v>
      </c>
      <c r="W199" s="956"/>
      <c r="X199" s="2908">
        <f t="shared" si="54"/>
        <v>0</v>
      </c>
      <c r="Y199" s="2908">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8">
        <f t="shared" si="52"/>
        <v>0</v>
      </c>
      <c r="V200" s="2908">
        <f t="shared" si="53"/>
        <v>0</v>
      </c>
      <c r="W200" s="956"/>
      <c r="X200" s="2908">
        <f t="shared" si="54"/>
        <v>0</v>
      </c>
      <c r="Y200" s="2908">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8">
        <f t="shared" si="52"/>
        <v>0</v>
      </c>
      <c r="V201" s="2908">
        <f t="shared" si="53"/>
        <v>0</v>
      </c>
      <c r="W201" s="956"/>
      <c r="X201" s="2908">
        <f t="shared" si="54"/>
        <v>0</v>
      </c>
      <c r="Y201" s="2908">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8">
        <f t="shared" si="52"/>
        <v>0</v>
      </c>
      <c r="V202" s="2908">
        <f t="shared" si="53"/>
        <v>0</v>
      </c>
      <c r="W202" s="956"/>
      <c r="X202" s="2908">
        <f t="shared" si="54"/>
        <v>0</v>
      </c>
      <c r="Y202" s="2908">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8">
        <f t="shared" si="52"/>
        <v>0</v>
      </c>
      <c r="V203" s="2908">
        <f t="shared" si="53"/>
        <v>0</v>
      </c>
      <c r="W203" s="956"/>
      <c r="X203" s="2908">
        <f t="shared" si="54"/>
        <v>0</v>
      </c>
      <c r="Y203" s="2908">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8">
        <f t="shared" si="52"/>
        <v>0</v>
      </c>
      <c r="V204" s="2908">
        <f t="shared" si="53"/>
        <v>0</v>
      </c>
      <c r="W204" s="956"/>
      <c r="X204" s="2908">
        <f t="shared" si="54"/>
        <v>0</v>
      </c>
      <c r="Y204" s="2908">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8">
        <f t="shared" si="52"/>
        <v>0</v>
      </c>
      <c r="V205" s="2908">
        <f t="shared" si="53"/>
        <v>0</v>
      </c>
      <c r="W205" s="956"/>
      <c r="X205" s="2908">
        <f t="shared" si="54"/>
        <v>0</v>
      </c>
      <c r="Y205" s="2908">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8">
        <f t="shared" si="52"/>
        <v>0</v>
      </c>
      <c r="V206" s="2908">
        <f t="shared" si="53"/>
        <v>0</v>
      </c>
      <c r="W206" s="956"/>
      <c r="X206" s="2908">
        <f t="shared" si="54"/>
        <v>0</v>
      </c>
      <c r="Y206" s="2908">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8">
        <f t="shared" si="52"/>
        <v>0</v>
      </c>
      <c r="V207" s="2908">
        <f t="shared" si="53"/>
        <v>0</v>
      </c>
      <c r="W207" s="956"/>
      <c r="X207" s="2908">
        <f t="shared" si="54"/>
        <v>0</v>
      </c>
      <c r="Y207" s="2908">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8">
        <f t="shared" si="52"/>
        <v>0</v>
      </c>
      <c r="V208" s="2908">
        <f t="shared" si="53"/>
        <v>0</v>
      </c>
      <c r="W208" s="956"/>
      <c r="X208" s="2908">
        <f t="shared" si="54"/>
        <v>0</v>
      </c>
      <c r="Y208" s="2908">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8">
        <f t="shared" si="52"/>
        <v>0</v>
      </c>
      <c r="V209" s="2908">
        <f t="shared" si="53"/>
        <v>0</v>
      </c>
      <c r="W209" s="956"/>
      <c r="X209" s="2908">
        <f t="shared" si="54"/>
        <v>0</v>
      </c>
      <c r="Y209" s="2908">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8">
        <f t="shared" si="52"/>
        <v>0</v>
      </c>
      <c r="V210" s="2908">
        <f t="shared" si="53"/>
        <v>0</v>
      </c>
      <c r="W210" s="956"/>
      <c r="X210" s="2908">
        <f t="shared" si="54"/>
        <v>0</v>
      </c>
      <c r="Y210" s="2908">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8">
        <f t="shared" si="52"/>
        <v>0</v>
      </c>
      <c r="V211" s="2908">
        <f t="shared" si="53"/>
        <v>0</v>
      </c>
      <c r="W211" s="956"/>
      <c r="X211" s="2908">
        <f t="shared" si="54"/>
        <v>0</v>
      </c>
      <c r="Y211" s="2908">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8">
        <f t="shared" si="52"/>
        <v>0</v>
      </c>
      <c r="V212" s="2908">
        <f t="shared" si="53"/>
        <v>0</v>
      </c>
      <c r="W212" s="956"/>
      <c r="X212" s="2908">
        <f t="shared" si="54"/>
        <v>0</v>
      </c>
      <c r="Y212" s="2908">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8">
        <f t="shared" si="52"/>
        <v>0</v>
      </c>
      <c r="V213" s="2908">
        <f t="shared" si="53"/>
        <v>0</v>
      </c>
      <c r="W213" s="956"/>
      <c r="X213" s="2908">
        <f t="shared" si="54"/>
        <v>0</v>
      </c>
      <c r="Y213" s="2908">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8">
        <f t="shared" si="52"/>
        <v>0</v>
      </c>
      <c r="V214" s="2908">
        <f t="shared" si="53"/>
        <v>0</v>
      </c>
      <c r="W214" s="956"/>
      <c r="X214" s="2908">
        <f t="shared" si="54"/>
        <v>0</v>
      </c>
      <c r="Y214" s="2908">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8">
        <f t="shared" si="52"/>
        <v>0</v>
      </c>
      <c r="V215" s="2908">
        <f t="shared" si="53"/>
        <v>0</v>
      </c>
      <c r="W215" s="956"/>
      <c r="X215" s="2908">
        <f t="shared" si="54"/>
        <v>0</v>
      </c>
      <c r="Y215" s="2908">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8">
        <f t="shared" si="52"/>
        <v>0</v>
      </c>
      <c r="V216" s="2908">
        <f t="shared" si="53"/>
        <v>0</v>
      </c>
      <c r="W216" s="956"/>
      <c r="X216" s="2908">
        <f t="shared" si="54"/>
        <v>0</v>
      </c>
      <c r="Y216" s="2908">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8">
        <f t="shared" si="52"/>
        <v>0</v>
      </c>
      <c r="V217" s="2908">
        <f t="shared" si="53"/>
        <v>0</v>
      </c>
      <c r="W217" s="956"/>
      <c r="X217" s="2908">
        <f t="shared" si="54"/>
        <v>0</v>
      </c>
      <c r="Y217" s="2908">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8">
        <f t="shared" si="52"/>
        <v>0</v>
      </c>
      <c r="V218" s="2908">
        <f t="shared" si="53"/>
        <v>0</v>
      </c>
      <c r="W218" s="956"/>
      <c r="X218" s="2908">
        <f t="shared" si="54"/>
        <v>0</v>
      </c>
      <c r="Y218" s="2908">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8">
        <f t="shared" si="52"/>
        <v>0</v>
      </c>
      <c r="V219" s="2908">
        <f t="shared" si="53"/>
        <v>0</v>
      </c>
      <c r="W219" s="956"/>
      <c r="X219" s="2908">
        <f t="shared" si="54"/>
        <v>0</v>
      </c>
      <c r="Y219" s="2908">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8">
        <f t="shared" ref="U220:U283" si="67">ROUND(W220*B220,0)</f>
        <v>0</v>
      </c>
      <c r="V220" s="2908">
        <f t="shared" ref="V220:V283" si="68">ROUND(W220*B220/10000,0)</f>
        <v>0</v>
      </c>
      <c r="W220" s="956"/>
      <c r="X220" s="2908">
        <f t="shared" ref="X220:X283" si="69">ROUND(Z220*B220,0)</f>
        <v>0</v>
      </c>
      <c r="Y220" s="2908">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8">
        <f t="shared" si="67"/>
        <v>0</v>
      </c>
      <c r="V221" s="2908">
        <f t="shared" si="68"/>
        <v>0</v>
      </c>
      <c r="W221" s="956"/>
      <c r="X221" s="2908">
        <f t="shared" si="69"/>
        <v>0</v>
      </c>
      <c r="Y221" s="2908">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8">
        <f t="shared" si="67"/>
        <v>0</v>
      </c>
      <c r="V222" s="2908">
        <f t="shared" si="68"/>
        <v>0</v>
      </c>
      <c r="W222" s="956"/>
      <c r="X222" s="2908">
        <f t="shared" si="69"/>
        <v>0</v>
      </c>
      <c r="Y222" s="2908">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8">
        <f t="shared" si="67"/>
        <v>0</v>
      </c>
      <c r="V223" s="2908">
        <f t="shared" si="68"/>
        <v>0</v>
      </c>
      <c r="W223" s="956"/>
      <c r="X223" s="2908">
        <f t="shared" si="69"/>
        <v>0</v>
      </c>
      <c r="Y223" s="2908">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8">
        <f t="shared" si="67"/>
        <v>0</v>
      </c>
      <c r="V224" s="2908">
        <f t="shared" si="68"/>
        <v>0</v>
      </c>
      <c r="W224" s="956"/>
      <c r="X224" s="2908">
        <f t="shared" si="69"/>
        <v>0</v>
      </c>
      <c r="Y224" s="2908">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8">
        <f t="shared" si="67"/>
        <v>0</v>
      </c>
      <c r="V225" s="2908">
        <f t="shared" si="68"/>
        <v>0</v>
      </c>
      <c r="W225" s="956"/>
      <c r="X225" s="2908">
        <f t="shared" si="69"/>
        <v>0</v>
      </c>
      <c r="Y225" s="2908">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8">
        <f t="shared" si="67"/>
        <v>0</v>
      </c>
      <c r="V226" s="2908">
        <f t="shared" si="68"/>
        <v>0</v>
      </c>
      <c r="W226" s="956"/>
      <c r="X226" s="2908">
        <f t="shared" si="69"/>
        <v>0</v>
      </c>
      <c r="Y226" s="2908">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8">
        <f t="shared" si="67"/>
        <v>0</v>
      </c>
      <c r="V227" s="2908">
        <f t="shared" si="68"/>
        <v>0</v>
      </c>
      <c r="W227" s="956"/>
      <c r="X227" s="2908">
        <f t="shared" si="69"/>
        <v>0</v>
      </c>
      <c r="Y227" s="2908">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8">
        <f t="shared" si="67"/>
        <v>0</v>
      </c>
      <c r="V228" s="2908">
        <f t="shared" si="68"/>
        <v>0</v>
      </c>
      <c r="W228" s="956"/>
      <c r="X228" s="2908">
        <f t="shared" si="69"/>
        <v>0</v>
      </c>
      <c r="Y228" s="2908">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8">
        <f t="shared" si="67"/>
        <v>0</v>
      </c>
      <c r="V229" s="2908">
        <f t="shared" si="68"/>
        <v>0</v>
      </c>
      <c r="W229" s="956"/>
      <c r="X229" s="2908">
        <f t="shared" si="69"/>
        <v>0</v>
      </c>
      <c r="Y229" s="2908">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8">
        <f t="shared" si="67"/>
        <v>0</v>
      </c>
      <c r="V230" s="2908">
        <f t="shared" si="68"/>
        <v>0</v>
      </c>
      <c r="W230" s="956"/>
      <c r="X230" s="2908">
        <f t="shared" si="69"/>
        <v>0</v>
      </c>
      <c r="Y230" s="2908">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8">
        <f t="shared" si="67"/>
        <v>0</v>
      </c>
      <c r="V231" s="2908">
        <f t="shared" si="68"/>
        <v>0</v>
      </c>
      <c r="W231" s="956"/>
      <c r="X231" s="2908">
        <f t="shared" si="69"/>
        <v>0</v>
      </c>
      <c r="Y231" s="2908">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8">
        <f t="shared" si="67"/>
        <v>0</v>
      </c>
      <c r="V232" s="2908">
        <f t="shared" si="68"/>
        <v>0</v>
      </c>
      <c r="W232" s="956"/>
      <c r="X232" s="2908">
        <f t="shared" si="69"/>
        <v>0</v>
      </c>
      <c r="Y232" s="2908">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8">
        <f t="shared" si="67"/>
        <v>0</v>
      </c>
      <c r="V233" s="2908">
        <f t="shared" si="68"/>
        <v>0</v>
      </c>
      <c r="W233" s="956"/>
      <c r="X233" s="2908">
        <f t="shared" si="69"/>
        <v>0</v>
      </c>
      <c r="Y233" s="2908">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8">
        <f t="shared" si="67"/>
        <v>0</v>
      </c>
      <c r="V234" s="2908">
        <f t="shared" si="68"/>
        <v>0</v>
      </c>
      <c r="W234" s="956"/>
      <c r="X234" s="2908">
        <f t="shared" si="69"/>
        <v>0</v>
      </c>
      <c r="Y234" s="2908">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8">
        <f t="shared" si="67"/>
        <v>0</v>
      </c>
      <c r="V235" s="2908">
        <f t="shared" si="68"/>
        <v>0</v>
      </c>
      <c r="W235" s="956"/>
      <c r="X235" s="2908">
        <f t="shared" si="69"/>
        <v>0</v>
      </c>
      <c r="Y235" s="2908">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8">
        <f t="shared" si="67"/>
        <v>0</v>
      </c>
      <c r="V236" s="2908">
        <f t="shared" si="68"/>
        <v>0</v>
      </c>
      <c r="W236" s="956"/>
      <c r="X236" s="2908">
        <f t="shared" si="69"/>
        <v>0</v>
      </c>
      <c r="Y236" s="2908">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8">
        <f t="shared" si="67"/>
        <v>0</v>
      </c>
      <c r="V237" s="2908">
        <f t="shared" si="68"/>
        <v>0</v>
      </c>
      <c r="W237" s="956"/>
      <c r="X237" s="2908">
        <f t="shared" si="69"/>
        <v>0</v>
      </c>
      <c r="Y237" s="2908">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8">
        <f t="shared" si="67"/>
        <v>0</v>
      </c>
      <c r="V238" s="2908">
        <f t="shared" si="68"/>
        <v>0</v>
      </c>
      <c r="W238" s="956"/>
      <c r="X238" s="2908">
        <f t="shared" si="69"/>
        <v>0</v>
      </c>
      <c r="Y238" s="2908">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8">
        <f t="shared" si="67"/>
        <v>0</v>
      </c>
      <c r="V239" s="2908">
        <f t="shared" si="68"/>
        <v>0</v>
      </c>
      <c r="W239" s="956"/>
      <c r="X239" s="2908">
        <f t="shared" si="69"/>
        <v>0</v>
      </c>
      <c r="Y239" s="2908">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8">
        <f t="shared" si="67"/>
        <v>0</v>
      </c>
      <c r="V240" s="2908">
        <f t="shared" si="68"/>
        <v>0</v>
      </c>
      <c r="W240" s="956"/>
      <c r="X240" s="2908">
        <f t="shared" si="69"/>
        <v>0</v>
      </c>
      <c r="Y240" s="2908">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8">
        <f t="shared" si="67"/>
        <v>0</v>
      </c>
      <c r="V241" s="2908">
        <f t="shared" si="68"/>
        <v>0</v>
      </c>
      <c r="W241" s="956"/>
      <c r="X241" s="2908">
        <f t="shared" si="69"/>
        <v>0</v>
      </c>
      <c r="Y241" s="2908">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8">
        <f t="shared" si="67"/>
        <v>0</v>
      </c>
      <c r="V242" s="2908">
        <f t="shared" si="68"/>
        <v>0</v>
      </c>
      <c r="W242" s="956"/>
      <c r="X242" s="2908">
        <f t="shared" si="69"/>
        <v>0</v>
      </c>
      <c r="Y242" s="2908">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8">
        <f t="shared" si="67"/>
        <v>0</v>
      </c>
      <c r="V243" s="2908">
        <f t="shared" si="68"/>
        <v>0</v>
      </c>
      <c r="W243" s="956"/>
      <c r="X243" s="2908">
        <f t="shared" si="69"/>
        <v>0</v>
      </c>
      <c r="Y243" s="2908">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8">
        <f t="shared" si="67"/>
        <v>0</v>
      </c>
      <c r="V244" s="2908">
        <f t="shared" si="68"/>
        <v>0</v>
      </c>
      <c r="W244" s="956"/>
      <c r="X244" s="2908">
        <f t="shared" si="69"/>
        <v>0</v>
      </c>
      <c r="Y244" s="2908">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8">
        <f t="shared" si="67"/>
        <v>0</v>
      </c>
      <c r="V245" s="2908">
        <f t="shared" si="68"/>
        <v>0</v>
      </c>
      <c r="W245" s="956"/>
      <c r="X245" s="2908">
        <f t="shared" si="69"/>
        <v>0</v>
      </c>
      <c r="Y245" s="2908">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8">
        <f t="shared" si="67"/>
        <v>0</v>
      </c>
      <c r="V246" s="2908">
        <f t="shared" si="68"/>
        <v>0</v>
      </c>
      <c r="W246" s="956"/>
      <c r="X246" s="2908">
        <f t="shared" si="69"/>
        <v>0</v>
      </c>
      <c r="Y246" s="2908">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8">
        <f t="shared" si="67"/>
        <v>0</v>
      </c>
      <c r="V247" s="2908">
        <f t="shared" si="68"/>
        <v>0</v>
      </c>
      <c r="W247" s="956"/>
      <c r="X247" s="2908">
        <f t="shared" si="69"/>
        <v>0</v>
      </c>
      <c r="Y247" s="2908">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8">
        <f t="shared" si="67"/>
        <v>0</v>
      </c>
      <c r="V248" s="2908">
        <f t="shared" si="68"/>
        <v>0</v>
      </c>
      <c r="W248" s="956"/>
      <c r="X248" s="2908">
        <f t="shared" si="69"/>
        <v>0</v>
      </c>
      <c r="Y248" s="2908">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8">
        <f t="shared" si="67"/>
        <v>0</v>
      </c>
      <c r="V249" s="2908">
        <f t="shared" si="68"/>
        <v>0</v>
      </c>
      <c r="W249" s="956"/>
      <c r="X249" s="2908">
        <f t="shared" si="69"/>
        <v>0</v>
      </c>
      <c r="Y249" s="2908">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8">
        <f t="shared" si="67"/>
        <v>0</v>
      </c>
      <c r="V250" s="2908">
        <f t="shared" si="68"/>
        <v>0</v>
      </c>
      <c r="W250" s="956"/>
      <c r="X250" s="2908">
        <f t="shared" si="69"/>
        <v>0</v>
      </c>
      <c r="Y250" s="2908">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8">
        <f t="shared" si="67"/>
        <v>0</v>
      </c>
      <c r="V251" s="2908">
        <f t="shared" si="68"/>
        <v>0</v>
      </c>
      <c r="W251" s="956"/>
      <c r="X251" s="2908">
        <f t="shared" si="69"/>
        <v>0</v>
      </c>
      <c r="Y251" s="2908">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8">
        <f t="shared" si="67"/>
        <v>0</v>
      </c>
      <c r="V252" s="2908">
        <f t="shared" si="68"/>
        <v>0</v>
      </c>
      <c r="W252" s="956"/>
      <c r="X252" s="2908">
        <f t="shared" si="69"/>
        <v>0</v>
      </c>
      <c r="Y252" s="2908">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8">
        <f t="shared" si="67"/>
        <v>0</v>
      </c>
      <c r="V253" s="2908">
        <f t="shared" si="68"/>
        <v>0</v>
      </c>
      <c r="W253" s="956"/>
      <c r="X253" s="2908">
        <f t="shared" si="69"/>
        <v>0</v>
      </c>
      <c r="Y253" s="2908">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8">
        <f t="shared" si="67"/>
        <v>0</v>
      </c>
      <c r="V254" s="2908">
        <f t="shared" si="68"/>
        <v>0</v>
      </c>
      <c r="W254" s="956"/>
      <c r="X254" s="2908">
        <f t="shared" si="69"/>
        <v>0</v>
      </c>
      <c r="Y254" s="2908">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8">
        <f t="shared" si="67"/>
        <v>0</v>
      </c>
      <c r="V255" s="2908">
        <f t="shared" si="68"/>
        <v>0</v>
      </c>
      <c r="W255" s="956"/>
      <c r="X255" s="2908">
        <f t="shared" si="69"/>
        <v>0</v>
      </c>
      <c r="Y255" s="2908">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8">
        <f t="shared" si="67"/>
        <v>0</v>
      </c>
      <c r="V256" s="2908">
        <f t="shared" si="68"/>
        <v>0</v>
      </c>
      <c r="W256" s="956"/>
      <c r="X256" s="2908">
        <f t="shared" si="69"/>
        <v>0</v>
      </c>
      <c r="Y256" s="2908">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8">
        <f t="shared" si="67"/>
        <v>0</v>
      </c>
      <c r="V257" s="2908">
        <f t="shared" si="68"/>
        <v>0</v>
      </c>
      <c r="W257" s="956"/>
      <c r="X257" s="2908">
        <f t="shared" si="69"/>
        <v>0</v>
      </c>
      <c r="Y257" s="2908">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8">
        <f t="shared" si="67"/>
        <v>0</v>
      </c>
      <c r="V258" s="2908">
        <f t="shared" si="68"/>
        <v>0</v>
      </c>
      <c r="W258" s="956"/>
      <c r="X258" s="2908">
        <f t="shared" si="69"/>
        <v>0</v>
      </c>
      <c r="Y258" s="2908">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8">
        <f t="shared" si="67"/>
        <v>0</v>
      </c>
      <c r="V259" s="2908">
        <f t="shared" si="68"/>
        <v>0</v>
      </c>
      <c r="W259" s="956"/>
      <c r="X259" s="2908">
        <f t="shared" si="69"/>
        <v>0</v>
      </c>
      <c r="Y259" s="2908">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8">
        <f t="shared" si="67"/>
        <v>0</v>
      </c>
      <c r="V260" s="2908">
        <f t="shared" si="68"/>
        <v>0</v>
      </c>
      <c r="W260" s="956"/>
      <c r="X260" s="2908">
        <f t="shared" si="69"/>
        <v>0</v>
      </c>
      <c r="Y260" s="2908">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8">
        <f t="shared" si="67"/>
        <v>0</v>
      </c>
      <c r="V261" s="2908">
        <f t="shared" si="68"/>
        <v>0</v>
      </c>
      <c r="W261" s="956"/>
      <c r="X261" s="2908">
        <f t="shared" si="69"/>
        <v>0</v>
      </c>
      <c r="Y261" s="2908">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8">
        <f t="shared" si="67"/>
        <v>0</v>
      </c>
      <c r="V262" s="2908">
        <f t="shared" si="68"/>
        <v>0</v>
      </c>
      <c r="W262" s="956"/>
      <c r="X262" s="2908">
        <f t="shared" si="69"/>
        <v>0</v>
      </c>
      <c r="Y262" s="2908">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8">
        <f t="shared" si="67"/>
        <v>0</v>
      </c>
      <c r="V263" s="2908">
        <f t="shared" si="68"/>
        <v>0</v>
      </c>
      <c r="W263" s="956"/>
      <c r="X263" s="2908">
        <f t="shared" si="69"/>
        <v>0</v>
      </c>
      <c r="Y263" s="2908">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8">
        <f t="shared" si="67"/>
        <v>0</v>
      </c>
      <c r="V264" s="2908">
        <f t="shared" si="68"/>
        <v>0</v>
      </c>
      <c r="W264" s="956"/>
      <c r="X264" s="2908">
        <f t="shared" si="69"/>
        <v>0</v>
      </c>
      <c r="Y264" s="2908">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8">
        <f t="shared" si="67"/>
        <v>0</v>
      </c>
      <c r="V265" s="2908">
        <f t="shared" si="68"/>
        <v>0</v>
      </c>
      <c r="W265" s="956"/>
      <c r="X265" s="2908">
        <f t="shared" si="69"/>
        <v>0</v>
      </c>
      <c r="Y265" s="2908">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8">
        <f t="shared" si="67"/>
        <v>0</v>
      </c>
      <c r="V266" s="2908">
        <f t="shared" si="68"/>
        <v>0</v>
      </c>
      <c r="W266" s="956"/>
      <c r="X266" s="2908">
        <f t="shared" si="69"/>
        <v>0</v>
      </c>
      <c r="Y266" s="2908">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8">
        <f t="shared" si="67"/>
        <v>0</v>
      </c>
      <c r="V267" s="2908">
        <f t="shared" si="68"/>
        <v>0</v>
      </c>
      <c r="W267" s="956"/>
      <c r="X267" s="2908">
        <f t="shared" si="69"/>
        <v>0</v>
      </c>
      <c r="Y267" s="2908">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8">
        <f t="shared" si="67"/>
        <v>0</v>
      </c>
      <c r="V268" s="2908">
        <f t="shared" si="68"/>
        <v>0</v>
      </c>
      <c r="W268" s="956"/>
      <c r="X268" s="2908">
        <f t="shared" si="69"/>
        <v>0</v>
      </c>
      <c r="Y268" s="2908">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8">
        <f t="shared" si="67"/>
        <v>0</v>
      </c>
      <c r="V269" s="2908">
        <f t="shared" si="68"/>
        <v>0</v>
      </c>
      <c r="W269" s="956"/>
      <c r="X269" s="2908">
        <f t="shared" si="69"/>
        <v>0</v>
      </c>
      <c r="Y269" s="2908">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8">
        <f t="shared" si="67"/>
        <v>0</v>
      </c>
      <c r="V270" s="2908">
        <f t="shared" si="68"/>
        <v>0</v>
      </c>
      <c r="W270" s="956"/>
      <c r="X270" s="2908">
        <f t="shared" si="69"/>
        <v>0</v>
      </c>
      <c r="Y270" s="2908">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8">
        <f t="shared" si="67"/>
        <v>0</v>
      </c>
      <c r="V271" s="2908">
        <f t="shared" si="68"/>
        <v>0</v>
      </c>
      <c r="W271" s="956"/>
      <c r="X271" s="2908">
        <f t="shared" si="69"/>
        <v>0</v>
      </c>
      <c r="Y271" s="2908">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8">
        <f t="shared" si="67"/>
        <v>0</v>
      </c>
      <c r="V272" s="2908">
        <f t="shared" si="68"/>
        <v>0</v>
      </c>
      <c r="W272" s="956"/>
      <c r="X272" s="2908">
        <f t="shared" si="69"/>
        <v>0</v>
      </c>
      <c r="Y272" s="2908">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8">
        <f t="shared" si="67"/>
        <v>0</v>
      </c>
      <c r="V273" s="2908">
        <f t="shared" si="68"/>
        <v>0</v>
      </c>
      <c r="W273" s="956"/>
      <c r="X273" s="2908">
        <f t="shared" si="69"/>
        <v>0</v>
      </c>
      <c r="Y273" s="2908">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8">
        <f t="shared" si="67"/>
        <v>0</v>
      </c>
      <c r="V274" s="2908">
        <f t="shared" si="68"/>
        <v>0</v>
      </c>
      <c r="W274" s="956"/>
      <c r="X274" s="2908">
        <f t="shared" si="69"/>
        <v>0</v>
      </c>
      <c r="Y274" s="2908">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8">
        <f t="shared" si="67"/>
        <v>0</v>
      </c>
      <c r="V275" s="2908">
        <f t="shared" si="68"/>
        <v>0</v>
      </c>
      <c r="W275" s="956"/>
      <c r="X275" s="2908">
        <f t="shared" si="69"/>
        <v>0</v>
      </c>
      <c r="Y275" s="2908">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8">
        <f t="shared" si="67"/>
        <v>0</v>
      </c>
      <c r="V276" s="2908">
        <f t="shared" si="68"/>
        <v>0</v>
      </c>
      <c r="W276" s="956"/>
      <c r="X276" s="2908">
        <f t="shared" si="69"/>
        <v>0</v>
      </c>
      <c r="Y276" s="2908">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8">
        <f t="shared" si="67"/>
        <v>0</v>
      </c>
      <c r="V277" s="2908">
        <f t="shared" si="68"/>
        <v>0</v>
      </c>
      <c r="W277" s="956"/>
      <c r="X277" s="2908">
        <f t="shared" si="69"/>
        <v>0</v>
      </c>
      <c r="Y277" s="2908">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8">
        <f t="shared" si="67"/>
        <v>0</v>
      </c>
      <c r="V278" s="2908">
        <f t="shared" si="68"/>
        <v>0</v>
      </c>
      <c r="W278" s="956"/>
      <c r="X278" s="2908">
        <f t="shared" si="69"/>
        <v>0</v>
      </c>
      <c r="Y278" s="2908">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8">
        <f t="shared" si="67"/>
        <v>0</v>
      </c>
      <c r="V279" s="2908">
        <f t="shared" si="68"/>
        <v>0</v>
      </c>
      <c r="W279" s="956"/>
      <c r="X279" s="2908">
        <f t="shared" si="69"/>
        <v>0</v>
      </c>
      <c r="Y279" s="2908">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8">
        <f t="shared" si="67"/>
        <v>0</v>
      </c>
      <c r="V280" s="2908">
        <f t="shared" si="68"/>
        <v>0</v>
      </c>
      <c r="W280" s="956"/>
      <c r="X280" s="2908">
        <f t="shared" si="69"/>
        <v>0</v>
      </c>
      <c r="Y280" s="2908">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8">
        <f t="shared" si="67"/>
        <v>0</v>
      </c>
      <c r="V281" s="2908">
        <f t="shared" si="68"/>
        <v>0</v>
      </c>
      <c r="W281" s="956"/>
      <c r="X281" s="2908">
        <f t="shared" si="69"/>
        <v>0</v>
      </c>
      <c r="Y281" s="2908">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8">
        <f t="shared" si="67"/>
        <v>0</v>
      </c>
      <c r="V282" s="2908">
        <f t="shared" si="68"/>
        <v>0</v>
      </c>
      <c r="W282" s="956"/>
      <c r="X282" s="2908">
        <f t="shared" si="69"/>
        <v>0</v>
      </c>
      <c r="Y282" s="2908">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8">
        <f t="shared" si="67"/>
        <v>0</v>
      </c>
      <c r="V283" s="2908">
        <f t="shared" si="68"/>
        <v>0</v>
      </c>
      <c r="W283" s="956"/>
      <c r="X283" s="2908">
        <f t="shared" si="69"/>
        <v>0</v>
      </c>
      <c r="Y283" s="2908">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8">
        <f t="shared" ref="U284:U347" si="82">ROUND(W284*B284,0)</f>
        <v>0</v>
      </c>
      <c r="V284" s="2908">
        <f t="shared" ref="V284:V347" si="83">ROUND(W284*B284/10000,0)</f>
        <v>0</v>
      </c>
      <c r="W284" s="956"/>
      <c r="X284" s="2908">
        <f t="shared" ref="X284:X347" si="84">ROUND(Z284*B284,0)</f>
        <v>0</v>
      </c>
      <c r="Y284" s="2908">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8">
        <f t="shared" si="82"/>
        <v>0</v>
      </c>
      <c r="V285" s="2908">
        <f t="shared" si="83"/>
        <v>0</v>
      </c>
      <c r="W285" s="956"/>
      <c r="X285" s="2908">
        <f t="shared" si="84"/>
        <v>0</v>
      </c>
      <c r="Y285" s="2908">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8">
        <f t="shared" si="82"/>
        <v>0</v>
      </c>
      <c r="V286" s="2908">
        <f t="shared" si="83"/>
        <v>0</v>
      </c>
      <c r="W286" s="956"/>
      <c r="X286" s="2908">
        <f t="shared" si="84"/>
        <v>0</v>
      </c>
      <c r="Y286" s="2908">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8">
        <f t="shared" si="82"/>
        <v>0</v>
      </c>
      <c r="V287" s="2908">
        <f t="shared" si="83"/>
        <v>0</v>
      </c>
      <c r="W287" s="956"/>
      <c r="X287" s="2908">
        <f t="shared" si="84"/>
        <v>0</v>
      </c>
      <c r="Y287" s="2908">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8">
        <f t="shared" si="82"/>
        <v>0</v>
      </c>
      <c r="V288" s="2908">
        <f t="shared" si="83"/>
        <v>0</v>
      </c>
      <c r="W288" s="956"/>
      <c r="X288" s="2908">
        <f t="shared" si="84"/>
        <v>0</v>
      </c>
      <c r="Y288" s="2908">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8">
        <f t="shared" si="82"/>
        <v>0</v>
      </c>
      <c r="V289" s="2908">
        <f t="shared" si="83"/>
        <v>0</v>
      </c>
      <c r="W289" s="956"/>
      <c r="X289" s="2908">
        <f t="shared" si="84"/>
        <v>0</v>
      </c>
      <c r="Y289" s="2908">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8">
        <f t="shared" si="82"/>
        <v>0</v>
      </c>
      <c r="V290" s="2908">
        <f t="shared" si="83"/>
        <v>0</v>
      </c>
      <c r="W290" s="956"/>
      <c r="X290" s="2908">
        <f t="shared" si="84"/>
        <v>0</v>
      </c>
      <c r="Y290" s="2908">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8">
        <f t="shared" si="82"/>
        <v>0</v>
      </c>
      <c r="V291" s="2908">
        <f t="shared" si="83"/>
        <v>0</v>
      </c>
      <c r="W291" s="956"/>
      <c r="X291" s="2908">
        <f t="shared" si="84"/>
        <v>0</v>
      </c>
      <c r="Y291" s="2908">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8">
        <f t="shared" si="82"/>
        <v>0</v>
      </c>
      <c r="V292" s="2908">
        <f t="shared" si="83"/>
        <v>0</v>
      </c>
      <c r="W292" s="956"/>
      <c r="X292" s="2908">
        <f t="shared" si="84"/>
        <v>0</v>
      </c>
      <c r="Y292" s="2908">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8">
        <f t="shared" si="82"/>
        <v>0</v>
      </c>
      <c r="V293" s="2908">
        <f t="shared" si="83"/>
        <v>0</v>
      </c>
      <c r="W293" s="956"/>
      <c r="X293" s="2908">
        <f t="shared" si="84"/>
        <v>0</v>
      </c>
      <c r="Y293" s="2908">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8">
        <f t="shared" si="82"/>
        <v>0</v>
      </c>
      <c r="V294" s="2908">
        <f t="shared" si="83"/>
        <v>0</v>
      </c>
      <c r="W294" s="956"/>
      <c r="X294" s="2908">
        <f t="shared" si="84"/>
        <v>0</v>
      </c>
      <c r="Y294" s="2908">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8">
        <f t="shared" si="82"/>
        <v>0</v>
      </c>
      <c r="V295" s="2908">
        <f t="shared" si="83"/>
        <v>0</v>
      </c>
      <c r="W295" s="956"/>
      <c r="X295" s="2908">
        <f t="shared" si="84"/>
        <v>0</v>
      </c>
      <c r="Y295" s="2908">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8">
        <f t="shared" si="82"/>
        <v>0</v>
      </c>
      <c r="V296" s="2908">
        <f t="shared" si="83"/>
        <v>0</v>
      </c>
      <c r="W296" s="956"/>
      <c r="X296" s="2908">
        <f t="shared" si="84"/>
        <v>0</v>
      </c>
      <c r="Y296" s="2908">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8">
        <f t="shared" si="82"/>
        <v>0</v>
      </c>
      <c r="V297" s="2908">
        <f t="shared" si="83"/>
        <v>0</v>
      </c>
      <c r="W297" s="956"/>
      <c r="X297" s="2908">
        <f t="shared" si="84"/>
        <v>0</v>
      </c>
      <c r="Y297" s="2908">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8">
        <f t="shared" si="82"/>
        <v>0</v>
      </c>
      <c r="V298" s="2908">
        <f t="shared" si="83"/>
        <v>0</v>
      </c>
      <c r="W298" s="956"/>
      <c r="X298" s="2908">
        <f t="shared" si="84"/>
        <v>0</v>
      </c>
      <c r="Y298" s="2908">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8">
        <f t="shared" si="82"/>
        <v>0</v>
      </c>
      <c r="V299" s="2908">
        <f t="shared" si="83"/>
        <v>0</v>
      </c>
      <c r="W299" s="956"/>
      <c r="X299" s="2908">
        <f t="shared" si="84"/>
        <v>0</v>
      </c>
      <c r="Y299" s="2908">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8">
        <f t="shared" si="82"/>
        <v>0</v>
      </c>
      <c r="V300" s="2908">
        <f t="shared" si="83"/>
        <v>0</v>
      </c>
      <c r="W300" s="956"/>
      <c r="X300" s="2908">
        <f t="shared" si="84"/>
        <v>0</v>
      </c>
      <c r="Y300" s="2908">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8">
        <f t="shared" si="82"/>
        <v>0</v>
      </c>
      <c r="V301" s="2908">
        <f t="shared" si="83"/>
        <v>0</v>
      </c>
      <c r="W301" s="956"/>
      <c r="X301" s="2908">
        <f t="shared" si="84"/>
        <v>0</v>
      </c>
      <c r="Y301" s="2908">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8">
        <f t="shared" si="82"/>
        <v>0</v>
      </c>
      <c r="V302" s="2908">
        <f t="shared" si="83"/>
        <v>0</v>
      </c>
      <c r="W302" s="956"/>
      <c r="X302" s="2908">
        <f t="shared" si="84"/>
        <v>0</v>
      </c>
      <c r="Y302" s="2908">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8">
        <f t="shared" si="82"/>
        <v>0</v>
      </c>
      <c r="V303" s="2908">
        <f t="shared" si="83"/>
        <v>0</v>
      </c>
      <c r="W303" s="956"/>
      <c r="X303" s="2908">
        <f t="shared" si="84"/>
        <v>0</v>
      </c>
      <c r="Y303" s="2908">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8">
        <f t="shared" si="82"/>
        <v>0</v>
      </c>
      <c r="V304" s="2908">
        <f t="shared" si="83"/>
        <v>0</v>
      </c>
      <c r="W304" s="956"/>
      <c r="X304" s="2908">
        <f t="shared" si="84"/>
        <v>0</v>
      </c>
      <c r="Y304" s="2908">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8">
        <f t="shared" si="82"/>
        <v>0</v>
      </c>
      <c r="V305" s="2908">
        <f t="shared" si="83"/>
        <v>0</v>
      </c>
      <c r="W305" s="956"/>
      <c r="X305" s="2908">
        <f t="shared" si="84"/>
        <v>0</v>
      </c>
      <c r="Y305" s="2908">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8">
        <f t="shared" si="82"/>
        <v>0</v>
      </c>
      <c r="V306" s="2908">
        <f t="shared" si="83"/>
        <v>0</v>
      </c>
      <c r="W306" s="956"/>
      <c r="X306" s="2908">
        <f t="shared" si="84"/>
        <v>0</v>
      </c>
      <c r="Y306" s="2908">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8">
        <f t="shared" si="82"/>
        <v>0</v>
      </c>
      <c r="V307" s="2908">
        <f t="shared" si="83"/>
        <v>0</v>
      </c>
      <c r="W307" s="956"/>
      <c r="X307" s="2908">
        <f t="shared" si="84"/>
        <v>0</v>
      </c>
      <c r="Y307" s="2908">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8">
        <f t="shared" si="82"/>
        <v>0</v>
      </c>
      <c r="V308" s="2908">
        <f t="shared" si="83"/>
        <v>0</v>
      </c>
      <c r="W308" s="956"/>
      <c r="X308" s="2908">
        <f t="shared" si="84"/>
        <v>0</v>
      </c>
      <c r="Y308" s="2908">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8">
        <f t="shared" si="82"/>
        <v>0</v>
      </c>
      <c r="V309" s="2908">
        <f t="shared" si="83"/>
        <v>0</v>
      </c>
      <c r="W309" s="956"/>
      <c r="X309" s="2908">
        <f t="shared" si="84"/>
        <v>0</v>
      </c>
      <c r="Y309" s="2908">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8">
        <f t="shared" si="82"/>
        <v>0</v>
      </c>
      <c r="V310" s="2908">
        <f t="shared" si="83"/>
        <v>0</v>
      </c>
      <c r="W310" s="956"/>
      <c r="X310" s="2908">
        <f t="shared" si="84"/>
        <v>0</v>
      </c>
      <c r="Y310" s="2908">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8">
        <f t="shared" si="82"/>
        <v>0</v>
      </c>
      <c r="V311" s="2908">
        <f t="shared" si="83"/>
        <v>0</v>
      </c>
      <c r="W311" s="956"/>
      <c r="X311" s="2908">
        <f t="shared" si="84"/>
        <v>0</v>
      </c>
      <c r="Y311" s="2908">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8">
        <f t="shared" si="82"/>
        <v>0</v>
      </c>
      <c r="V312" s="2908">
        <f t="shared" si="83"/>
        <v>0</v>
      </c>
      <c r="W312" s="956"/>
      <c r="X312" s="2908">
        <f t="shared" si="84"/>
        <v>0</v>
      </c>
      <c r="Y312" s="2908">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8">
        <f t="shared" si="82"/>
        <v>0</v>
      </c>
      <c r="V313" s="2908">
        <f t="shared" si="83"/>
        <v>0</v>
      </c>
      <c r="W313" s="956"/>
      <c r="X313" s="2908">
        <f t="shared" si="84"/>
        <v>0</v>
      </c>
      <c r="Y313" s="2908">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8">
        <f t="shared" si="82"/>
        <v>0</v>
      </c>
      <c r="V314" s="2908">
        <f t="shared" si="83"/>
        <v>0</v>
      </c>
      <c r="W314" s="956"/>
      <c r="X314" s="2908">
        <f t="shared" si="84"/>
        <v>0</v>
      </c>
      <c r="Y314" s="2908">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8">
        <f t="shared" si="82"/>
        <v>0</v>
      </c>
      <c r="V315" s="2908">
        <f t="shared" si="83"/>
        <v>0</v>
      </c>
      <c r="W315" s="956"/>
      <c r="X315" s="2908">
        <f t="shared" si="84"/>
        <v>0</v>
      </c>
      <c r="Y315" s="2908">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8">
        <f t="shared" si="82"/>
        <v>0</v>
      </c>
      <c r="V316" s="2908">
        <f t="shared" si="83"/>
        <v>0</v>
      </c>
      <c r="W316" s="956"/>
      <c r="X316" s="2908">
        <f t="shared" si="84"/>
        <v>0</v>
      </c>
      <c r="Y316" s="2908">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8">
        <f t="shared" si="82"/>
        <v>0</v>
      </c>
      <c r="V317" s="2908">
        <f t="shared" si="83"/>
        <v>0</v>
      </c>
      <c r="W317" s="956"/>
      <c r="X317" s="2908">
        <f t="shared" si="84"/>
        <v>0</v>
      </c>
      <c r="Y317" s="2908">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8">
        <f t="shared" si="82"/>
        <v>0</v>
      </c>
      <c r="V318" s="2908">
        <f t="shared" si="83"/>
        <v>0</v>
      </c>
      <c r="W318" s="956"/>
      <c r="X318" s="2908">
        <f t="shared" si="84"/>
        <v>0</v>
      </c>
      <c r="Y318" s="2908">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8">
        <f t="shared" si="82"/>
        <v>0</v>
      </c>
      <c r="V319" s="2908">
        <f t="shared" si="83"/>
        <v>0</v>
      </c>
      <c r="W319" s="956"/>
      <c r="X319" s="2908">
        <f t="shared" si="84"/>
        <v>0</v>
      </c>
      <c r="Y319" s="2908">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8">
        <f t="shared" si="82"/>
        <v>0</v>
      </c>
      <c r="V320" s="2908">
        <f t="shared" si="83"/>
        <v>0</v>
      </c>
      <c r="W320" s="956"/>
      <c r="X320" s="2908">
        <f t="shared" si="84"/>
        <v>0</v>
      </c>
      <c r="Y320" s="2908">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8">
        <f t="shared" si="82"/>
        <v>0</v>
      </c>
      <c r="V321" s="2908">
        <f t="shared" si="83"/>
        <v>0</v>
      </c>
      <c r="W321" s="956"/>
      <c r="X321" s="2908">
        <f t="shared" si="84"/>
        <v>0</v>
      </c>
      <c r="Y321" s="2908">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8">
        <f t="shared" si="82"/>
        <v>0</v>
      </c>
      <c r="V322" s="2908">
        <f t="shared" si="83"/>
        <v>0</v>
      </c>
      <c r="W322" s="956"/>
      <c r="X322" s="2908">
        <f t="shared" si="84"/>
        <v>0</v>
      </c>
      <c r="Y322" s="2908">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8">
        <f t="shared" si="82"/>
        <v>0</v>
      </c>
      <c r="V323" s="2908">
        <f t="shared" si="83"/>
        <v>0</v>
      </c>
      <c r="W323" s="956"/>
      <c r="X323" s="2908">
        <f t="shared" si="84"/>
        <v>0</v>
      </c>
      <c r="Y323" s="2908">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8">
        <f t="shared" si="82"/>
        <v>0</v>
      </c>
      <c r="V324" s="2908">
        <f t="shared" si="83"/>
        <v>0</v>
      </c>
      <c r="W324" s="956"/>
      <c r="X324" s="2908">
        <f t="shared" si="84"/>
        <v>0</v>
      </c>
      <c r="Y324" s="2908">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8">
        <f t="shared" si="82"/>
        <v>0</v>
      </c>
      <c r="V325" s="2908">
        <f t="shared" si="83"/>
        <v>0</v>
      </c>
      <c r="W325" s="956"/>
      <c r="X325" s="2908">
        <f t="shared" si="84"/>
        <v>0</v>
      </c>
      <c r="Y325" s="2908">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8">
        <f t="shared" si="82"/>
        <v>0</v>
      </c>
      <c r="V326" s="2908">
        <f t="shared" si="83"/>
        <v>0</v>
      </c>
      <c r="W326" s="956"/>
      <c r="X326" s="2908">
        <f t="shared" si="84"/>
        <v>0</v>
      </c>
      <c r="Y326" s="2908">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8">
        <f t="shared" si="82"/>
        <v>0</v>
      </c>
      <c r="V327" s="2908">
        <f t="shared" si="83"/>
        <v>0</v>
      </c>
      <c r="W327" s="956"/>
      <c r="X327" s="2908">
        <f t="shared" si="84"/>
        <v>0</v>
      </c>
      <c r="Y327" s="2908">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8">
        <f t="shared" si="82"/>
        <v>0</v>
      </c>
      <c r="V328" s="2908">
        <f t="shared" si="83"/>
        <v>0</v>
      </c>
      <c r="W328" s="956"/>
      <c r="X328" s="2908">
        <f t="shared" si="84"/>
        <v>0</v>
      </c>
      <c r="Y328" s="2908">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8">
        <f t="shared" si="82"/>
        <v>0</v>
      </c>
      <c r="V329" s="2908">
        <f t="shared" si="83"/>
        <v>0</v>
      </c>
      <c r="W329" s="956"/>
      <c r="X329" s="2908">
        <f t="shared" si="84"/>
        <v>0</v>
      </c>
      <c r="Y329" s="2908">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8">
        <f t="shared" si="82"/>
        <v>0</v>
      </c>
      <c r="V330" s="2908">
        <f t="shared" si="83"/>
        <v>0</v>
      </c>
      <c r="W330" s="956"/>
      <c r="X330" s="2908">
        <f t="shared" si="84"/>
        <v>0</v>
      </c>
      <c r="Y330" s="2908">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8">
        <f t="shared" si="82"/>
        <v>0</v>
      </c>
      <c r="V331" s="2908">
        <f t="shared" si="83"/>
        <v>0</v>
      </c>
      <c r="W331" s="956"/>
      <c r="X331" s="2908">
        <f t="shared" si="84"/>
        <v>0</v>
      </c>
      <c r="Y331" s="2908">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8">
        <f t="shared" si="82"/>
        <v>0</v>
      </c>
      <c r="V332" s="2908">
        <f t="shared" si="83"/>
        <v>0</v>
      </c>
      <c r="W332" s="956"/>
      <c r="X332" s="2908">
        <f t="shared" si="84"/>
        <v>0</v>
      </c>
      <c r="Y332" s="2908">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8">
        <f t="shared" si="82"/>
        <v>0</v>
      </c>
      <c r="V333" s="2908">
        <f t="shared" si="83"/>
        <v>0</v>
      </c>
      <c r="W333" s="956"/>
      <c r="X333" s="2908">
        <f t="shared" si="84"/>
        <v>0</v>
      </c>
      <c r="Y333" s="2908">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8">
        <f t="shared" si="82"/>
        <v>0</v>
      </c>
      <c r="V334" s="2908">
        <f t="shared" si="83"/>
        <v>0</v>
      </c>
      <c r="W334" s="956"/>
      <c r="X334" s="2908">
        <f t="shared" si="84"/>
        <v>0</v>
      </c>
      <c r="Y334" s="2908">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8">
        <f t="shared" si="82"/>
        <v>0</v>
      </c>
      <c r="V335" s="2908">
        <f t="shared" si="83"/>
        <v>0</v>
      </c>
      <c r="W335" s="956"/>
      <c r="X335" s="2908">
        <f t="shared" si="84"/>
        <v>0</v>
      </c>
      <c r="Y335" s="2908">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8">
        <f t="shared" si="82"/>
        <v>0</v>
      </c>
      <c r="V336" s="2908">
        <f t="shared" si="83"/>
        <v>0</v>
      </c>
      <c r="W336" s="956"/>
      <c r="X336" s="2908">
        <f t="shared" si="84"/>
        <v>0</v>
      </c>
      <c r="Y336" s="2908">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8">
        <f t="shared" si="82"/>
        <v>0</v>
      </c>
      <c r="V337" s="2908">
        <f t="shared" si="83"/>
        <v>0</v>
      </c>
      <c r="W337" s="956"/>
      <c r="X337" s="2908">
        <f t="shared" si="84"/>
        <v>0</v>
      </c>
      <c r="Y337" s="2908">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8">
        <f t="shared" si="82"/>
        <v>0</v>
      </c>
      <c r="V338" s="2908">
        <f t="shared" si="83"/>
        <v>0</v>
      </c>
      <c r="W338" s="956"/>
      <c r="X338" s="2908">
        <f t="shared" si="84"/>
        <v>0</v>
      </c>
      <c r="Y338" s="2908">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8">
        <f t="shared" si="82"/>
        <v>0</v>
      </c>
      <c r="V339" s="2908">
        <f t="shared" si="83"/>
        <v>0</v>
      </c>
      <c r="W339" s="956"/>
      <c r="X339" s="2908">
        <f t="shared" si="84"/>
        <v>0</v>
      </c>
      <c r="Y339" s="2908">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8">
        <f t="shared" si="82"/>
        <v>0</v>
      </c>
      <c r="V340" s="2908">
        <f t="shared" si="83"/>
        <v>0</v>
      </c>
      <c r="W340" s="956"/>
      <c r="X340" s="2908">
        <f t="shared" si="84"/>
        <v>0</v>
      </c>
      <c r="Y340" s="2908">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8">
        <f t="shared" si="82"/>
        <v>0</v>
      </c>
      <c r="V341" s="2908">
        <f t="shared" si="83"/>
        <v>0</v>
      </c>
      <c r="W341" s="956"/>
      <c r="X341" s="2908">
        <f t="shared" si="84"/>
        <v>0</v>
      </c>
      <c r="Y341" s="2908">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8">
        <f t="shared" si="82"/>
        <v>0</v>
      </c>
      <c r="V342" s="2908">
        <f t="shared" si="83"/>
        <v>0</v>
      </c>
      <c r="W342" s="956"/>
      <c r="X342" s="2908">
        <f t="shared" si="84"/>
        <v>0</v>
      </c>
      <c r="Y342" s="2908">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8">
        <f t="shared" si="82"/>
        <v>0</v>
      </c>
      <c r="V343" s="2908">
        <f t="shared" si="83"/>
        <v>0</v>
      </c>
      <c r="W343" s="956"/>
      <c r="X343" s="2908">
        <f t="shared" si="84"/>
        <v>0</v>
      </c>
      <c r="Y343" s="2908">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8">
        <f t="shared" si="82"/>
        <v>0</v>
      </c>
      <c r="V344" s="2908">
        <f t="shared" si="83"/>
        <v>0</v>
      </c>
      <c r="W344" s="956"/>
      <c r="X344" s="2908">
        <f t="shared" si="84"/>
        <v>0</v>
      </c>
      <c r="Y344" s="2908">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8">
        <f t="shared" si="82"/>
        <v>0</v>
      </c>
      <c r="V345" s="2908">
        <f t="shared" si="83"/>
        <v>0</v>
      </c>
      <c r="W345" s="956"/>
      <c r="X345" s="2908">
        <f t="shared" si="84"/>
        <v>0</v>
      </c>
      <c r="Y345" s="2908">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8">
        <f t="shared" si="82"/>
        <v>0</v>
      </c>
      <c r="V346" s="2908">
        <f t="shared" si="83"/>
        <v>0</v>
      </c>
      <c r="W346" s="956"/>
      <c r="X346" s="2908">
        <f t="shared" si="84"/>
        <v>0</v>
      </c>
      <c r="Y346" s="2908">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8">
        <f t="shared" si="82"/>
        <v>0</v>
      </c>
      <c r="V347" s="2908">
        <f t="shared" si="83"/>
        <v>0</v>
      </c>
      <c r="W347" s="956"/>
      <c r="X347" s="2908">
        <f t="shared" si="84"/>
        <v>0</v>
      </c>
      <c r="Y347" s="2908">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8">
        <f t="shared" ref="U348:U411" si="97">ROUND(W348*B348,0)</f>
        <v>0</v>
      </c>
      <c r="V348" s="2908">
        <f t="shared" ref="V348:V411" si="98">ROUND(W348*B348/10000,0)</f>
        <v>0</v>
      </c>
      <c r="W348" s="956"/>
      <c r="X348" s="2908">
        <f t="shared" ref="X348:X411" si="99">ROUND(Z348*B348,0)</f>
        <v>0</v>
      </c>
      <c r="Y348" s="2908">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8">
        <f t="shared" si="97"/>
        <v>0</v>
      </c>
      <c r="V349" s="2908">
        <f t="shared" si="98"/>
        <v>0</v>
      </c>
      <c r="W349" s="956"/>
      <c r="X349" s="2908">
        <f t="shared" si="99"/>
        <v>0</v>
      </c>
      <c r="Y349" s="2908">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8">
        <f t="shared" si="97"/>
        <v>0</v>
      </c>
      <c r="V350" s="2908">
        <f t="shared" si="98"/>
        <v>0</v>
      </c>
      <c r="W350" s="956"/>
      <c r="X350" s="2908">
        <f t="shared" si="99"/>
        <v>0</v>
      </c>
      <c r="Y350" s="2908">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8">
        <f t="shared" si="97"/>
        <v>0</v>
      </c>
      <c r="V351" s="2908">
        <f t="shared" si="98"/>
        <v>0</v>
      </c>
      <c r="W351" s="956"/>
      <c r="X351" s="2908">
        <f t="shared" si="99"/>
        <v>0</v>
      </c>
      <c r="Y351" s="2908">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8">
        <f t="shared" si="97"/>
        <v>0</v>
      </c>
      <c r="V352" s="2908">
        <f t="shared" si="98"/>
        <v>0</v>
      </c>
      <c r="W352" s="956"/>
      <c r="X352" s="2908">
        <f t="shared" si="99"/>
        <v>0</v>
      </c>
      <c r="Y352" s="2908">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8">
        <f t="shared" si="97"/>
        <v>0</v>
      </c>
      <c r="V353" s="2908">
        <f t="shared" si="98"/>
        <v>0</v>
      </c>
      <c r="W353" s="956"/>
      <c r="X353" s="2908">
        <f t="shared" si="99"/>
        <v>0</v>
      </c>
      <c r="Y353" s="2908">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8">
        <f t="shared" si="97"/>
        <v>0</v>
      </c>
      <c r="V354" s="2908">
        <f t="shared" si="98"/>
        <v>0</v>
      </c>
      <c r="W354" s="956"/>
      <c r="X354" s="2908">
        <f t="shared" si="99"/>
        <v>0</v>
      </c>
      <c r="Y354" s="2908">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8">
        <f t="shared" si="97"/>
        <v>0</v>
      </c>
      <c r="V355" s="2908">
        <f t="shared" si="98"/>
        <v>0</v>
      </c>
      <c r="W355" s="956"/>
      <c r="X355" s="2908">
        <f t="shared" si="99"/>
        <v>0</v>
      </c>
      <c r="Y355" s="2908">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8">
        <f t="shared" si="97"/>
        <v>0</v>
      </c>
      <c r="V356" s="2908">
        <f t="shared" si="98"/>
        <v>0</v>
      </c>
      <c r="W356" s="956"/>
      <c r="X356" s="2908">
        <f t="shared" si="99"/>
        <v>0</v>
      </c>
      <c r="Y356" s="2908">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8">
        <f t="shared" si="97"/>
        <v>0</v>
      </c>
      <c r="V357" s="2908">
        <f t="shared" si="98"/>
        <v>0</v>
      </c>
      <c r="W357" s="956"/>
      <c r="X357" s="2908">
        <f t="shared" si="99"/>
        <v>0</v>
      </c>
      <c r="Y357" s="2908">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8">
        <f t="shared" si="97"/>
        <v>0</v>
      </c>
      <c r="V358" s="2908">
        <f t="shared" si="98"/>
        <v>0</v>
      </c>
      <c r="W358" s="956"/>
      <c r="X358" s="2908">
        <f t="shared" si="99"/>
        <v>0</v>
      </c>
      <c r="Y358" s="2908">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8">
        <f t="shared" si="97"/>
        <v>0</v>
      </c>
      <c r="V359" s="2908">
        <f t="shared" si="98"/>
        <v>0</v>
      </c>
      <c r="W359" s="956"/>
      <c r="X359" s="2908">
        <f t="shared" si="99"/>
        <v>0</v>
      </c>
      <c r="Y359" s="2908">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8">
        <f t="shared" si="97"/>
        <v>0</v>
      </c>
      <c r="V360" s="2908">
        <f t="shared" si="98"/>
        <v>0</v>
      </c>
      <c r="W360" s="956"/>
      <c r="X360" s="2908">
        <f t="shared" si="99"/>
        <v>0</v>
      </c>
      <c r="Y360" s="2908">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8">
        <f t="shared" si="97"/>
        <v>0</v>
      </c>
      <c r="V361" s="2908">
        <f t="shared" si="98"/>
        <v>0</v>
      </c>
      <c r="W361" s="956"/>
      <c r="X361" s="2908">
        <f t="shared" si="99"/>
        <v>0</v>
      </c>
      <c r="Y361" s="2908">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8">
        <f t="shared" si="97"/>
        <v>0</v>
      </c>
      <c r="V362" s="2908">
        <f t="shared" si="98"/>
        <v>0</v>
      </c>
      <c r="W362" s="956"/>
      <c r="X362" s="2908">
        <f t="shared" si="99"/>
        <v>0</v>
      </c>
      <c r="Y362" s="2908">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8">
        <f t="shared" si="97"/>
        <v>0</v>
      </c>
      <c r="V363" s="2908">
        <f t="shared" si="98"/>
        <v>0</v>
      </c>
      <c r="W363" s="956"/>
      <c r="X363" s="2908">
        <f t="shared" si="99"/>
        <v>0</v>
      </c>
      <c r="Y363" s="2908">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8">
        <f t="shared" si="97"/>
        <v>0</v>
      </c>
      <c r="V364" s="2908">
        <f t="shared" si="98"/>
        <v>0</v>
      </c>
      <c r="W364" s="956"/>
      <c r="X364" s="2908">
        <f t="shared" si="99"/>
        <v>0</v>
      </c>
      <c r="Y364" s="2908">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8">
        <f t="shared" si="97"/>
        <v>0</v>
      </c>
      <c r="V365" s="2908">
        <f t="shared" si="98"/>
        <v>0</v>
      </c>
      <c r="W365" s="956"/>
      <c r="X365" s="2908">
        <f t="shared" si="99"/>
        <v>0</v>
      </c>
      <c r="Y365" s="2908">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8">
        <f t="shared" si="97"/>
        <v>0</v>
      </c>
      <c r="V366" s="2908">
        <f t="shared" si="98"/>
        <v>0</v>
      </c>
      <c r="W366" s="956"/>
      <c r="X366" s="2908">
        <f t="shared" si="99"/>
        <v>0</v>
      </c>
      <c r="Y366" s="2908">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8">
        <f t="shared" si="97"/>
        <v>0</v>
      </c>
      <c r="V367" s="2908">
        <f t="shared" si="98"/>
        <v>0</v>
      </c>
      <c r="W367" s="956"/>
      <c r="X367" s="2908">
        <f t="shared" si="99"/>
        <v>0</v>
      </c>
      <c r="Y367" s="2908">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8">
        <f t="shared" si="97"/>
        <v>0</v>
      </c>
      <c r="V368" s="2908">
        <f t="shared" si="98"/>
        <v>0</v>
      </c>
      <c r="W368" s="956"/>
      <c r="X368" s="2908">
        <f t="shared" si="99"/>
        <v>0</v>
      </c>
      <c r="Y368" s="2908">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8">
        <f t="shared" si="97"/>
        <v>0</v>
      </c>
      <c r="V369" s="2908">
        <f t="shared" si="98"/>
        <v>0</v>
      </c>
      <c r="W369" s="956"/>
      <c r="X369" s="2908">
        <f t="shared" si="99"/>
        <v>0</v>
      </c>
      <c r="Y369" s="2908">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8">
        <f t="shared" si="97"/>
        <v>0</v>
      </c>
      <c r="V370" s="2908">
        <f t="shared" si="98"/>
        <v>0</v>
      </c>
      <c r="W370" s="956"/>
      <c r="X370" s="2908">
        <f t="shared" si="99"/>
        <v>0</v>
      </c>
      <c r="Y370" s="2908">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8">
        <f t="shared" si="97"/>
        <v>0</v>
      </c>
      <c r="V371" s="2908">
        <f t="shared" si="98"/>
        <v>0</v>
      </c>
      <c r="W371" s="956"/>
      <c r="X371" s="2908">
        <f t="shared" si="99"/>
        <v>0</v>
      </c>
      <c r="Y371" s="2908">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8">
        <f t="shared" si="97"/>
        <v>0</v>
      </c>
      <c r="V372" s="2908">
        <f t="shared" si="98"/>
        <v>0</v>
      </c>
      <c r="W372" s="956"/>
      <c r="X372" s="2908">
        <f t="shared" si="99"/>
        <v>0</v>
      </c>
      <c r="Y372" s="2908">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8">
        <f t="shared" si="97"/>
        <v>0</v>
      </c>
      <c r="V373" s="2908">
        <f t="shared" si="98"/>
        <v>0</v>
      </c>
      <c r="W373" s="956"/>
      <c r="X373" s="2908">
        <f t="shared" si="99"/>
        <v>0</v>
      </c>
      <c r="Y373" s="2908">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8">
        <f t="shared" si="97"/>
        <v>0</v>
      </c>
      <c r="V374" s="2908">
        <f t="shared" si="98"/>
        <v>0</v>
      </c>
      <c r="W374" s="956"/>
      <c r="X374" s="2908">
        <f t="shared" si="99"/>
        <v>0</v>
      </c>
      <c r="Y374" s="2908">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8">
        <f t="shared" si="97"/>
        <v>0</v>
      </c>
      <c r="V375" s="2908">
        <f t="shared" si="98"/>
        <v>0</v>
      </c>
      <c r="W375" s="956"/>
      <c r="X375" s="2908">
        <f t="shared" si="99"/>
        <v>0</v>
      </c>
      <c r="Y375" s="2908">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8">
        <f t="shared" si="97"/>
        <v>0</v>
      </c>
      <c r="V376" s="2908">
        <f t="shared" si="98"/>
        <v>0</v>
      </c>
      <c r="W376" s="956"/>
      <c r="X376" s="2908">
        <f t="shared" si="99"/>
        <v>0</v>
      </c>
      <c r="Y376" s="2908">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8">
        <f t="shared" si="97"/>
        <v>0</v>
      </c>
      <c r="V377" s="2908">
        <f t="shared" si="98"/>
        <v>0</v>
      </c>
      <c r="W377" s="956"/>
      <c r="X377" s="2908">
        <f t="shared" si="99"/>
        <v>0</v>
      </c>
      <c r="Y377" s="2908">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8">
        <f t="shared" si="97"/>
        <v>0</v>
      </c>
      <c r="V378" s="2908">
        <f t="shared" si="98"/>
        <v>0</v>
      </c>
      <c r="W378" s="956"/>
      <c r="X378" s="2908">
        <f t="shared" si="99"/>
        <v>0</v>
      </c>
      <c r="Y378" s="2908">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8">
        <f t="shared" si="97"/>
        <v>0</v>
      </c>
      <c r="V379" s="2908">
        <f t="shared" si="98"/>
        <v>0</v>
      </c>
      <c r="W379" s="956"/>
      <c r="X379" s="2908">
        <f t="shared" si="99"/>
        <v>0</v>
      </c>
      <c r="Y379" s="2908">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8">
        <f t="shared" si="97"/>
        <v>0</v>
      </c>
      <c r="V380" s="2908">
        <f t="shared" si="98"/>
        <v>0</v>
      </c>
      <c r="W380" s="956"/>
      <c r="X380" s="2908">
        <f t="shared" si="99"/>
        <v>0</v>
      </c>
      <c r="Y380" s="2908">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8">
        <f t="shared" si="97"/>
        <v>0</v>
      </c>
      <c r="V381" s="2908">
        <f t="shared" si="98"/>
        <v>0</v>
      </c>
      <c r="W381" s="956"/>
      <c r="X381" s="2908">
        <f t="shared" si="99"/>
        <v>0</v>
      </c>
      <c r="Y381" s="2908">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8">
        <f t="shared" si="97"/>
        <v>0</v>
      </c>
      <c r="V382" s="2908">
        <f t="shared" si="98"/>
        <v>0</v>
      </c>
      <c r="W382" s="956"/>
      <c r="X382" s="2908">
        <f t="shared" si="99"/>
        <v>0</v>
      </c>
      <c r="Y382" s="2908">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8">
        <f t="shared" si="97"/>
        <v>0</v>
      </c>
      <c r="V383" s="2908">
        <f t="shared" si="98"/>
        <v>0</v>
      </c>
      <c r="W383" s="956"/>
      <c r="X383" s="2908">
        <f t="shared" si="99"/>
        <v>0</v>
      </c>
      <c r="Y383" s="2908">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8">
        <f t="shared" si="97"/>
        <v>0</v>
      </c>
      <c r="V384" s="2908">
        <f t="shared" si="98"/>
        <v>0</v>
      </c>
      <c r="W384" s="956"/>
      <c r="X384" s="2908">
        <f t="shared" si="99"/>
        <v>0</v>
      </c>
      <c r="Y384" s="2908">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8">
        <f t="shared" si="97"/>
        <v>0</v>
      </c>
      <c r="V385" s="2908">
        <f t="shared" si="98"/>
        <v>0</v>
      </c>
      <c r="W385" s="956"/>
      <c r="X385" s="2908">
        <f t="shared" si="99"/>
        <v>0</v>
      </c>
      <c r="Y385" s="2908">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8">
        <f t="shared" si="97"/>
        <v>0</v>
      </c>
      <c r="V386" s="2908">
        <f t="shared" si="98"/>
        <v>0</v>
      </c>
      <c r="W386" s="956"/>
      <c r="X386" s="2908">
        <f t="shared" si="99"/>
        <v>0</v>
      </c>
      <c r="Y386" s="2908">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8">
        <f t="shared" si="97"/>
        <v>0</v>
      </c>
      <c r="V387" s="2908">
        <f t="shared" si="98"/>
        <v>0</v>
      </c>
      <c r="W387" s="956"/>
      <c r="X387" s="2908">
        <f t="shared" si="99"/>
        <v>0</v>
      </c>
      <c r="Y387" s="2908">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8">
        <f t="shared" si="97"/>
        <v>0</v>
      </c>
      <c r="V388" s="2908">
        <f t="shared" si="98"/>
        <v>0</v>
      </c>
      <c r="W388" s="956"/>
      <c r="X388" s="2908">
        <f t="shared" si="99"/>
        <v>0</v>
      </c>
      <c r="Y388" s="2908">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8">
        <f t="shared" si="97"/>
        <v>0</v>
      </c>
      <c r="V389" s="2908">
        <f t="shared" si="98"/>
        <v>0</v>
      </c>
      <c r="W389" s="956"/>
      <c r="X389" s="2908">
        <f t="shared" si="99"/>
        <v>0</v>
      </c>
      <c r="Y389" s="2908">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8">
        <f t="shared" si="97"/>
        <v>0</v>
      </c>
      <c r="V390" s="2908">
        <f t="shared" si="98"/>
        <v>0</v>
      </c>
      <c r="W390" s="956"/>
      <c r="X390" s="2908">
        <f t="shared" si="99"/>
        <v>0</v>
      </c>
      <c r="Y390" s="2908">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8">
        <f t="shared" si="97"/>
        <v>0</v>
      </c>
      <c r="V391" s="2908">
        <f t="shared" si="98"/>
        <v>0</v>
      </c>
      <c r="W391" s="956"/>
      <c r="X391" s="2908">
        <f t="shared" si="99"/>
        <v>0</v>
      </c>
      <c r="Y391" s="2908">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8">
        <f t="shared" si="97"/>
        <v>0</v>
      </c>
      <c r="V392" s="2908">
        <f t="shared" si="98"/>
        <v>0</v>
      </c>
      <c r="W392" s="956"/>
      <c r="X392" s="2908">
        <f t="shared" si="99"/>
        <v>0</v>
      </c>
      <c r="Y392" s="2908">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8">
        <f t="shared" si="97"/>
        <v>0</v>
      </c>
      <c r="V393" s="2908">
        <f t="shared" si="98"/>
        <v>0</v>
      </c>
      <c r="W393" s="956"/>
      <c r="X393" s="2908">
        <f t="shared" si="99"/>
        <v>0</v>
      </c>
      <c r="Y393" s="2908">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8">
        <f t="shared" si="97"/>
        <v>0</v>
      </c>
      <c r="V394" s="2908">
        <f t="shared" si="98"/>
        <v>0</v>
      </c>
      <c r="W394" s="956"/>
      <c r="X394" s="2908">
        <f t="shared" si="99"/>
        <v>0</v>
      </c>
      <c r="Y394" s="2908">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8">
        <f t="shared" si="97"/>
        <v>0</v>
      </c>
      <c r="V395" s="2908">
        <f t="shared" si="98"/>
        <v>0</v>
      </c>
      <c r="W395" s="956"/>
      <c r="X395" s="2908">
        <f t="shared" si="99"/>
        <v>0</v>
      </c>
      <c r="Y395" s="2908">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8">
        <f t="shared" si="97"/>
        <v>0</v>
      </c>
      <c r="V396" s="2908">
        <f t="shared" si="98"/>
        <v>0</v>
      </c>
      <c r="W396" s="956"/>
      <c r="X396" s="2908">
        <f t="shared" si="99"/>
        <v>0</v>
      </c>
      <c r="Y396" s="2908">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8">
        <f t="shared" si="97"/>
        <v>0</v>
      </c>
      <c r="V397" s="2908">
        <f t="shared" si="98"/>
        <v>0</v>
      </c>
      <c r="W397" s="956"/>
      <c r="X397" s="2908">
        <f t="shared" si="99"/>
        <v>0</v>
      </c>
      <c r="Y397" s="2908">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8">
        <f t="shared" si="97"/>
        <v>0</v>
      </c>
      <c r="V398" s="2908">
        <f t="shared" si="98"/>
        <v>0</v>
      </c>
      <c r="W398" s="956"/>
      <c r="X398" s="2908">
        <f t="shared" si="99"/>
        <v>0</v>
      </c>
      <c r="Y398" s="2908">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8">
        <f t="shared" si="97"/>
        <v>0</v>
      </c>
      <c r="V399" s="2908">
        <f t="shared" si="98"/>
        <v>0</v>
      </c>
      <c r="W399" s="956"/>
      <c r="X399" s="2908">
        <f t="shared" si="99"/>
        <v>0</v>
      </c>
      <c r="Y399" s="2908">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8">
        <f t="shared" si="97"/>
        <v>0</v>
      </c>
      <c r="V400" s="2908">
        <f t="shared" si="98"/>
        <v>0</v>
      </c>
      <c r="W400" s="956"/>
      <c r="X400" s="2908">
        <f t="shared" si="99"/>
        <v>0</v>
      </c>
      <c r="Y400" s="2908">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8">
        <f t="shared" si="97"/>
        <v>0</v>
      </c>
      <c r="V401" s="2908">
        <f t="shared" si="98"/>
        <v>0</v>
      </c>
      <c r="W401" s="956"/>
      <c r="X401" s="2908">
        <f t="shared" si="99"/>
        <v>0</v>
      </c>
      <c r="Y401" s="2908">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8">
        <f t="shared" si="97"/>
        <v>0</v>
      </c>
      <c r="V402" s="2908">
        <f t="shared" si="98"/>
        <v>0</v>
      </c>
      <c r="W402" s="956"/>
      <c r="X402" s="2908">
        <f t="shared" si="99"/>
        <v>0</v>
      </c>
      <c r="Y402" s="2908">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8">
        <f t="shared" si="97"/>
        <v>0</v>
      </c>
      <c r="V403" s="2908">
        <f t="shared" si="98"/>
        <v>0</v>
      </c>
      <c r="W403" s="956"/>
      <c r="X403" s="2908">
        <f t="shared" si="99"/>
        <v>0</v>
      </c>
      <c r="Y403" s="2908">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8">
        <f t="shared" si="97"/>
        <v>0</v>
      </c>
      <c r="V404" s="2908">
        <f t="shared" si="98"/>
        <v>0</v>
      </c>
      <c r="W404" s="956"/>
      <c r="X404" s="2908">
        <f t="shared" si="99"/>
        <v>0</v>
      </c>
      <c r="Y404" s="2908">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8">
        <f t="shared" si="97"/>
        <v>0</v>
      </c>
      <c r="V405" s="2908">
        <f t="shared" si="98"/>
        <v>0</v>
      </c>
      <c r="W405" s="956"/>
      <c r="X405" s="2908">
        <f t="shared" si="99"/>
        <v>0</v>
      </c>
      <c r="Y405" s="2908">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8">
        <f t="shared" si="97"/>
        <v>0</v>
      </c>
      <c r="V406" s="2908">
        <f t="shared" si="98"/>
        <v>0</v>
      </c>
      <c r="W406" s="956"/>
      <c r="X406" s="2908">
        <f t="shared" si="99"/>
        <v>0</v>
      </c>
      <c r="Y406" s="2908">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8">
        <f t="shared" si="97"/>
        <v>0</v>
      </c>
      <c r="V407" s="2908">
        <f t="shared" si="98"/>
        <v>0</v>
      </c>
      <c r="W407" s="956"/>
      <c r="X407" s="2908">
        <f t="shared" si="99"/>
        <v>0</v>
      </c>
      <c r="Y407" s="2908">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8">
        <f t="shared" si="97"/>
        <v>0</v>
      </c>
      <c r="V408" s="2908">
        <f t="shared" si="98"/>
        <v>0</v>
      </c>
      <c r="W408" s="956"/>
      <c r="X408" s="2908">
        <f t="shared" si="99"/>
        <v>0</v>
      </c>
      <c r="Y408" s="2908">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8">
        <f t="shared" si="97"/>
        <v>0</v>
      </c>
      <c r="V409" s="2908">
        <f t="shared" si="98"/>
        <v>0</v>
      </c>
      <c r="W409" s="956"/>
      <c r="X409" s="2908">
        <f t="shared" si="99"/>
        <v>0</v>
      </c>
      <c r="Y409" s="2908">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8">
        <f t="shared" si="97"/>
        <v>0</v>
      </c>
      <c r="V410" s="2908">
        <f t="shared" si="98"/>
        <v>0</v>
      </c>
      <c r="W410" s="956"/>
      <c r="X410" s="2908">
        <f t="shared" si="99"/>
        <v>0</v>
      </c>
      <c r="Y410" s="2908">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8">
        <f t="shared" si="97"/>
        <v>0</v>
      </c>
      <c r="V411" s="2908">
        <f t="shared" si="98"/>
        <v>0</v>
      </c>
      <c r="W411" s="956"/>
      <c r="X411" s="2908">
        <f t="shared" si="99"/>
        <v>0</v>
      </c>
      <c r="Y411" s="2908">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8">
        <f t="shared" ref="U412:U475" si="112">ROUND(W412*B412,0)</f>
        <v>0</v>
      </c>
      <c r="V412" s="2908">
        <f t="shared" ref="V412:V475" si="113">ROUND(W412*B412/10000,0)</f>
        <v>0</v>
      </c>
      <c r="W412" s="956"/>
      <c r="X412" s="2908">
        <f t="shared" ref="X412:X475" si="114">ROUND(Z412*B412,0)</f>
        <v>0</v>
      </c>
      <c r="Y412" s="2908">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8">
        <f t="shared" si="112"/>
        <v>0</v>
      </c>
      <c r="V413" s="2908">
        <f t="shared" si="113"/>
        <v>0</v>
      </c>
      <c r="W413" s="956"/>
      <c r="X413" s="2908">
        <f t="shared" si="114"/>
        <v>0</v>
      </c>
      <c r="Y413" s="2908">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8">
        <f t="shared" si="112"/>
        <v>0</v>
      </c>
      <c r="V414" s="2908">
        <f t="shared" si="113"/>
        <v>0</v>
      </c>
      <c r="W414" s="956"/>
      <c r="X414" s="2908">
        <f t="shared" si="114"/>
        <v>0</v>
      </c>
      <c r="Y414" s="2908">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8">
        <f t="shared" si="112"/>
        <v>0</v>
      </c>
      <c r="V415" s="2908">
        <f t="shared" si="113"/>
        <v>0</v>
      </c>
      <c r="W415" s="956"/>
      <c r="X415" s="2908">
        <f t="shared" si="114"/>
        <v>0</v>
      </c>
      <c r="Y415" s="2908">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8">
        <f t="shared" si="112"/>
        <v>0</v>
      </c>
      <c r="V416" s="2908">
        <f t="shared" si="113"/>
        <v>0</v>
      </c>
      <c r="W416" s="956"/>
      <c r="X416" s="2908">
        <f t="shared" si="114"/>
        <v>0</v>
      </c>
      <c r="Y416" s="2908">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8">
        <f t="shared" si="112"/>
        <v>0</v>
      </c>
      <c r="V417" s="2908">
        <f t="shared" si="113"/>
        <v>0</v>
      </c>
      <c r="W417" s="956"/>
      <c r="X417" s="2908">
        <f t="shared" si="114"/>
        <v>0</v>
      </c>
      <c r="Y417" s="2908">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8">
        <f t="shared" si="112"/>
        <v>0</v>
      </c>
      <c r="V418" s="2908">
        <f t="shared" si="113"/>
        <v>0</v>
      </c>
      <c r="W418" s="956"/>
      <c r="X418" s="2908">
        <f t="shared" si="114"/>
        <v>0</v>
      </c>
      <c r="Y418" s="2908">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8">
        <f t="shared" si="112"/>
        <v>0</v>
      </c>
      <c r="V419" s="2908">
        <f t="shared" si="113"/>
        <v>0</v>
      </c>
      <c r="W419" s="956"/>
      <c r="X419" s="2908">
        <f t="shared" si="114"/>
        <v>0</v>
      </c>
      <c r="Y419" s="2908">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8">
        <f t="shared" si="112"/>
        <v>0</v>
      </c>
      <c r="V420" s="2908">
        <f t="shared" si="113"/>
        <v>0</v>
      </c>
      <c r="W420" s="956"/>
      <c r="X420" s="2908">
        <f t="shared" si="114"/>
        <v>0</v>
      </c>
      <c r="Y420" s="2908">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8">
        <f t="shared" si="112"/>
        <v>0</v>
      </c>
      <c r="V421" s="2908">
        <f t="shared" si="113"/>
        <v>0</v>
      </c>
      <c r="W421" s="956"/>
      <c r="X421" s="2908">
        <f t="shared" si="114"/>
        <v>0</v>
      </c>
      <c r="Y421" s="2908">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8">
        <f t="shared" si="112"/>
        <v>0</v>
      </c>
      <c r="V422" s="2908">
        <f t="shared" si="113"/>
        <v>0</v>
      </c>
      <c r="W422" s="956"/>
      <c r="X422" s="2908">
        <f t="shared" si="114"/>
        <v>0</v>
      </c>
      <c r="Y422" s="2908">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8">
        <f t="shared" si="112"/>
        <v>0</v>
      </c>
      <c r="V423" s="2908">
        <f t="shared" si="113"/>
        <v>0</v>
      </c>
      <c r="W423" s="956"/>
      <c r="X423" s="2908">
        <f t="shared" si="114"/>
        <v>0</v>
      </c>
      <c r="Y423" s="2908">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8">
        <f t="shared" si="112"/>
        <v>0</v>
      </c>
      <c r="V424" s="2908">
        <f t="shared" si="113"/>
        <v>0</v>
      </c>
      <c r="W424" s="956"/>
      <c r="X424" s="2908">
        <f t="shared" si="114"/>
        <v>0</v>
      </c>
      <c r="Y424" s="2908">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8">
        <f t="shared" si="112"/>
        <v>0</v>
      </c>
      <c r="V425" s="2908">
        <f t="shared" si="113"/>
        <v>0</v>
      </c>
      <c r="W425" s="956"/>
      <c r="X425" s="2908">
        <f t="shared" si="114"/>
        <v>0</v>
      </c>
      <c r="Y425" s="2908">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8">
        <f t="shared" si="112"/>
        <v>0</v>
      </c>
      <c r="V426" s="2908">
        <f t="shared" si="113"/>
        <v>0</v>
      </c>
      <c r="W426" s="956"/>
      <c r="X426" s="2908">
        <f t="shared" si="114"/>
        <v>0</v>
      </c>
      <c r="Y426" s="2908">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8">
        <f t="shared" si="112"/>
        <v>0</v>
      </c>
      <c r="V427" s="2908">
        <f t="shared" si="113"/>
        <v>0</v>
      </c>
      <c r="W427" s="956"/>
      <c r="X427" s="2908">
        <f t="shared" si="114"/>
        <v>0</v>
      </c>
      <c r="Y427" s="2908">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8">
        <f t="shared" si="112"/>
        <v>0</v>
      </c>
      <c r="V428" s="2908">
        <f t="shared" si="113"/>
        <v>0</v>
      </c>
      <c r="W428" s="956"/>
      <c r="X428" s="2908">
        <f t="shared" si="114"/>
        <v>0</v>
      </c>
      <c r="Y428" s="2908">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8">
        <f t="shared" si="112"/>
        <v>0</v>
      </c>
      <c r="V429" s="2908">
        <f t="shared" si="113"/>
        <v>0</v>
      </c>
      <c r="W429" s="956"/>
      <c r="X429" s="2908">
        <f t="shared" si="114"/>
        <v>0</v>
      </c>
      <c r="Y429" s="2908">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8">
        <f t="shared" si="112"/>
        <v>0</v>
      </c>
      <c r="V430" s="2908">
        <f t="shared" si="113"/>
        <v>0</v>
      </c>
      <c r="W430" s="956"/>
      <c r="X430" s="2908">
        <f t="shared" si="114"/>
        <v>0</v>
      </c>
      <c r="Y430" s="2908">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8">
        <f t="shared" si="112"/>
        <v>0</v>
      </c>
      <c r="V431" s="2908">
        <f t="shared" si="113"/>
        <v>0</v>
      </c>
      <c r="W431" s="956"/>
      <c r="X431" s="2908">
        <f t="shared" si="114"/>
        <v>0</v>
      </c>
      <c r="Y431" s="2908">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8">
        <f t="shared" si="112"/>
        <v>0</v>
      </c>
      <c r="V432" s="2908">
        <f t="shared" si="113"/>
        <v>0</v>
      </c>
      <c r="W432" s="956"/>
      <c r="X432" s="2908">
        <f t="shared" si="114"/>
        <v>0</v>
      </c>
      <c r="Y432" s="2908">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8">
        <f t="shared" si="112"/>
        <v>0</v>
      </c>
      <c r="V433" s="2908">
        <f t="shared" si="113"/>
        <v>0</v>
      </c>
      <c r="W433" s="956"/>
      <c r="X433" s="2908">
        <f t="shared" si="114"/>
        <v>0</v>
      </c>
      <c r="Y433" s="2908">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8">
        <f t="shared" si="112"/>
        <v>0</v>
      </c>
      <c r="V434" s="2908">
        <f t="shared" si="113"/>
        <v>0</v>
      </c>
      <c r="W434" s="956"/>
      <c r="X434" s="2908">
        <f t="shared" si="114"/>
        <v>0</v>
      </c>
      <c r="Y434" s="2908">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8">
        <f t="shared" si="112"/>
        <v>0</v>
      </c>
      <c r="V435" s="2908">
        <f t="shared" si="113"/>
        <v>0</v>
      </c>
      <c r="W435" s="956"/>
      <c r="X435" s="2908">
        <f t="shared" si="114"/>
        <v>0</v>
      </c>
      <c r="Y435" s="2908">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8">
        <f t="shared" si="112"/>
        <v>0</v>
      </c>
      <c r="V436" s="2908">
        <f t="shared" si="113"/>
        <v>0</v>
      </c>
      <c r="W436" s="956"/>
      <c r="X436" s="2908">
        <f t="shared" si="114"/>
        <v>0</v>
      </c>
      <c r="Y436" s="2908">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8">
        <f t="shared" si="112"/>
        <v>0</v>
      </c>
      <c r="V437" s="2908">
        <f t="shared" si="113"/>
        <v>0</v>
      </c>
      <c r="W437" s="956"/>
      <c r="X437" s="2908">
        <f t="shared" si="114"/>
        <v>0</v>
      </c>
      <c r="Y437" s="2908">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8">
        <f t="shared" si="112"/>
        <v>0</v>
      </c>
      <c r="V438" s="2908">
        <f t="shared" si="113"/>
        <v>0</v>
      </c>
      <c r="W438" s="956"/>
      <c r="X438" s="2908">
        <f t="shared" si="114"/>
        <v>0</v>
      </c>
      <c r="Y438" s="2908">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8">
        <f t="shared" si="112"/>
        <v>0</v>
      </c>
      <c r="V439" s="2908">
        <f t="shared" si="113"/>
        <v>0</v>
      </c>
      <c r="W439" s="956"/>
      <c r="X439" s="2908">
        <f t="shared" si="114"/>
        <v>0</v>
      </c>
      <c r="Y439" s="2908">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8">
        <f t="shared" si="112"/>
        <v>0</v>
      </c>
      <c r="V440" s="2908">
        <f t="shared" si="113"/>
        <v>0</v>
      </c>
      <c r="W440" s="956"/>
      <c r="X440" s="2908">
        <f t="shared" si="114"/>
        <v>0</v>
      </c>
      <c r="Y440" s="2908">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8">
        <f t="shared" si="112"/>
        <v>0</v>
      </c>
      <c r="V441" s="2908">
        <f t="shared" si="113"/>
        <v>0</v>
      </c>
      <c r="W441" s="956"/>
      <c r="X441" s="2908">
        <f t="shared" si="114"/>
        <v>0</v>
      </c>
      <c r="Y441" s="2908">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8">
        <f t="shared" si="112"/>
        <v>0</v>
      </c>
      <c r="V442" s="2908">
        <f t="shared" si="113"/>
        <v>0</v>
      </c>
      <c r="W442" s="956"/>
      <c r="X442" s="2908">
        <f t="shared" si="114"/>
        <v>0</v>
      </c>
      <c r="Y442" s="2908">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8">
        <f t="shared" si="112"/>
        <v>0</v>
      </c>
      <c r="V443" s="2908">
        <f t="shared" si="113"/>
        <v>0</v>
      </c>
      <c r="W443" s="956"/>
      <c r="X443" s="2908">
        <f t="shared" si="114"/>
        <v>0</v>
      </c>
      <c r="Y443" s="2908">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8">
        <f t="shared" si="112"/>
        <v>0</v>
      </c>
      <c r="V444" s="2908">
        <f t="shared" si="113"/>
        <v>0</v>
      </c>
      <c r="W444" s="956"/>
      <c r="X444" s="2908">
        <f t="shared" si="114"/>
        <v>0</v>
      </c>
      <c r="Y444" s="2908">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8">
        <f t="shared" si="112"/>
        <v>0</v>
      </c>
      <c r="V445" s="2908">
        <f t="shared" si="113"/>
        <v>0</v>
      </c>
      <c r="W445" s="956"/>
      <c r="X445" s="2908">
        <f t="shared" si="114"/>
        <v>0</v>
      </c>
      <c r="Y445" s="2908">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8">
        <f t="shared" si="112"/>
        <v>0</v>
      </c>
      <c r="V446" s="2908">
        <f t="shared" si="113"/>
        <v>0</v>
      </c>
      <c r="W446" s="956"/>
      <c r="X446" s="2908">
        <f t="shared" si="114"/>
        <v>0</v>
      </c>
      <c r="Y446" s="2908">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8">
        <f t="shared" si="112"/>
        <v>0</v>
      </c>
      <c r="V447" s="2908">
        <f t="shared" si="113"/>
        <v>0</v>
      </c>
      <c r="W447" s="956"/>
      <c r="X447" s="2908">
        <f t="shared" si="114"/>
        <v>0</v>
      </c>
      <c r="Y447" s="2908">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8">
        <f t="shared" si="112"/>
        <v>0</v>
      </c>
      <c r="V448" s="2908">
        <f t="shared" si="113"/>
        <v>0</v>
      </c>
      <c r="W448" s="956"/>
      <c r="X448" s="2908">
        <f t="shared" si="114"/>
        <v>0</v>
      </c>
      <c r="Y448" s="2908">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8">
        <f t="shared" si="112"/>
        <v>0</v>
      </c>
      <c r="V449" s="2908">
        <f t="shared" si="113"/>
        <v>0</v>
      </c>
      <c r="W449" s="956"/>
      <c r="X449" s="2908">
        <f t="shared" si="114"/>
        <v>0</v>
      </c>
      <c r="Y449" s="2908">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8">
        <f t="shared" si="112"/>
        <v>0</v>
      </c>
      <c r="V450" s="2908">
        <f t="shared" si="113"/>
        <v>0</v>
      </c>
      <c r="W450" s="956"/>
      <c r="X450" s="2908">
        <f t="shared" si="114"/>
        <v>0</v>
      </c>
      <c r="Y450" s="2908">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8">
        <f t="shared" si="112"/>
        <v>0</v>
      </c>
      <c r="V451" s="2908">
        <f t="shared" si="113"/>
        <v>0</v>
      </c>
      <c r="W451" s="956"/>
      <c r="X451" s="2908">
        <f t="shared" si="114"/>
        <v>0</v>
      </c>
      <c r="Y451" s="2908">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8">
        <f t="shared" si="112"/>
        <v>0</v>
      </c>
      <c r="V452" s="2908">
        <f t="shared" si="113"/>
        <v>0</v>
      </c>
      <c r="W452" s="956"/>
      <c r="X452" s="2908">
        <f t="shared" si="114"/>
        <v>0</v>
      </c>
      <c r="Y452" s="2908">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8">
        <f t="shared" si="112"/>
        <v>0</v>
      </c>
      <c r="V453" s="2908">
        <f t="shared" si="113"/>
        <v>0</v>
      </c>
      <c r="W453" s="956"/>
      <c r="X453" s="2908">
        <f t="shared" si="114"/>
        <v>0</v>
      </c>
      <c r="Y453" s="2908">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8">
        <f t="shared" si="112"/>
        <v>0</v>
      </c>
      <c r="V454" s="2908">
        <f t="shared" si="113"/>
        <v>0</v>
      </c>
      <c r="W454" s="956"/>
      <c r="X454" s="2908">
        <f t="shared" si="114"/>
        <v>0</v>
      </c>
      <c r="Y454" s="2908">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8">
        <f t="shared" si="112"/>
        <v>0</v>
      </c>
      <c r="V455" s="2908">
        <f t="shared" si="113"/>
        <v>0</v>
      </c>
      <c r="W455" s="956"/>
      <c r="X455" s="2908">
        <f t="shared" si="114"/>
        <v>0</v>
      </c>
      <c r="Y455" s="2908">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8">
        <f t="shared" si="112"/>
        <v>0</v>
      </c>
      <c r="V456" s="2908">
        <f t="shared" si="113"/>
        <v>0</v>
      </c>
      <c r="W456" s="956"/>
      <c r="X456" s="2908">
        <f t="shared" si="114"/>
        <v>0</v>
      </c>
      <c r="Y456" s="2908">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8">
        <f t="shared" si="112"/>
        <v>0</v>
      </c>
      <c r="V457" s="2908">
        <f t="shared" si="113"/>
        <v>0</v>
      </c>
      <c r="W457" s="956"/>
      <c r="X457" s="2908">
        <f t="shared" si="114"/>
        <v>0</v>
      </c>
      <c r="Y457" s="2908">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8">
        <f t="shared" si="112"/>
        <v>0</v>
      </c>
      <c r="V458" s="2908">
        <f t="shared" si="113"/>
        <v>0</v>
      </c>
      <c r="W458" s="956"/>
      <c r="X458" s="2908">
        <f t="shared" si="114"/>
        <v>0</v>
      </c>
      <c r="Y458" s="2908">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8">
        <f t="shared" si="112"/>
        <v>0</v>
      </c>
      <c r="V459" s="2908">
        <f t="shared" si="113"/>
        <v>0</v>
      </c>
      <c r="W459" s="956"/>
      <c r="X459" s="2908">
        <f t="shared" si="114"/>
        <v>0</v>
      </c>
      <c r="Y459" s="2908">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8">
        <f t="shared" si="112"/>
        <v>0</v>
      </c>
      <c r="V460" s="2908">
        <f t="shared" si="113"/>
        <v>0</v>
      </c>
      <c r="W460" s="956"/>
      <c r="X460" s="2908">
        <f t="shared" si="114"/>
        <v>0</v>
      </c>
      <c r="Y460" s="2908">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8">
        <f t="shared" si="112"/>
        <v>0</v>
      </c>
      <c r="V461" s="2908">
        <f t="shared" si="113"/>
        <v>0</v>
      </c>
      <c r="W461" s="956"/>
      <c r="X461" s="2908">
        <f t="shared" si="114"/>
        <v>0</v>
      </c>
      <c r="Y461" s="2908">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8">
        <f t="shared" si="112"/>
        <v>0</v>
      </c>
      <c r="V462" s="2908">
        <f t="shared" si="113"/>
        <v>0</v>
      </c>
      <c r="W462" s="956"/>
      <c r="X462" s="2908">
        <f t="shared" si="114"/>
        <v>0</v>
      </c>
      <c r="Y462" s="2908">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8">
        <f t="shared" si="112"/>
        <v>0</v>
      </c>
      <c r="V463" s="2908">
        <f t="shared" si="113"/>
        <v>0</v>
      </c>
      <c r="W463" s="956"/>
      <c r="X463" s="2908">
        <f t="shared" si="114"/>
        <v>0</v>
      </c>
      <c r="Y463" s="2908">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8">
        <f t="shared" si="112"/>
        <v>0</v>
      </c>
      <c r="V464" s="2908">
        <f t="shared" si="113"/>
        <v>0</v>
      </c>
      <c r="W464" s="956"/>
      <c r="X464" s="2908">
        <f t="shared" si="114"/>
        <v>0</v>
      </c>
      <c r="Y464" s="2908">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8">
        <f t="shared" si="112"/>
        <v>0</v>
      </c>
      <c r="V465" s="2908">
        <f t="shared" si="113"/>
        <v>0</v>
      </c>
      <c r="W465" s="956"/>
      <c r="X465" s="2908">
        <f t="shared" si="114"/>
        <v>0</v>
      </c>
      <c r="Y465" s="2908">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8">
        <f t="shared" si="112"/>
        <v>0</v>
      </c>
      <c r="V466" s="2908">
        <f t="shared" si="113"/>
        <v>0</v>
      </c>
      <c r="W466" s="956"/>
      <c r="X466" s="2908">
        <f t="shared" si="114"/>
        <v>0</v>
      </c>
      <c r="Y466" s="2908">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8">
        <f t="shared" si="112"/>
        <v>0</v>
      </c>
      <c r="V467" s="2908">
        <f t="shared" si="113"/>
        <v>0</v>
      </c>
      <c r="W467" s="956"/>
      <c r="X467" s="2908">
        <f t="shared" si="114"/>
        <v>0</v>
      </c>
      <c r="Y467" s="2908">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8">
        <f t="shared" si="112"/>
        <v>0</v>
      </c>
      <c r="V468" s="2908">
        <f t="shared" si="113"/>
        <v>0</v>
      </c>
      <c r="W468" s="956"/>
      <c r="X468" s="2908">
        <f t="shared" si="114"/>
        <v>0</v>
      </c>
      <c r="Y468" s="2908">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8">
        <f t="shared" si="112"/>
        <v>0</v>
      </c>
      <c r="V469" s="2908">
        <f t="shared" si="113"/>
        <v>0</v>
      </c>
      <c r="W469" s="956"/>
      <c r="X469" s="2908">
        <f t="shared" si="114"/>
        <v>0</v>
      </c>
      <c r="Y469" s="2908">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8">
        <f t="shared" si="112"/>
        <v>0</v>
      </c>
      <c r="V470" s="2908">
        <f t="shared" si="113"/>
        <v>0</v>
      </c>
      <c r="W470" s="956"/>
      <c r="X470" s="2908">
        <f t="shared" si="114"/>
        <v>0</v>
      </c>
      <c r="Y470" s="2908">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8">
        <f t="shared" si="112"/>
        <v>0</v>
      </c>
      <c r="V471" s="2908">
        <f t="shared" si="113"/>
        <v>0</v>
      </c>
      <c r="W471" s="956"/>
      <c r="X471" s="2908">
        <f t="shared" si="114"/>
        <v>0</v>
      </c>
      <c r="Y471" s="2908">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8">
        <f t="shared" si="112"/>
        <v>0</v>
      </c>
      <c r="V472" s="2908">
        <f t="shared" si="113"/>
        <v>0</v>
      </c>
      <c r="W472" s="956"/>
      <c r="X472" s="2908">
        <f t="shared" si="114"/>
        <v>0</v>
      </c>
      <c r="Y472" s="2908">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8">
        <f t="shared" si="112"/>
        <v>0</v>
      </c>
      <c r="V473" s="2908">
        <f t="shared" si="113"/>
        <v>0</v>
      </c>
      <c r="W473" s="956"/>
      <c r="X473" s="2908">
        <f t="shared" si="114"/>
        <v>0</v>
      </c>
      <c r="Y473" s="2908">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8">
        <f t="shared" si="112"/>
        <v>0</v>
      </c>
      <c r="V474" s="2908">
        <f t="shared" si="113"/>
        <v>0</v>
      </c>
      <c r="W474" s="956"/>
      <c r="X474" s="2908">
        <f t="shared" si="114"/>
        <v>0</v>
      </c>
      <c r="Y474" s="2908">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8">
        <f t="shared" si="112"/>
        <v>0</v>
      </c>
      <c r="V475" s="2908">
        <f t="shared" si="113"/>
        <v>0</v>
      </c>
      <c r="W475" s="956"/>
      <c r="X475" s="2908">
        <f t="shared" si="114"/>
        <v>0</v>
      </c>
      <c r="Y475" s="2908">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8">
        <f t="shared" ref="U476:U527" si="127">ROUND(W476*B476,0)</f>
        <v>0</v>
      </c>
      <c r="V476" s="2908">
        <f t="shared" ref="V476:V527" si="128">ROUND(W476*B476/10000,0)</f>
        <v>0</v>
      </c>
      <c r="W476" s="956"/>
      <c r="X476" s="2908">
        <f t="shared" ref="X476:X527" si="129">ROUND(Z476*B476,0)</f>
        <v>0</v>
      </c>
      <c r="Y476" s="2908">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8">
        <f t="shared" si="127"/>
        <v>0</v>
      </c>
      <c r="V477" s="2908">
        <f t="shared" si="128"/>
        <v>0</v>
      </c>
      <c r="W477" s="956"/>
      <c r="X477" s="2908">
        <f t="shared" si="129"/>
        <v>0</v>
      </c>
      <c r="Y477" s="2908">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8">
        <f t="shared" si="127"/>
        <v>0</v>
      </c>
      <c r="V478" s="2908">
        <f t="shared" si="128"/>
        <v>0</v>
      </c>
      <c r="W478" s="956"/>
      <c r="X478" s="2908">
        <f t="shared" si="129"/>
        <v>0</v>
      </c>
      <c r="Y478" s="2908">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8">
        <f t="shared" si="127"/>
        <v>0</v>
      </c>
      <c r="V479" s="2908">
        <f t="shared" si="128"/>
        <v>0</v>
      </c>
      <c r="W479" s="956"/>
      <c r="X479" s="2908">
        <f t="shared" si="129"/>
        <v>0</v>
      </c>
      <c r="Y479" s="2908">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8">
        <f t="shared" si="127"/>
        <v>0</v>
      </c>
      <c r="V480" s="2908">
        <f t="shared" si="128"/>
        <v>0</v>
      </c>
      <c r="W480" s="956"/>
      <c r="X480" s="2908">
        <f t="shared" si="129"/>
        <v>0</v>
      </c>
      <c r="Y480" s="2908">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8">
        <f t="shared" si="127"/>
        <v>0</v>
      </c>
      <c r="V481" s="2908">
        <f t="shared" si="128"/>
        <v>0</v>
      </c>
      <c r="W481" s="956"/>
      <c r="X481" s="2908">
        <f t="shared" si="129"/>
        <v>0</v>
      </c>
      <c r="Y481" s="2908">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8">
        <f t="shared" si="127"/>
        <v>0</v>
      </c>
      <c r="V482" s="2908">
        <f t="shared" si="128"/>
        <v>0</v>
      </c>
      <c r="W482" s="956"/>
      <c r="X482" s="2908">
        <f t="shared" si="129"/>
        <v>0</v>
      </c>
      <c r="Y482" s="2908">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8">
        <f t="shared" si="127"/>
        <v>0</v>
      </c>
      <c r="V483" s="2908">
        <f t="shared" si="128"/>
        <v>0</v>
      </c>
      <c r="W483" s="956"/>
      <c r="X483" s="2908">
        <f t="shared" si="129"/>
        <v>0</v>
      </c>
      <c r="Y483" s="2908">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8">
        <f t="shared" si="127"/>
        <v>0</v>
      </c>
      <c r="V484" s="2908">
        <f t="shared" si="128"/>
        <v>0</v>
      </c>
      <c r="W484" s="956"/>
      <c r="X484" s="2908">
        <f t="shared" si="129"/>
        <v>0</v>
      </c>
      <c r="Y484" s="2908">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8">
        <f t="shared" si="127"/>
        <v>0</v>
      </c>
      <c r="V485" s="2908">
        <f t="shared" si="128"/>
        <v>0</v>
      </c>
      <c r="W485" s="956"/>
      <c r="X485" s="2908">
        <f t="shared" si="129"/>
        <v>0</v>
      </c>
      <c r="Y485" s="2908">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8">
        <f t="shared" si="127"/>
        <v>0</v>
      </c>
      <c r="V486" s="2908">
        <f t="shared" si="128"/>
        <v>0</v>
      </c>
      <c r="W486" s="956"/>
      <c r="X486" s="2908">
        <f t="shared" si="129"/>
        <v>0</v>
      </c>
      <c r="Y486" s="2908">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8">
        <f t="shared" si="127"/>
        <v>0</v>
      </c>
      <c r="V487" s="2908">
        <f t="shared" si="128"/>
        <v>0</v>
      </c>
      <c r="W487" s="956"/>
      <c r="X487" s="2908">
        <f t="shared" si="129"/>
        <v>0</v>
      </c>
      <c r="Y487" s="2908">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8">
        <f t="shared" si="127"/>
        <v>0</v>
      </c>
      <c r="V488" s="2908">
        <f t="shared" si="128"/>
        <v>0</v>
      </c>
      <c r="W488" s="956"/>
      <c r="X488" s="2908">
        <f t="shared" si="129"/>
        <v>0</v>
      </c>
      <c r="Y488" s="2908">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8">
        <f t="shared" si="127"/>
        <v>0</v>
      </c>
      <c r="V489" s="2908">
        <f t="shared" si="128"/>
        <v>0</v>
      </c>
      <c r="W489" s="956"/>
      <c r="X489" s="2908">
        <f t="shared" si="129"/>
        <v>0</v>
      </c>
      <c r="Y489" s="2908">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8">
        <f t="shared" si="127"/>
        <v>0</v>
      </c>
      <c r="V490" s="2908">
        <f t="shared" si="128"/>
        <v>0</v>
      </c>
      <c r="W490" s="956"/>
      <c r="X490" s="2908">
        <f t="shared" si="129"/>
        <v>0</v>
      </c>
      <c r="Y490" s="2908">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8">
        <f t="shared" si="127"/>
        <v>0</v>
      </c>
      <c r="V491" s="2908">
        <f t="shared" si="128"/>
        <v>0</v>
      </c>
      <c r="W491" s="956"/>
      <c r="X491" s="2908">
        <f t="shared" si="129"/>
        <v>0</v>
      </c>
      <c r="Y491" s="2908">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8">
        <f t="shared" si="127"/>
        <v>0</v>
      </c>
      <c r="V492" s="2908">
        <f t="shared" si="128"/>
        <v>0</v>
      </c>
      <c r="W492" s="956"/>
      <c r="X492" s="2908">
        <f t="shared" si="129"/>
        <v>0</v>
      </c>
      <c r="Y492" s="2908">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8">
        <f t="shared" si="127"/>
        <v>0</v>
      </c>
      <c r="V493" s="2908">
        <f t="shared" si="128"/>
        <v>0</v>
      </c>
      <c r="W493" s="956"/>
      <c r="X493" s="2908">
        <f t="shared" si="129"/>
        <v>0</v>
      </c>
      <c r="Y493" s="2908">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8">
        <f t="shared" si="127"/>
        <v>0</v>
      </c>
      <c r="V494" s="2908">
        <f t="shared" si="128"/>
        <v>0</v>
      </c>
      <c r="W494" s="956"/>
      <c r="X494" s="2908">
        <f t="shared" si="129"/>
        <v>0</v>
      </c>
      <c r="Y494" s="2908">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8">
        <f t="shared" si="127"/>
        <v>0</v>
      </c>
      <c r="V495" s="2908">
        <f t="shared" si="128"/>
        <v>0</v>
      </c>
      <c r="W495" s="956"/>
      <c r="X495" s="2908">
        <f t="shared" si="129"/>
        <v>0</v>
      </c>
      <c r="Y495" s="2908">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8">
        <f t="shared" si="127"/>
        <v>0</v>
      </c>
      <c r="V496" s="2908">
        <f t="shared" si="128"/>
        <v>0</v>
      </c>
      <c r="W496" s="956"/>
      <c r="X496" s="2908">
        <f t="shared" si="129"/>
        <v>0</v>
      </c>
      <c r="Y496" s="2908">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8">
        <f t="shared" si="127"/>
        <v>0</v>
      </c>
      <c r="V497" s="2908">
        <f t="shared" si="128"/>
        <v>0</v>
      </c>
      <c r="W497" s="956"/>
      <c r="X497" s="2908">
        <f t="shared" si="129"/>
        <v>0</v>
      </c>
      <c r="Y497" s="2908">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8">
        <f t="shared" si="127"/>
        <v>0</v>
      </c>
      <c r="V498" s="2908">
        <f t="shared" si="128"/>
        <v>0</v>
      </c>
      <c r="W498" s="956"/>
      <c r="X498" s="2908">
        <f t="shared" si="129"/>
        <v>0</v>
      </c>
      <c r="Y498" s="2908">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8">
        <f t="shared" si="127"/>
        <v>0</v>
      </c>
      <c r="V499" s="2908">
        <f t="shared" si="128"/>
        <v>0</v>
      </c>
      <c r="W499" s="956"/>
      <c r="X499" s="2908">
        <f t="shared" si="129"/>
        <v>0</v>
      </c>
      <c r="Y499" s="2908">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8">
        <f t="shared" si="127"/>
        <v>0</v>
      </c>
      <c r="V500" s="2908">
        <f t="shared" si="128"/>
        <v>0</v>
      </c>
      <c r="W500" s="956"/>
      <c r="X500" s="2908">
        <f t="shared" si="129"/>
        <v>0</v>
      </c>
      <c r="Y500" s="2908">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8">
        <f t="shared" si="127"/>
        <v>0</v>
      </c>
      <c r="V501" s="2908">
        <f t="shared" si="128"/>
        <v>0</v>
      </c>
      <c r="W501" s="956"/>
      <c r="X501" s="2908">
        <f t="shared" si="129"/>
        <v>0</v>
      </c>
      <c r="Y501" s="2908">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8">
        <f t="shared" si="127"/>
        <v>0</v>
      </c>
      <c r="V502" s="2908">
        <f t="shared" si="128"/>
        <v>0</v>
      </c>
      <c r="W502" s="956"/>
      <c r="X502" s="2908">
        <f t="shared" si="129"/>
        <v>0</v>
      </c>
      <c r="Y502" s="2908">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8">
        <f t="shared" si="127"/>
        <v>0</v>
      </c>
      <c r="V503" s="2908">
        <f t="shared" si="128"/>
        <v>0</v>
      </c>
      <c r="W503" s="956"/>
      <c r="X503" s="2908">
        <f t="shared" si="129"/>
        <v>0</v>
      </c>
      <c r="Y503" s="2908">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8">
        <f t="shared" si="127"/>
        <v>0</v>
      </c>
      <c r="V504" s="2908">
        <f t="shared" si="128"/>
        <v>0</v>
      </c>
      <c r="W504" s="956"/>
      <c r="X504" s="2908">
        <f t="shared" si="129"/>
        <v>0</v>
      </c>
      <c r="Y504" s="2908">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8">
        <f t="shared" si="127"/>
        <v>0</v>
      </c>
      <c r="V505" s="2908">
        <f t="shared" si="128"/>
        <v>0</v>
      </c>
      <c r="W505" s="956"/>
      <c r="X505" s="2908">
        <f t="shared" si="129"/>
        <v>0</v>
      </c>
      <c r="Y505" s="2908">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8">
        <f t="shared" si="127"/>
        <v>0</v>
      </c>
      <c r="V506" s="2908">
        <f t="shared" si="128"/>
        <v>0</v>
      </c>
      <c r="W506" s="956"/>
      <c r="X506" s="2908">
        <f t="shared" si="129"/>
        <v>0</v>
      </c>
      <c r="Y506" s="2908">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8">
        <f t="shared" si="127"/>
        <v>0</v>
      </c>
      <c r="V507" s="2908">
        <f t="shared" si="128"/>
        <v>0</v>
      </c>
      <c r="W507" s="956"/>
      <c r="X507" s="2908">
        <f t="shared" si="129"/>
        <v>0</v>
      </c>
      <c r="Y507" s="2908">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8">
        <f t="shared" si="127"/>
        <v>0</v>
      </c>
      <c r="V508" s="2908">
        <f t="shared" si="128"/>
        <v>0</v>
      </c>
      <c r="W508" s="956"/>
      <c r="X508" s="2908">
        <f t="shared" si="129"/>
        <v>0</v>
      </c>
      <c r="Y508" s="2908">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8">
        <f t="shared" si="127"/>
        <v>0</v>
      </c>
      <c r="V509" s="2908">
        <f t="shared" si="128"/>
        <v>0</v>
      </c>
      <c r="W509" s="956"/>
      <c r="X509" s="2908">
        <f t="shared" si="129"/>
        <v>0</v>
      </c>
      <c r="Y509" s="2908">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8">
        <f t="shared" si="127"/>
        <v>0</v>
      </c>
      <c r="V510" s="2908">
        <f t="shared" si="128"/>
        <v>0</v>
      </c>
      <c r="W510" s="956"/>
      <c r="X510" s="2908">
        <f t="shared" si="129"/>
        <v>0</v>
      </c>
      <c r="Y510" s="2908">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8">
        <f t="shared" si="127"/>
        <v>0</v>
      </c>
      <c r="V511" s="2908">
        <f t="shared" si="128"/>
        <v>0</v>
      </c>
      <c r="W511" s="956"/>
      <c r="X511" s="2908">
        <f t="shared" si="129"/>
        <v>0</v>
      </c>
      <c r="Y511" s="2908">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8">
        <f t="shared" si="127"/>
        <v>0</v>
      </c>
      <c r="V512" s="2908">
        <f t="shared" si="128"/>
        <v>0</v>
      </c>
      <c r="W512" s="956"/>
      <c r="X512" s="2908">
        <f t="shared" si="129"/>
        <v>0</v>
      </c>
      <c r="Y512" s="2908">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8">
        <f t="shared" si="127"/>
        <v>0</v>
      </c>
      <c r="V513" s="2908">
        <f t="shared" si="128"/>
        <v>0</v>
      </c>
      <c r="W513" s="956"/>
      <c r="X513" s="2908">
        <f t="shared" si="129"/>
        <v>0</v>
      </c>
      <c r="Y513" s="2908">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8">
        <f t="shared" si="127"/>
        <v>0</v>
      </c>
      <c r="V514" s="2908">
        <f t="shared" si="128"/>
        <v>0</v>
      </c>
      <c r="W514" s="956"/>
      <c r="X514" s="2908">
        <f t="shared" si="129"/>
        <v>0</v>
      </c>
      <c r="Y514" s="2908">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8">
        <f t="shared" si="127"/>
        <v>0</v>
      </c>
      <c r="V515" s="2908">
        <f t="shared" si="128"/>
        <v>0</v>
      </c>
      <c r="W515" s="956"/>
      <c r="X515" s="2908">
        <f t="shared" si="129"/>
        <v>0</v>
      </c>
      <c r="Y515" s="2908">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8">
        <f t="shared" si="127"/>
        <v>0</v>
      </c>
      <c r="V516" s="2908">
        <f t="shared" si="128"/>
        <v>0</v>
      </c>
      <c r="W516" s="956"/>
      <c r="X516" s="2908">
        <f t="shared" si="129"/>
        <v>0</v>
      </c>
      <c r="Y516" s="2908">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8">
        <f t="shared" si="127"/>
        <v>0</v>
      </c>
      <c r="V517" s="2908">
        <f t="shared" si="128"/>
        <v>0</v>
      </c>
      <c r="W517" s="956"/>
      <c r="X517" s="2908">
        <f t="shared" si="129"/>
        <v>0</v>
      </c>
      <c r="Y517" s="2908">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8">
        <f t="shared" si="127"/>
        <v>0</v>
      </c>
      <c r="V518" s="2908">
        <f t="shared" si="128"/>
        <v>0</v>
      </c>
      <c r="W518" s="956"/>
      <c r="X518" s="2908">
        <f t="shared" si="129"/>
        <v>0</v>
      </c>
      <c r="Y518" s="2908">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8">
        <f t="shared" si="127"/>
        <v>0</v>
      </c>
      <c r="V519" s="2908">
        <f t="shared" si="128"/>
        <v>0</v>
      </c>
      <c r="W519" s="956"/>
      <c r="X519" s="2908">
        <f t="shared" si="129"/>
        <v>0</v>
      </c>
      <c r="Y519" s="2908">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8">
        <f t="shared" si="127"/>
        <v>0</v>
      </c>
      <c r="V520" s="2908">
        <f t="shared" si="128"/>
        <v>0</v>
      </c>
      <c r="W520" s="956"/>
      <c r="X520" s="2908">
        <f t="shared" si="129"/>
        <v>0</v>
      </c>
      <c r="Y520" s="2908">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8">
        <f t="shared" si="127"/>
        <v>0</v>
      </c>
      <c r="V521" s="2908">
        <f t="shared" si="128"/>
        <v>0</v>
      </c>
      <c r="W521" s="956"/>
      <c r="X521" s="2908">
        <f t="shared" si="129"/>
        <v>0</v>
      </c>
      <c r="Y521" s="2908">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8">
        <f t="shared" si="127"/>
        <v>0</v>
      </c>
      <c r="V522" s="2908">
        <f t="shared" si="128"/>
        <v>0</v>
      </c>
      <c r="W522" s="956"/>
      <c r="X522" s="2908">
        <f t="shared" si="129"/>
        <v>0</v>
      </c>
      <c r="Y522" s="2908">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8">
        <f t="shared" si="127"/>
        <v>0</v>
      </c>
      <c r="V523" s="2908">
        <f t="shared" si="128"/>
        <v>0</v>
      </c>
      <c r="W523" s="956"/>
      <c r="X523" s="2908">
        <f t="shared" si="129"/>
        <v>0</v>
      </c>
      <c r="Y523" s="2908">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8">
        <f t="shared" si="127"/>
        <v>0</v>
      </c>
      <c r="V524" s="2908">
        <f t="shared" si="128"/>
        <v>0</v>
      </c>
      <c r="W524" s="956"/>
      <c r="X524" s="2908">
        <f t="shared" si="129"/>
        <v>0</v>
      </c>
      <c r="Y524" s="2908">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8">
        <f t="shared" si="127"/>
        <v>0</v>
      </c>
      <c r="V525" s="2908">
        <f t="shared" si="128"/>
        <v>0</v>
      </c>
      <c r="W525" s="956"/>
      <c r="X525" s="2908">
        <f t="shared" si="129"/>
        <v>0</v>
      </c>
      <c r="Y525" s="2908">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8">
        <f t="shared" si="127"/>
        <v>0</v>
      </c>
      <c r="V526" s="2908">
        <f t="shared" si="128"/>
        <v>0</v>
      </c>
      <c r="W526" s="956"/>
      <c r="X526" s="2908">
        <f t="shared" si="129"/>
        <v>0</v>
      </c>
      <c r="Y526" s="2908">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8">
        <f t="shared" si="127"/>
        <v>0</v>
      </c>
      <c r="V527" s="2908">
        <f t="shared" si="128"/>
        <v>0</v>
      </c>
      <c r="W527" s="956"/>
      <c r="X527" s="2908">
        <f t="shared" si="129"/>
        <v>0</v>
      </c>
      <c r="Y527" s="2908">
        <f t="shared" si="130"/>
        <v>0</v>
      </c>
      <c r="Z527" s="95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G53" sqref="G53"/>
    </sheetView>
  </sheetViews>
  <sheetFormatPr defaultColWidth="9" defaultRowHeight="14.25"/>
  <cols>
    <col min="1" max="1" width="10.5" style="1595" customWidth="1"/>
    <col min="2" max="2" width="15.75" style="1595" customWidth="1"/>
    <col min="3" max="3" width="15.12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2003</v>
      </c>
      <c r="C1" s="1567"/>
      <c r="D1" s="1568"/>
      <c r="E1" s="1569" t="s">
        <v>985</v>
      </c>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元</v>
      </c>
      <c r="D2" s="1580"/>
      <c r="E2" s="1581" t="e">
        <f ca="1">SUMIF(INDIRECT("'"&amp;G2&amp;"'"&amp;"!A:A"),"承租人权益价值",INDIRECT("'"&amp;G2&amp;"'"&amp;"!c:c"))</f>
        <v>#REF!</v>
      </c>
      <c r="F2" s="1582" t="str">
        <f>C2</f>
        <v>元</v>
      </c>
      <c r="G2" s="1583"/>
      <c r="H2" s="2910"/>
      <c r="I2" s="2910"/>
      <c r="J2" s="2910"/>
      <c r="K2" s="2911"/>
      <c r="L2" s="2912"/>
      <c r="M2" s="2910"/>
      <c r="N2" s="2910"/>
      <c r="O2" s="2910"/>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2005</v>
      </c>
      <c r="D3" s="1588">
        <f>IF(C1="仅计算典型户型",'数据-取费表'!E5,'数据-取费表'!B5)</f>
        <v>73.739999999999995</v>
      </c>
      <c r="E3" s="2910"/>
      <c r="F3" s="2913"/>
      <c r="G3" s="2910"/>
      <c r="H3" s="2910"/>
      <c r="I3" s="2910"/>
      <c r="J3" s="2910"/>
      <c r="K3" s="2911"/>
      <c r="L3" s="2912"/>
      <c r="M3" s="2910"/>
      <c r="N3" s="2910"/>
      <c r="O3" s="2910"/>
      <c r="P3" s="1589"/>
      <c r="Q3" s="1585"/>
      <c r="R3" s="1585"/>
      <c r="S3" s="1585"/>
      <c r="T3" s="1585"/>
      <c r="U3" s="1585"/>
      <c r="V3" s="1585"/>
      <c r="W3" s="1585"/>
      <c r="X3" s="1585"/>
      <c r="Y3" s="1585"/>
      <c r="Z3" s="1585"/>
      <c r="AA3" s="1585"/>
      <c r="AB3" s="1585"/>
      <c r="AC3" s="1590"/>
    </row>
    <row r="4" spans="1:29" ht="15">
      <c r="A4" s="1591" t="s">
        <v>2006</v>
      </c>
      <c r="B4" s="1592"/>
      <c r="C4" s="3576" t="s">
        <v>2007</v>
      </c>
      <c r="D4" s="3577"/>
      <c r="E4" s="3578" t="s">
        <v>2008</v>
      </c>
      <c r="F4" s="3579"/>
      <c r="G4" s="3576" t="s">
        <v>2009</v>
      </c>
      <c r="H4" s="3577"/>
      <c r="I4" s="3576" t="s">
        <v>2010</v>
      </c>
      <c r="J4" s="3577"/>
      <c r="K4" s="1593" t="s">
        <v>2011</v>
      </c>
      <c r="L4" s="2914"/>
      <c r="M4" s="2915"/>
      <c r="N4" s="2915"/>
      <c r="O4" s="2915"/>
      <c r="P4" s="3580" t="s">
        <v>2012</v>
      </c>
      <c r="Q4" s="3581"/>
      <c r="R4" s="3586" t="s">
        <v>2008</v>
      </c>
      <c r="S4" s="3587"/>
      <c r="T4" s="3586" t="s">
        <v>2009</v>
      </c>
      <c r="U4" s="3587"/>
      <c r="V4" s="3592" t="s">
        <v>2010</v>
      </c>
      <c r="W4" s="3592"/>
      <c r="X4" s="1594"/>
      <c r="Y4" s="3586" t="s">
        <v>2012</v>
      </c>
      <c r="Z4" s="3587"/>
      <c r="AA4" s="3573" t="s">
        <v>2008</v>
      </c>
      <c r="AB4" s="3573" t="s">
        <v>2009</v>
      </c>
      <c r="AC4" s="3573" t="s">
        <v>2010</v>
      </c>
    </row>
    <row r="5" spans="1:29" ht="15">
      <c r="A5" s="1596"/>
      <c r="B5" s="1597"/>
      <c r="C5" s="3633" t="s">
        <v>2013</v>
      </c>
      <c r="D5" s="3570"/>
      <c r="E5" s="3632" t="s">
        <v>2014</v>
      </c>
      <c r="F5" s="3594"/>
      <c r="G5" s="3633" t="s">
        <v>2015</v>
      </c>
      <c r="H5" s="3570"/>
      <c r="I5" s="3633" t="s">
        <v>2016</v>
      </c>
      <c r="J5" s="3570"/>
      <c r="K5" s="1598"/>
      <c r="L5" s="2914"/>
      <c r="M5" s="2915"/>
      <c r="N5" s="2915"/>
      <c r="O5" s="2915"/>
      <c r="P5" s="3582"/>
      <c r="Q5" s="3583"/>
      <c r="R5" s="3588"/>
      <c r="S5" s="3589"/>
      <c r="T5" s="3588"/>
      <c r="U5" s="3589"/>
      <c r="V5" s="3592"/>
      <c r="W5" s="3592"/>
      <c r="X5" s="1594"/>
      <c r="Y5" s="3588"/>
      <c r="Z5" s="3589"/>
      <c r="AA5" s="3574"/>
      <c r="AB5" s="3574"/>
      <c r="AC5" s="3574"/>
    </row>
    <row r="6" spans="1:29" ht="15.75" thickBot="1">
      <c r="A6" s="1599"/>
      <c r="B6" s="1600"/>
      <c r="C6" s="3566" t="s">
        <v>2017</v>
      </c>
      <c r="D6" s="3567"/>
      <c r="E6" s="3564" t="s">
        <v>2017</v>
      </c>
      <c r="F6" s="3565"/>
      <c r="G6" s="3566" t="s">
        <v>2017</v>
      </c>
      <c r="H6" s="3567"/>
      <c r="I6" s="3566" t="s">
        <v>2017</v>
      </c>
      <c r="J6" s="3567"/>
      <c r="K6" s="1598" t="s">
        <v>2018</v>
      </c>
      <c r="L6" s="2914"/>
      <c r="M6" s="2915"/>
      <c r="N6" s="2915"/>
      <c r="O6" s="2915"/>
      <c r="P6" s="3584"/>
      <c r="Q6" s="3585"/>
      <c r="R6" s="3588"/>
      <c r="S6" s="3589"/>
      <c r="T6" s="3590"/>
      <c r="U6" s="3591"/>
      <c r="V6" s="3592"/>
      <c r="W6" s="3592"/>
      <c r="X6" s="1594"/>
      <c r="Y6" s="3590"/>
      <c r="Z6" s="3591"/>
      <c r="AA6" s="3575"/>
      <c r="AB6" s="3575"/>
      <c r="AC6" s="3575"/>
    </row>
    <row r="7" spans="1:29" s="1613" customFormat="1" ht="15.75" thickBot="1">
      <c r="A7" s="1601" t="s">
        <v>2019</v>
      </c>
      <c r="B7" s="1602"/>
      <c r="C7" s="1603">
        <f>'数据-取费表'!B2</f>
        <v>44675</v>
      </c>
      <c r="D7" s="1604">
        <v>100</v>
      </c>
      <c r="E7" s="1605"/>
      <c r="F7" s="1606">
        <f>SUMIF(58:58,YEAR(E7)&amp;"-"&amp;MONTH(E7),59:59)</f>
        <v>0</v>
      </c>
      <c r="G7" s="1605"/>
      <c r="H7" s="1604">
        <f>SUMIF(58:58,YEAR(G7)&amp;"-"&amp;MONTH(G7),59:59)</f>
        <v>0</v>
      </c>
      <c r="I7" s="1605"/>
      <c r="J7" s="1604">
        <f>SUMIF(58:58,YEAR(I7)&amp;"-"&amp;MONTH(I7),59:59)</f>
        <v>0</v>
      </c>
      <c r="K7" s="1607"/>
      <c r="L7" s="2914"/>
      <c r="M7" s="2887"/>
      <c r="N7" s="2887"/>
      <c r="O7" s="2887"/>
      <c r="P7" s="3571" t="s">
        <v>2020</v>
      </c>
      <c r="Q7" s="3595"/>
      <c r="R7" s="1609" t="s">
        <v>34</v>
      </c>
      <c r="S7" s="1610">
        <f t="shared" ref="S7:S15" si="0">F7</f>
        <v>0</v>
      </c>
      <c r="T7" s="1609" t="s">
        <v>34</v>
      </c>
      <c r="U7" s="1610">
        <f t="shared" ref="U7:U15" si="1">H7</f>
        <v>0</v>
      </c>
      <c r="V7" s="1609" t="s">
        <v>34</v>
      </c>
      <c r="W7" s="1610">
        <f t="shared" ref="W7:W15" si="2">J7</f>
        <v>0</v>
      </c>
      <c r="X7" s="1611"/>
      <c r="Y7" s="3571" t="s">
        <v>2020</v>
      </c>
      <c r="Z7" s="3572"/>
      <c r="AA7" s="1612" t="e">
        <f>D7/F7</f>
        <v>#DIV/0!</v>
      </c>
      <c r="AB7" s="1612" t="e">
        <f>D7/H7</f>
        <v>#DIV/0!</v>
      </c>
      <c r="AC7" s="1612" t="e">
        <f>D7/J7</f>
        <v>#DIV/0!</v>
      </c>
    </row>
    <row r="8" spans="1:29" s="1613" customFormat="1" ht="15.75" thickBot="1">
      <c r="A8" s="1601" t="s">
        <v>2021</v>
      </c>
      <c r="B8" s="1602"/>
      <c r="C8" s="1614" t="s">
        <v>2022</v>
      </c>
      <c r="D8" s="1604">
        <v>100</v>
      </c>
      <c r="E8" s="1615"/>
      <c r="F8" s="1606">
        <f>SUMIF(61:61,E8,62:62)-SUMIF(61:61,C8,62:62)+100</f>
        <v>0</v>
      </c>
      <c r="G8" s="1614"/>
      <c r="H8" s="1604">
        <f>SUMIF(61:61,G8,62:62)-SUMIF(61:61,C8,62:62)+100</f>
        <v>0</v>
      </c>
      <c r="I8" s="1615"/>
      <c r="J8" s="1604">
        <f>SUMIF(61:61,I8,62:62)-SUMIF(61:61,C8,62:62)+100</f>
        <v>0</v>
      </c>
      <c r="K8" s="1607"/>
      <c r="L8" s="2914"/>
      <c r="M8" s="2887"/>
      <c r="N8" s="2887"/>
      <c r="O8" s="2887"/>
      <c r="P8" s="3571" t="s">
        <v>2023</v>
      </c>
      <c r="Q8" s="3572"/>
      <c r="R8" s="1609" t="s">
        <v>34</v>
      </c>
      <c r="S8" s="1610">
        <f t="shared" si="0"/>
        <v>0</v>
      </c>
      <c r="T8" s="1609" t="s">
        <v>34</v>
      </c>
      <c r="U8" s="1610">
        <f t="shared" si="1"/>
        <v>0</v>
      </c>
      <c r="V8" s="1609" t="s">
        <v>34</v>
      </c>
      <c r="W8" s="1610">
        <f t="shared" si="2"/>
        <v>0</v>
      </c>
      <c r="X8" s="1611"/>
      <c r="Y8" s="3571" t="s">
        <v>2023</v>
      </c>
      <c r="Z8" s="3572"/>
      <c r="AA8" s="1612" t="e">
        <f t="shared" ref="AA8:AA46" si="3">D8/F8</f>
        <v>#DIV/0!</v>
      </c>
      <c r="AB8" s="1612" t="e">
        <f t="shared" ref="AB8:AB46" si="4">D8/H8</f>
        <v>#DIV/0!</v>
      </c>
      <c r="AC8" s="1612" t="e">
        <f t="shared" ref="AC8:AC46" si="5">D8/J8</f>
        <v>#DIV/0!</v>
      </c>
    </row>
    <row r="9" spans="1:29" s="1613" customFormat="1">
      <c r="A9" s="1564" t="s">
        <v>2024</v>
      </c>
      <c r="B9" s="1616" t="s">
        <v>2025</v>
      </c>
      <c r="C9" s="1617"/>
      <c r="D9" s="1618">
        <v>100</v>
      </c>
      <c r="E9" s="1619"/>
      <c r="F9" s="1620">
        <f>SUMIF(63:63,E9,64:64)-SUMIF(63:63,C9,64:64)+100</f>
        <v>100</v>
      </c>
      <c r="G9" s="1621"/>
      <c r="H9" s="1618">
        <f>SUMIF(63:63,G9,64:64)-SUMIF(63:63,C9,64:64)+100</f>
        <v>100</v>
      </c>
      <c r="I9" s="1621"/>
      <c r="J9" s="1618">
        <f>SUMIF(63:63,I9,64:64)-SUMIF(63:63,C9,64:64)+100</f>
        <v>100</v>
      </c>
      <c r="K9" s="1607"/>
      <c r="L9" s="2914"/>
      <c r="M9" s="2887"/>
      <c r="N9" s="2887"/>
      <c r="O9" s="2887"/>
      <c r="P9" s="3637" t="s">
        <v>2026</v>
      </c>
      <c r="Q9" s="1563" t="str">
        <f t="shared" ref="Q9:Q15" si="6">B9</f>
        <v>用途</v>
      </c>
      <c r="R9" s="1609" t="s">
        <v>25</v>
      </c>
      <c r="S9" s="1610">
        <f t="shared" si="0"/>
        <v>100</v>
      </c>
      <c r="T9" s="1609" t="s">
        <v>25</v>
      </c>
      <c r="U9" s="1610">
        <f t="shared" si="1"/>
        <v>100</v>
      </c>
      <c r="V9" s="1609" t="s">
        <v>25</v>
      </c>
      <c r="W9" s="1610">
        <f t="shared" si="2"/>
        <v>100</v>
      </c>
      <c r="X9" s="1611"/>
      <c r="Y9" s="3494"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629"/>
      <c r="L10" s="2916"/>
      <c r="M10" s="2917"/>
      <c r="N10" s="2917"/>
      <c r="O10" s="2917"/>
      <c r="P10" s="3637"/>
      <c r="Q10" s="1563" t="str">
        <f t="shared" si="6"/>
        <v>土地使用年限（年）</v>
      </c>
      <c r="R10" s="1609" t="s">
        <v>25</v>
      </c>
      <c r="S10" s="1610">
        <f t="shared" si="0"/>
        <v>100</v>
      </c>
      <c r="T10" s="1609" t="s">
        <v>25</v>
      </c>
      <c r="U10" s="1610">
        <f t="shared" si="1"/>
        <v>100</v>
      </c>
      <c r="V10" s="1609" t="s">
        <v>25</v>
      </c>
      <c r="W10" s="1610">
        <f t="shared" si="2"/>
        <v>100</v>
      </c>
      <c r="X10" s="1611"/>
      <c r="Y10" s="3494"/>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8"/>
      <c r="M11" s="2915"/>
      <c r="N11" s="2915"/>
      <c r="O11" s="2915"/>
      <c r="P11" s="3637"/>
      <c r="Q11" s="1563" t="str">
        <f t="shared" si="6"/>
        <v>容积率</v>
      </c>
      <c r="R11" s="1609" t="s">
        <v>28</v>
      </c>
      <c r="S11" s="1610" t="e">
        <f t="shared" si="0"/>
        <v>#N/A</v>
      </c>
      <c r="T11" s="1609" t="s">
        <v>28</v>
      </c>
      <c r="U11" s="1610" t="e">
        <f t="shared" si="1"/>
        <v>#N/A</v>
      </c>
      <c r="V11" s="1609" t="s">
        <v>28</v>
      </c>
      <c r="W11" s="1610" t="e">
        <f t="shared" si="2"/>
        <v>#N/A</v>
      </c>
      <c r="X11" s="1611"/>
      <c r="Y11" s="3494"/>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4"/>
      <c r="M12" s="2887"/>
      <c r="N12" s="2887"/>
      <c r="O12" s="2887"/>
      <c r="P12" s="3637"/>
      <c r="Q12" s="1563">
        <f t="shared" si="6"/>
        <v>111</v>
      </c>
      <c r="R12" s="1609" t="s">
        <v>28</v>
      </c>
      <c r="S12" s="1610">
        <f t="shared" si="0"/>
        <v>100</v>
      </c>
      <c r="T12" s="1609" t="s">
        <v>28</v>
      </c>
      <c r="U12" s="1610">
        <f t="shared" si="1"/>
        <v>100</v>
      </c>
      <c r="V12" s="1609" t="s">
        <v>28</v>
      </c>
      <c r="W12" s="1610">
        <f t="shared" si="2"/>
        <v>100</v>
      </c>
      <c r="X12" s="1611"/>
      <c r="Y12" s="3494"/>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19"/>
      <c r="M13" s="2915"/>
      <c r="N13" s="2915"/>
      <c r="O13" s="2915"/>
      <c r="P13" s="3637"/>
      <c r="Q13" s="1563">
        <f t="shared" si="6"/>
        <v>111</v>
      </c>
      <c r="R13" s="1609" t="s">
        <v>28</v>
      </c>
      <c r="S13" s="1610">
        <f t="shared" si="0"/>
        <v>100</v>
      </c>
      <c r="T13" s="1609" t="s">
        <v>28</v>
      </c>
      <c r="U13" s="1610">
        <f t="shared" si="1"/>
        <v>100</v>
      </c>
      <c r="V13" s="1609" t="s">
        <v>28</v>
      </c>
      <c r="W13" s="1610">
        <f t="shared" si="2"/>
        <v>100</v>
      </c>
      <c r="X13" s="1611"/>
      <c r="Y13" s="3494"/>
      <c r="Z13" s="1622">
        <f t="shared" si="7"/>
        <v>111</v>
      </c>
      <c r="AA13" s="1612">
        <f t="shared" si="3"/>
        <v>1</v>
      </c>
      <c r="AB13" s="1612">
        <f t="shared" si="4"/>
        <v>1</v>
      </c>
      <c r="AC13" s="1612">
        <f t="shared" si="5"/>
        <v>1</v>
      </c>
    </row>
    <row r="14" spans="1:29" ht="15.75"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19"/>
      <c r="M14" s="2915"/>
      <c r="N14" s="2915"/>
      <c r="O14" s="2915"/>
      <c r="P14" s="3637"/>
      <c r="Q14" s="1563">
        <f t="shared" si="6"/>
        <v>111</v>
      </c>
      <c r="R14" s="1609" t="s">
        <v>28</v>
      </c>
      <c r="S14" s="1610">
        <f t="shared" si="0"/>
        <v>100</v>
      </c>
      <c r="T14" s="1609" t="s">
        <v>28</v>
      </c>
      <c r="U14" s="1610">
        <f t="shared" si="1"/>
        <v>100</v>
      </c>
      <c r="V14" s="1609" t="s">
        <v>28</v>
      </c>
      <c r="W14" s="1610">
        <f t="shared" si="2"/>
        <v>100</v>
      </c>
      <c r="X14" s="1611"/>
      <c r="Y14" s="3494"/>
      <c r="Z14" s="1622">
        <f t="shared" si="7"/>
        <v>111</v>
      </c>
      <c r="AA14" s="1612">
        <f t="shared" si="3"/>
        <v>1</v>
      </c>
      <c r="AB14" s="1612">
        <f t="shared" si="4"/>
        <v>1</v>
      </c>
      <c r="AC14" s="1612">
        <f t="shared" si="5"/>
        <v>1</v>
      </c>
    </row>
    <row r="15" spans="1:29" ht="99.75">
      <c r="A15" s="1646" t="s">
        <v>2030</v>
      </c>
      <c r="B15" s="1647" t="s">
        <v>1464</v>
      </c>
      <c r="C15" s="1648" t="str">
        <f>估价对象房地状况!C3</f>
        <v>估价对象周边居住用地比例、居住小区规模和社区发展完善程度，综合评价居住社区成熟度一般</v>
      </c>
      <c r="D15" s="1649">
        <v>100</v>
      </c>
      <c r="E15" s="1650"/>
      <c r="F15" s="1651">
        <f>SUMIF(76:76,E16,77:77)-SUMIF(76:76,C16,77:77)+100</f>
        <v>100</v>
      </c>
      <c r="G15" s="1652"/>
      <c r="H15" s="1649">
        <f>SUMIF(76:76,G16,77:77)-SUMIF(76:76,C16,77:77)+100</f>
        <v>100</v>
      </c>
      <c r="I15" s="1650"/>
      <c r="J15" s="1649">
        <f>SUMIF(76:76,I16,77:77)-SUMIF(76:76,C16,77:77)+100</f>
        <v>100</v>
      </c>
      <c r="K15" s="1653"/>
      <c r="L15" s="2919"/>
      <c r="M15" s="2915"/>
      <c r="N15" s="2915"/>
      <c r="O15" s="2915"/>
      <c r="P15" s="3638" t="s">
        <v>2031</v>
      </c>
      <c r="Q15" s="1544" t="str">
        <f t="shared" si="6"/>
        <v>居住社区成熟度</v>
      </c>
      <c r="R15" s="1654" t="s">
        <v>28</v>
      </c>
      <c r="S15" s="1655">
        <f t="shared" si="0"/>
        <v>100</v>
      </c>
      <c r="T15" s="1654" t="s">
        <v>28</v>
      </c>
      <c r="U15" s="1655">
        <f t="shared" si="1"/>
        <v>100</v>
      </c>
      <c r="V15" s="1654" t="s">
        <v>28</v>
      </c>
      <c r="W15" s="1655">
        <f t="shared" si="2"/>
        <v>100</v>
      </c>
      <c r="X15" s="1594"/>
      <c r="Y15" s="3596" t="s">
        <v>2031</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19"/>
      <c r="M16" s="2915"/>
      <c r="N16" s="2915"/>
      <c r="O16" s="2915"/>
      <c r="P16" s="3639"/>
      <c r="Q16" s="1544"/>
      <c r="R16" s="1654"/>
      <c r="S16" s="1655"/>
      <c r="T16" s="1654"/>
      <c r="U16" s="1655"/>
      <c r="V16" s="1654"/>
      <c r="W16" s="1655"/>
      <c r="X16" s="1594"/>
      <c r="Y16" s="3597"/>
      <c r="Z16" s="1656"/>
      <c r="AA16" s="1657">
        <v>1</v>
      </c>
      <c r="AB16" s="1657">
        <v>1</v>
      </c>
      <c r="AC16" s="1657">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1653"/>
      <c r="L17" s="2919"/>
      <c r="M17" s="2915"/>
      <c r="N17" s="2915"/>
      <c r="O17" s="2915"/>
      <c r="P17" s="3639"/>
      <c r="Q17" s="1544" t="str">
        <f>B17</f>
        <v>交通便捷度</v>
      </c>
      <c r="R17" s="1654" t="s">
        <v>28</v>
      </c>
      <c r="S17" s="1655">
        <f>F17</f>
        <v>100</v>
      </c>
      <c r="T17" s="1654" t="s">
        <v>28</v>
      </c>
      <c r="U17" s="1655">
        <f>H17</f>
        <v>100</v>
      </c>
      <c r="V17" s="1654" t="s">
        <v>28</v>
      </c>
      <c r="W17" s="1655">
        <f>J17</f>
        <v>100</v>
      </c>
      <c r="X17" s="1594"/>
      <c r="Y17" s="3597"/>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19"/>
      <c r="M18" s="2915"/>
      <c r="N18" s="2915"/>
      <c r="O18" s="2915"/>
      <c r="P18" s="3639"/>
      <c r="Q18" s="1544"/>
      <c r="R18" s="1654"/>
      <c r="S18" s="1655"/>
      <c r="T18" s="1654"/>
      <c r="U18" s="1655"/>
      <c r="V18" s="1654"/>
      <c r="W18" s="1655"/>
      <c r="X18" s="1594"/>
      <c r="Y18" s="3597"/>
      <c r="Z18" s="1656"/>
      <c r="AA18" s="1657">
        <v>1</v>
      </c>
      <c r="AB18" s="1657">
        <v>1</v>
      </c>
      <c r="AC18" s="1657">
        <v>1</v>
      </c>
    </row>
    <row r="19" spans="1:29" ht="42.75">
      <c r="A19" s="1631"/>
      <c r="B19" s="1666" t="s">
        <v>1465</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1653"/>
      <c r="L19" s="2919"/>
      <c r="M19" s="2915"/>
      <c r="N19" s="2915"/>
      <c r="O19" s="2915"/>
      <c r="P19" s="3639"/>
      <c r="Q19" s="1544" t="str">
        <f>B19</f>
        <v>公共配套设施</v>
      </c>
      <c r="R19" s="1654" t="s">
        <v>28</v>
      </c>
      <c r="S19" s="1655">
        <f>F19</f>
        <v>100</v>
      </c>
      <c r="T19" s="1654" t="s">
        <v>28</v>
      </c>
      <c r="U19" s="1655">
        <f>H19</f>
        <v>100</v>
      </c>
      <c r="V19" s="1654" t="s">
        <v>28</v>
      </c>
      <c r="W19" s="1655">
        <f>J19</f>
        <v>100</v>
      </c>
      <c r="X19" s="1594"/>
      <c r="Y19" s="3597"/>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19"/>
      <c r="M20" s="2915"/>
      <c r="N20" s="2915"/>
      <c r="O20" s="2915"/>
      <c r="P20" s="3639"/>
      <c r="Q20" s="1544"/>
      <c r="R20" s="1654"/>
      <c r="S20" s="1655"/>
      <c r="T20" s="1654"/>
      <c r="U20" s="1655"/>
      <c r="V20" s="1654"/>
      <c r="W20" s="1655"/>
      <c r="X20" s="1594"/>
      <c r="Y20" s="3597"/>
      <c r="Z20" s="1656"/>
      <c r="AA20" s="1657">
        <v>1</v>
      </c>
      <c r="AB20" s="1657">
        <v>1</v>
      </c>
      <c r="AC20" s="1657">
        <v>1</v>
      </c>
    </row>
    <row r="21" spans="1:29" ht="28.5">
      <c r="A21" s="1631"/>
      <c r="B21" s="1679" t="s">
        <v>1467</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1653"/>
      <c r="L21" s="2919"/>
      <c r="M21" s="2915"/>
      <c r="N21" s="2915"/>
      <c r="O21" s="2915"/>
      <c r="P21" s="3639"/>
      <c r="Q21" s="1544" t="str">
        <f>B21</f>
        <v>基础设施水平</v>
      </c>
      <c r="R21" s="1654" t="s">
        <v>28</v>
      </c>
      <c r="S21" s="1655">
        <f>F21</f>
        <v>100</v>
      </c>
      <c r="T21" s="1654" t="s">
        <v>28</v>
      </c>
      <c r="U21" s="1655">
        <f>H21</f>
        <v>100</v>
      </c>
      <c r="V21" s="1654" t="s">
        <v>28</v>
      </c>
      <c r="W21" s="1655">
        <f>J21</f>
        <v>100</v>
      </c>
      <c r="X21" s="1594"/>
      <c r="Y21" s="3597"/>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19"/>
      <c r="M22" s="2915"/>
      <c r="N22" s="2915"/>
      <c r="O22" s="2915"/>
      <c r="P22" s="3639"/>
      <c r="Q22" s="1544"/>
      <c r="R22" s="1654"/>
      <c r="S22" s="1655"/>
      <c r="T22" s="1654"/>
      <c r="U22" s="1655"/>
      <c r="V22" s="1654"/>
      <c r="W22" s="1655"/>
      <c r="X22" s="1594"/>
      <c r="Y22" s="3597"/>
      <c r="Z22" s="1656"/>
      <c r="AA22" s="1657">
        <v>1</v>
      </c>
      <c r="AB22" s="1657">
        <v>1</v>
      </c>
      <c r="AC22" s="1657">
        <v>1</v>
      </c>
    </row>
    <row r="23" spans="1:29" ht="57">
      <c r="A23" s="1631"/>
      <c r="B23" s="1666" t="s">
        <v>1468</v>
      </c>
      <c r="C23" s="1667"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1653"/>
      <c r="L23" s="2919"/>
      <c r="M23" s="2915"/>
      <c r="N23" s="2915"/>
      <c r="O23" s="2915"/>
      <c r="P23" s="3639"/>
      <c r="Q23" s="1544" t="str">
        <f>B23</f>
        <v>自然及人文环境</v>
      </c>
      <c r="R23" s="1654" t="s">
        <v>28</v>
      </c>
      <c r="S23" s="1655">
        <f>F23</f>
        <v>100</v>
      </c>
      <c r="T23" s="1654" t="s">
        <v>28</v>
      </c>
      <c r="U23" s="1655">
        <f>H23</f>
        <v>100</v>
      </c>
      <c r="V23" s="1654" t="s">
        <v>28</v>
      </c>
      <c r="W23" s="1655">
        <f>J23</f>
        <v>100</v>
      </c>
      <c r="X23" s="1594"/>
      <c r="Y23" s="3597"/>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19"/>
      <c r="M24" s="2915"/>
      <c r="N24" s="2915"/>
      <c r="O24" s="2915"/>
      <c r="P24" s="3639"/>
      <c r="Q24" s="1544"/>
      <c r="R24" s="1654"/>
      <c r="S24" s="1655"/>
      <c r="T24" s="1654"/>
      <c r="U24" s="1655"/>
      <c r="V24" s="1654"/>
      <c r="W24" s="1655"/>
      <c r="X24" s="1594"/>
      <c r="Y24" s="3597"/>
      <c r="Z24" s="1656"/>
      <c r="AA24" s="1657">
        <v>1</v>
      </c>
      <c r="AB24" s="1657">
        <v>1</v>
      </c>
      <c r="AC24" s="1657">
        <v>1</v>
      </c>
    </row>
    <row r="25" spans="1:29" ht="15">
      <c r="A25" s="1631"/>
      <c r="B25" s="1624" t="s">
        <v>2032</v>
      </c>
      <c r="C25" s="1681"/>
      <c r="D25" s="1640">
        <v>100</v>
      </c>
      <c r="E25" s="1682"/>
      <c r="F25" s="1683">
        <f>SUMIF(86:86,E25,87:87)-SUMIF(86:86,C25,87:87)+100</f>
        <v>100</v>
      </c>
      <c r="G25" s="1684"/>
      <c r="H25" s="1640">
        <f>SUMIF(86:86,G25,87:87)-SUMIF(86:86,C25,87:87)+100</f>
        <v>100</v>
      </c>
      <c r="I25" s="1682"/>
      <c r="J25" s="1640">
        <f>SUMIF(86:86,I25,87:87)-SUMIF(86:86,C25,87:87)+100</f>
        <v>100</v>
      </c>
      <c r="K25" s="1629"/>
      <c r="L25" s="2919"/>
      <c r="M25" s="2915"/>
      <c r="N25" s="2915"/>
      <c r="O25" s="2915"/>
      <c r="P25" s="3639"/>
      <c r="Q25" s="1544" t="str">
        <f t="shared" ref="Q25:Q46" si="11">B25</f>
        <v>楼层-1</v>
      </c>
      <c r="R25" s="1654" t="s">
        <v>28</v>
      </c>
      <c r="S25" s="1655">
        <f>F25</f>
        <v>100</v>
      </c>
      <c r="T25" s="1654" t="s">
        <v>28</v>
      </c>
      <c r="U25" s="1655">
        <f>H25</f>
        <v>100</v>
      </c>
      <c r="V25" s="1654" t="s">
        <v>28</v>
      </c>
      <c r="W25" s="1655">
        <f>J25</f>
        <v>100</v>
      </c>
      <c r="X25" s="1594"/>
      <c r="Y25" s="3597"/>
      <c r="Z25" s="1656" t="str">
        <f>Q25</f>
        <v>楼层-1</v>
      </c>
      <c r="AA25" s="1657">
        <f t="shared" si="3"/>
        <v>1</v>
      </c>
      <c r="AB25" s="1657">
        <f t="shared" si="4"/>
        <v>1</v>
      </c>
      <c r="AC25" s="1657">
        <f t="shared" si="5"/>
        <v>1</v>
      </c>
    </row>
    <row r="26" spans="1:29" ht="15">
      <c r="A26" s="1631"/>
      <c r="B26" s="1624" t="s">
        <v>2033</v>
      </c>
      <c r="C26" s="1681"/>
      <c r="D26" s="1640">
        <v>100</v>
      </c>
      <c r="E26" s="1682"/>
      <c r="F26" s="1683">
        <f>SUMIF(88:88,E26,89:89)-SUMIF(88:88,C26,89:89)+100</f>
        <v>100</v>
      </c>
      <c r="G26" s="1684"/>
      <c r="H26" s="1640">
        <f>SUMIF(88:88,G26,89:89)-SUMIF(88:88,C26,89:89)+100</f>
        <v>100</v>
      </c>
      <c r="I26" s="1682"/>
      <c r="J26" s="1640">
        <f>SUMIF(88:88,I26,89:89)-SUMIF(88:88,C26,89:89)+100</f>
        <v>100</v>
      </c>
      <c r="K26" s="1629"/>
      <c r="L26" s="2919"/>
      <c r="M26" s="2915"/>
      <c r="N26" s="2915"/>
      <c r="O26" s="2915"/>
      <c r="P26" s="3639"/>
      <c r="Q26" s="1544" t="str">
        <f t="shared" si="11"/>
        <v>朝向</v>
      </c>
      <c r="R26" s="1654" t="s">
        <v>28</v>
      </c>
      <c r="S26" s="1655">
        <f>F26</f>
        <v>100</v>
      </c>
      <c r="T26" s="1654" t="s">
        <v>28</v>
      </c>
      <c r="U26" s="1655">
        <f>H26</f>
        <v>100</v>
      </c>
      <c r="V26" s="1654" t="s">
        <v>28</v>
      </c>
      <c r="W26" s="1655">
        <f>J26</f>
        <v>100</v>
      </c>
      <c r="X26" s="1594"/>
      <c r="Y26" s="3597"/>
      <c r="Z26" s="1656" t="str">
        <f>Q26</f>
        <v>朝向</v>
      </c>
      <c r="AA26" s="1657">
        <f t="shared" si="3"/>
        <v>1</v>
      </c>
      <c r="AB26" s="1657">
        <f t="shared" si="4"/>
        <v>1</v>
      </c>
      <c r="AC26" s="1657">
        <f t="shared" si="5"/>
        <v>1</v>
      </c>
    </row>
    <row r="27" spans="1:29" s="1613" customFormat="1" ht="15">
      <c r="A27" s="1634"/>
      <c r="B27" s="1635" t="s">
        <v>2034</v>
      </c>
      <c r="C27" s="1636"/>
      <c r="D27" s="1685">
        <v>100</v>
      </c>
      <c r="E27" s="1686"/>
      <c r="F27" s="1687">
        <f>SUMIF(90:90,E27,91:91)-SUMIF(90:90,C27,91:91)+100</f>
        <v>100</v>
      </c>
      <c r="G27" s="1688"/>
      <c r="H27" s="1685">
        <f>SUMIF(90:90,G27,91:91)-SUMIF(90:90,C27,91:91)+100</f>
        <v>100</v>
      </c>
      <c r="I27" s="1686"/>
      <c r="J27" s="1685">
        <f>SUMIF(90:90,I27,91:91)-SUMIF(90:90,C27,91:91)+100</f>
        <v>100</v>
      </c>
      <c r="K27" s="1638"/>
      <c r="L27" s="2914"/>
      <c r="M27" s="2887"/>
      <c r="N27" s="2887"/>
      <c r="O27" s="2887"/>
      <c r="P27" s="3639"/>
      <c r="Q27" s="1563" t="str">
        <f t="shared" si="11"/>
        <v>道路级别</v>
      </c>
      <c r="R27" s="1609" t="s">
        <v>28</v>
      </c>
      <c r="S27" s="1610">
        <f>F27</f>
        <v>100</v>
      </c>
      <c r="T27" s="1609" t="s">
        <v>28</v>
      </c>
      <c r="U27" s="1610">
        <f>H27</f>
        <v>100</v>
      </c>
      <c r="V27" s="1609" t="s">
        <v>28</v>
      </c>
      <c r="W27" s="1610">
        <f>J27</f>
        <v>100</v>
      </c>
      <c r="X27" s="1611"/>
      <c r="Y27" s="3597"/>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19"/>
      <c r="M28" s="2915"/>
      <c r="N28" s="2915"/>
      <c r="O28" s="2915"/>
      <c r="P28" s="3639"/>
      <c r="Q28" s="1544">
        <f t="shared" si="11"/>
        <v>111</v>
      </c>
      <c r="R28" s="1654" t="s">
        <v>28</v>
      </c>
      <c r="S28" s="1655">
        <f t="shared" ref="S28:S46" si="12">F28</f>
        <v>100</v>
      </c>
      <c r="T28" s="1654" t="s">
        <v>28</v>
      </c>
      <c r="U28" s="1655">
        <f t="shared" ref="U28:U46" si="13">H28</f>
        <v>100</v>
      </c>
      <c r="V28" s="1654" t="s">
        <v>28</v>
      </c>
      <c r="W28" s="1655">
        <f t="shared" ref="W28:W46" si="14">J28</f>
        <v>100</v>
      </c>
      <c r="X28" s="1594"/>
      <c r="Y28" s="3597"/>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19"/>
      <c r="M29" s="2915"/>
      <c r="N29" s="2915"/>
      <c r="O29" s="2915"/>
      <c r="P29" s="3639"/>
      <c r="Q29" s="1544">
        <f t="shared" si="11"/>
        <v>111</v>
      </c>
      <c r="R29" s="1654" t="s">
        <v>28</v>
      </c>
      <c r="S29" s="1655">
        <f t="shared" si="12"/>
        <v>100</v>
      </c>
      <c r="T29" s="1654" t="s">
        <v>28</v>
      </c>
      <c r="U29" s="1655">
        <f t="shared" si="13"/>
        <v>100</v>
      </c>
      <c r="V29" s="1654" t="s">
        <v>28</v>
      </c>
      <c r="W29" s="1655">
        <f t="shared" si="14"/>
        <v>100</v>
      </c>
      <c r="X29" s="1594"/>
      <c r="Y29" s="3597"/>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19"/>
      <c r="M30" s="2915"/>
      <c r="N30" s="2915"/>
      <c r="O30" s="2915"/>
      <c r="P30" s="3639"/>
      <c r="Q30" s="1544">
        <f t="shared" si="11"/>
        <v>111</v>
      </c>
      <c r="R30" s="1654" t="s">
        <v>28</v>
      </c>
      <c r="S30" s="1655">
        <f t="shared" si="12"/>
        <v>100</v>
      </c>
      <c r="T30" s="1654" t="s">
        <v>28</v>
      </c>
      <c r="U30" s="1655">
        <f t="shared" si="13"/>
        <v>100</v>
      </c>
      <c r="V30" s="1654" t="s">
        <v>28</v>
      </c>
      <c r="W30" s="1655">
        <f t="shared" si="14"/>
        <v>100</v>
      </c>
      <c r="X30" s="1594"/>
      <c r="Y30" s="3597"/>
      <c r="Z30" s="1656">
        <f t="shared" si="15"/>
        <v>111</v>
      </c>
      <c r="AA30" s="1657">
        <f t="shared" si="3"/>
        <v>1</v>
      </c>
      <c r="AB30" s="1657">
        <f t="shared" si="4"/>
        <v>1</v>
      </c>
      <c r="AC30" s="1657">
        <f t="shared" si="5"/>
        <v>1</v>
      </c>
    </row>
    <row r="31" spans="1:29" ht="15.75"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19"/>
      <c r="M31" s="2915"/>
      <c r="N31" s="2915"/>
      <c r="O31" s="2915"/>
      <c r="P31" s="3639"/>
      <c r="Q31" s="1544">
        <f t="shared" si="11"/>
        <v>111</v>
      </c>
      <c r="R31" s="1654" t="s">
        <v>28</v>
      </c>
      <c r="S31" s="1655">
        <f t="shared" si="12"/>
        <v>100</v>
      </c>
      <c r="T31" s="1654" t="s">
        <v>28</v>
      </c>
      <c r="U31" s="1655">
        <f t="shared" si="13"/>
        <v>100</v>
      </c>
      <c r="V31" s="1654" t="s">
        <v>28</v>
      </c>
      <c r="W31" s="1655">
        <f t="shared" si="14"/>
        <v>100</v>
      </c>
      <c r="X31" s="1594"/>
      <c r="Y31" s="3597"/>
      <c r="Z31" s="1656">
        <f t="shared" si="15"/>
        <v>111</v>
      </c>
      <c r="AA31" s="1657">
        <f t="shared" si="3"/>
        <v>1</v>
      </c>
      <c r="AB31" s="1657">
        <f t="shared" si="4"/>
        <v>1</v>
      </c>
      <c r="AC31" s="1657">
        <f t="shared" si="5"/>
        <v>1</v>
      </c>
    </row>
    <row r="32" spans="1:29" ht="15">
      <c r="A32" s="1646" t="s">
        <v>2035</v>
      </c>
      <c r="B32" s="1616" t="s">
        <v>2036</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19"/>
      <c r="M32" s="2915"/>
      <c r="N32" s="2915"/>
      <c r="O32" s="2915"/>
      <c r="P32" s="3634" t="s">
        <v>2037</v>
      </c>
      <c r="Q32" s="1544" t="str">
        <f t="shared" si="11"/>
        <v>建筑类型</v>
      </c>
      <c r="R32" s="1654" t="s">
        <v>28</v>
      </c>
      <c r="S32" s="1655">
        <f t="shared" si="12"/>
        <v>100</v>
      </c>
      <c r="T32" s="1654" t="s">
        <v>28</v>
      </c>
      <c r="U32" s="1655">
        <f t="shared" si="13"/>
        <v>100</v>
      </c>
      <c r="V32" s="1654" t="s">
        <v>28</v>
      </c>
      <c r="W32" s="1655">
        <f t="shared" si="14"/>
        <v>100</v>
      </c>
      <c r="X32" s="1594"/>
      <c r="Y32" s="3599" t="s">
        <v>2037</v>
      </c>
      <c r="Z32" s="1656" t="str">
        <f t="shared" si="15"/>
        <v>建筑类型</v>
      </c>
      <c r="AA32" s="1657">
        <f t="shared" si="3"/>
        <v>1</v>
      </c>
      <c r="AB32" s="1657">
        <f t="shared" si="4"/>
        <v>1</v>
      </c>
      <c r="AC32" s="1657">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8"/>
      <c r="M33" s="1988"/>
      <c r="N33" s="1988"/>
      <c r="O33" s="1988"/>
      <c r="P33" s="3635"/>
      <c r="Q33" s="1695" t="str">
        <f t="shared" si="11"/>
        <v>项目建筑规模</v>
      </c>
      <c r="R33" s="1696" t="s">
        <v>28</v>
      </c>
      <c r="S33" s="1697" t="e">
        <f t="shared" si="12"/>
        <v>#N/A</v>
      </c>
      <c r="T33" s="1696" t="s">
        <v>28</v>
      </c>
      <c r="U33" s="1697" t="e">
        <f t="shared" si="13"/>
        <v>#N/A</v>
      </c>
      <c r="V33" s="1696" t="s">
        <v>28</v>
      </c>
      <c r="W33" s="1697" t="e">
        <f t="shared" si="14"/>
        <v>#N/A</v>
      </c>
      <c r="X33" s="1698"/>
      <c r="Y33" s="3599"/>
      <c r="Z33" s="1699" t="str">
        <f t="shared" si="15"/>
        <v>项目建筑规模</v>
      </c>
      <c r="AA33" s="1657" t="e">
        <f t="shared" si="3"/>
        <v>#N/A</v>
      </c>
      <c r="AB33" s="1657" t="e">
        <f t="shared" si="4"/>
        <v>#N/A</v>
      </c>
      <c r="AC33" s="1657"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19"/>
      <c r="M34" s="2915"/>
      <c r="N34" s="2915"/>
      <c r="O34" s="2915"/>
      <c r="P34" s="3635"/>
      <c r="Q34" s="1544" t="str">
        <f t="shared" si="11"/>
        <v>建筑结构</v>
      </c>
      <c r="R34" s="1654" t="s">
        <v>28</v>
      </c>
      <c r="S34" s="1655">
        <f t="shared" si="12"/>
        <v>100</v>
      </c>
      <c r="T34" s="1654" t="s">
        <v>28</v>
      </c>
      <c r="U34" s="1655">
        <f t="shared" si="13"/>
        <v>100</v>
      </c>
      <c r="V34" s="1654" t="s">
        <v>28</v>
      </c>
      <c r="W34" s="1655">
        <f t="shared" si="14"/>
        <v>100</v>
      </c>
      <c r="X34" s="1594"/>
      <c r="Y34" s="3599"/>
      <c r="Z34" s="1656" t="str">
        <f t="shared" si="15"/>
        <v>建筑结构</v>
      </c>
      <c r="AA34" s="1657">
        <f t="shared" si="3"/>
        <v>1</v>
      </c>
      <c r="AB34" s="1657">
        <f t="shared" si="4"/>
        <v>1</v>
      </c>
      <c r="AC34" s="1657">
        <f t="shared" si="5"/>
        <v>1</v>
      </c>
    </row>
    <row r="35" spans="1:29" ht="15">
      <c r="A35" s="1701"/>
      <c r="B35" s="1624" t="s">
        <v>2040</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19"/>
      <c r="M35" s="2915"/>
      <c r="N35" s="2915"/>
      <c r="O35" s="2915"/>
      <c r="P35" s="3635"/>
      <c r="Q35" s="1544" t="str">
        <f t="shared" si="11"/>
        <v>建筑品质</v>
      </c>
      <c r="R35" s="1654" t="s">
        <v>28</v>
      </c>
      <c r="S35" s="1655">
        <f t="shared" si="12"/>
        <v>100</v>
      </c>
      <c r="T35" s="1654" t="s">
        <v>28</v>
      </c>
      <c r="U35" s="1655">
        <f t="shared" si="13"/>
        <v>100</v>
      </c>
      <c r="V35" s="1654" t="s">
        <v>28</v>
      </c>
      <c r="W35" s="1655">
        <f t="shared" si="14"/>
        <v>100</v>
      </c>
      <c r="X35" s="1594"/>
      <c r="Y35" s="3599"/>
      <c r="Z35" s="1656" t="str">
        <f t="shared" si="15"/>
        <v>建筑品质</v>
      </c>
      <c r="AA35" s="1657">
        <f t="shared" si="3"/>
        <v>1</v>
      </c>
      <c r="AB35" s="1657">
        <f t="shared" si="4"/>
        <v>1</v>
      </c>
      <c r="AC35" s="1657">
        <f t="shared" si="5"/>
        <v>1</v>
      </c>
    </row>
    <row r="36" spans="1:29" ht="15">
      <c r="A36" s="1701"/>
      <c r="B36" s="1624" t="s">
        <v>2041</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19"/>
      <c r="M36" s="2915"/>
      <c r="N36" s="2915"/>
      <c r="O36" s="2915"/>
      <c r="P36" s="3635"/>
      <c r="Q36" s="1544" t="str">
        <f t="shared" si="11"/>
        <v>公共部分装修</v>
      </c>
      <c r="R36" s="1654" t="s">
        <v>28</v>
      </c>
      <c r="S36" s="1655">
        <f t="shared" si="12"/>
        <v>100</v>
      </c>
      <c r="T36" s="1654" t="s">
        <v>28</v>
      </c>
      <c r="U36" s="1655">
        <f t="shared" si="13"/>
        <v>100</v>
      </c>
      <c r="V36" s="1654" t="s">
        <v>28</v>
      </c>
      <c r="W36" s="1655">
        <f t="shared" si="14"/>
        <v>100</v>
      </c>
      <c r="X36" s="1594"/>
      <c r="Y36" s="3599"/>
      <c r="Z36" s="1656" t="str">
        <f t="shared" si="15"/>
        <v>公共部分装修</v>
      </c>
      <c r="AA36" s="1657">
        <f t="shared" si="3"/>
        <v>1</v>
      </c>
      <c r="AB36" s="1657">
        <f t="shared" si="4"/>
        <v>1</v>
      </c>
      <c r="AC36" s="1657">
        <f t="shared" si="5"/>
        <v>1</v>
      </c>
    </row>
    <row r="37" spans="1:29" s="1613" customFormat="1" ht="15">
      <c r="A37" s="1704"/>
      <c r="B37" s="1624" t="s">
        <v>2042</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4"/>
      <c r="M37" s="2887"/>
      <c r="N37" s="2887"/>
      <c r="O37" s="2887"/>
      <c r="P37" s="3635"/>
      <c r="Q37" s="1563" t="str">
        <f t="shared" si="11"/>
        <v>成新度</v>
      </c>
      <c r="R37" s="1609" t="s">
        <v>28</v>
      </c>
      <c r="S37" s="1610" t="e">
        <f t="shared" si="12"/>
        <v>#N/A</v>
      </c>
      <c r="T37" s="1609" t="s">
        <v>28</v>
      </c>
      <c r="U37" s="1610" t="e">
        <f t="shared" si="13"/>
        <v>#N/A</v>
      </c>
      <c r="V37" s="1609" t="s">
        <v>28</v>
      </c>
      <c r="W37" s="1610" t="e">
        <f t="shared" si="14"/>
        <v>#N/A</v>
      </c>
      <c r="X37" s="1611"/>
      <c r="Y37" s="3599"/>
      <c r="Z37" s="1622" t="str">
        <f t="shared" si="15"/>
        <v>成新度</v>
      </c>
      <c r="AA37" s="1612" t="e">
        <f t="shared" si="3"/>
        <v>#N/A</v>
      </c>
      <c r="AB37" s="1612" t="e">
        <f t="shared" si="4"/>
        <v>#N/A</v>
      </c>
      <c r="AC37" s="1612" t="e">
        <f t="shared" si="5"/>
        <v>#N/A</v>
      </c>
    </row>
    <row r="38" spans="1:29" ht="15">
      <c r="A38" s="1701"/>
      <c r="B38" s="1624" t="s">
        <v>2043</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19"/>
      <c r="M38" s="2915"/>
      <c r="N38" s="2915"/>
      <c r="O38" s="2915"/>
      <c r="P38" s="3635" t="s">
        <v>2037</v>
      </c>
      <c r="Q38" s="1544" t="str">
        <f t="shared" si="11"/>
        <v>物业管理</v>
      </c>
      <c r="R38" s="1654" t="s">
        <v>28</v>
      </c>
      <c r="S38" s="1655">
        <f t="shared" si="12"/>
        <v>100</v>
      </c>
      <c r="T38" s="1654" t="s">
        <v>28</v>
      </c>
      <c r="U38" s="1655">
        <f t="shared" si="13"/>
        <v>100</v>
      </c>
      <c r="V38" s="1654" t="s">
        <v>28</v>
      </c>
      <c r="W38" s="1655">
        <f t="shared" si="14"/>
        <v>100</v>
      </c>
      <c r="X38" s="1594"/>
      <c r="Y38" s="3599" t="s">
        <v>2037</v>
      </c>
      <c r="Z38" s="1656" t="str">
        <f t="shared" si="15"/>
        <v>物业管理</v>
      </c>
      <c r="AA38" s="1657">
        <f t="shared" si="3"/>
        <v>1</v>
      </c>
      <c r="AB38" s="1657">
        <f t="shared" si="4"/>
        <v>1</v>
      </c>
      <c r="AC38" s="1657">
        <f t="shared" si="5"/>
        <v>1</v>
      </c>
    </row>
    <row r="39" spans="1:29" ht="15">
      <c r="A39" s="1701"/>
      <c r="B39" s="1624" t="s">
        <v>2044</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19"/>
      <c r="M39" s="2915"/>
      <c r="N39" s="2915"/>
      <c r="O39" s="2915"/>
      <c r="P39" s="3635"/>
      <c r="Q39" s="1544" t="str">
        <f t="shared" si="11"/>
        <v>市政基础设施</v>
      </c>
      <c r="R39" s="1654" t="s">
        <v>28</v>
      </c>
      <c r="S39" s="1655">
        <f t="shared" si="12"/>
        <v>100</v>
      </c>
      <c r="T39" s="1654" t="s">
        <v>28</v>
      </c>
      <c r="U39" s="1655">
        <f t="shared" si="13"/>
        <v>100</v>
      </c>
      <c r="V39" s="1654" t="s">
        <v>28</v>
      </c>
      <c r="W39" s="1655">
        <f t="shared" si="14"/>
        <v>100</v>
      </c>
      <c r="X39" s="1594"/>
      <c r="Y39" s="3599"/>
      <c r="Z39" s="1656" t="str">
        <f t="shared" si="15"/>
        <v>市政基础设施</v>
      </c>
      <c r="AA39" s="1657">
        <f t="shared" si="3"/>
        <v>1</v>
      </c>
      <c r="AB39" s="1657">
        <f t="shared" si="4"/>
        <v>1</v>
      </c>
      <c r="AC39" s="1657">
        <f t="shared" si="5"/>
        <v>1</v>
      </c>
    </row>
    <row r="40" spans="1:29" ht="15">
      <c r="A40" s="1701"/>
      <c r="B40" s="1624" t="s">
        <v>2045</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19"/>
      <c r="M40" s="2915"/>
      <c r="N40" s="2915"/>
      <c r="O40" s="2915"/>
      <c r="P40" s="3635"/>
      <c r="Q40" s="1544" t="str">
        <f t="shared" si="11"/>
        <v>房型</v>
      </c>
      <c r="R40" s="1654" t="s">
        <v>28</v>
      </c>
      <c r="S40" s="1655">
        <f t="shared" si="12"/>
        <v>100</v>
      </c>
      <c r="T40" s="1654" t="s">
        <v>28</v>
      </c>
      <c r="U40" s="1655">
        <f t="shared" si="13"/>
        <v>100</v>
      </c>
      <c r="V40" s="1654" t="s">
        <v>28</v>
      </c>
      <c r="W40" s="1655">
        <f t="shared" si="14"/>
        <v>100</v>
      </c>
      <c r="X40" s="1594"/>
      <c r="Y40" s="3599"/>
      <c r="Z40" s="1656" t="str">
        <f t="shared" si="15"/>
        <v>房型</v>
      </c>
      <c r="AA40" s="1657">
        <f t="shared" si="3"/>
        <v>1</v>
      </c>
      <c r="AB40" s="1657">
        <f t="shared" si="4"/>
        <v>1</v>
      </c>
      <c r="AC40" s="1657">
        <f t="shared" si="5"/>
        <v>1</v>
      </c>
    </row>
    <row r="41" spans="1:29" s="1700" customFormat="1" ht="28.5">
      <c r="A41" s="1693"/>
      <c r="B41" s="1624" t="s">
        <v>2046</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8"/>
      <c r="M41" s="1988"/>
      <c r="N41" s="1988"/>
      <c r="O41" s="1988"/>
      <c r="P41" s="3635"/>
      <c r="Q41" s="1695" t="str">
        <f t="shared" si="11"/>
        <v>单套/主力户型建筑面积</v>
      </c>
      <c r="R41" s="1696" t="s">
        <v>28</v>
      </c>
      <c r="S41" s="1697">
        <f t="shared" si="12"/>
        <v>100</v>
      </c>
      <c r="T41" s="1696" t="s">
        <v>28</v>
      </c>
      <c r="U41" s="1697">
        <f t="shared" si="13"/>
        <v>100</v>
      </c>
      <c r="V41" s="1696" t="s">
        <v>28</v>
      </c>
      <c r="W41" s="1697">
        <f t="shared" si="14"/>
        <v>100</v>
      </c>
      <c r="X41" s="1698"/>
      <c r="Y41" s="3599"/>
      <c r="Z41" s="1699" t="str">
        <f t="shared" si="15"/>
        <v>单套/主力户型建筑面积</v>
      </c>
      <c r="AA41" s="1657">
        <f t="shared" si="3"/>
        <v>1</v>
      </c>
      <c r="AB41" s="1657">
        <f t="shared" si="4"/>
        <v>1</v>
      </c>
      <c r="AC41" s="1657">
        <f t="shared" si="5"/>
        <v>1</v>
      </c>
    </row>
    <row r="42" spans="1:29" ht="15">
      <c r="A42" s="1701"/>
      <c r="B42" s="1624" t="s">
        <v>2047</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19"/>
      <c r="M42" s="2915"/>
      <c r="N42" s="2915"/>
      <c r="O42" s="2915"/>
      <c r="P42" s="3635"/>
      <c r="Q42" s="1544" t="str">
        <f t="shared" si="11"/>
        <v>内部装修</v>
      </c>
      <c r="R42" s="1654" t="s">
        <v>28</v>
      </c>
      <c r="S42" s="1655">
        <f t="shared" si="12"/>
        <v>100</v>
      </c>
      <c r="T42" s="1654" t="s">
        <v>28</v>
      </c>
      <c r="U42" s="1655">
        <f t="shared" si="13"/>
        <v>100</v>
      </c>
      <c r="V42" s="1654" t="s">
        <v>28</v>
      </c>
      <c r="W42" s="1655">
        <f t="shared" si="14"/>
        <v>100</v>
      </c>
      <c r="X42" s="1594"/>
      <c r="Y42" s="3599"/>
      <c r="Z42" s="1656" t="str">
        <f t="shared" si="15"/>
        <v>内部装修</v>
      </c>
      <c r="AA42" s="1657">
        <f t="shared" si="3"/>
        <v>1</v>
      </c>
      <c r="AB42" s="1657">
        <f t="shared" si="4"/>
        <v>1</v>
      </c>
      <c r="AC42" s="1657">
        <f t="shared" si="5"/>
        <v>1</v>
      </c>
    </row>
    <row r="43" spans="1:29" ht="15">
      <c r="A43" s="1701"/>
      <c r="B43" s="1624" t="s">
        <v>2048</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19"/>
      <c r="M43" s="2915"/>
      <c r="N43" s="2915"/>
      <c r="O43" s="2915"/>
      <c r="P43" s="3635"/>
      <c r="Q43" s="1544" t="str">
        <f t="shared" si="11"/>
        <v>内部装修维护情况</v>
      </c>
      <c r="R43" s="1654" t="s">
        <v>28</v>
      </c>
      <c r="S43" s="1655">
        <f t="shared" si="12"/>
        <v>100</v>
      </c>
      <c r="T43" s="1654" t="s">
        <v>28</v>
      </c>
      <c r="U43" s="1655">
        <f t="shared" si="13"/>
        <v>100</v>
      </c>
      <c r="V43" s="1654" t="s">
        <v>28</v>
      </c>
      <c r="W43" s="1655">
        <f t="shared" si="14"/>
        <v>100</v>
      </c>
      <c r="X43" s="1594"/>
      <c r="Y43" s="3599"/>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4"/>
      <c r="M44" s="2887"/>
      <c r="N44" s="2887"/>
      <c r="O44" s="2887"/>
      <c r="P44" s="3635"/>
      <c r="Q44" s="1563">
        <f t="shared" si="11"/>
        <v>111</v>
      </c>
      <c r="R44" s="1609" t="s">
        <v>28</v>
      </c>
      <c r="S44" s="1610">
        <f t="shared" si="12"/>
        <v>100</v>
      </c>
      <c r="T44" s="1609" t="s">
        <v>28</v>
      </c>
      <c r="U44" s="1610">
        <f t="shared" si="13"/>
        <v>100</v>
      </c>
      <c r="V44" s="1609" t="s">
        <v>28</v>
      </c>
      <c r="W44" s="1610">
        <f t="shared" si="14"/>
        <v>100</v>
      </c>
      <c r="X44" s="1611"/>
      <c r="Y44" s="3599"/>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19"/>
      <c r="M45" s="2915"/>
      <c r="N45" s="2915"/>
      <c r="O45" s="2915"/>
      <c r="P45" s="3635"/>
      <c r="Q45" s="1544">
        <f t="shared" si="11"/>
        <v>111</v>
      </c>
      <c r="R45" s="1654" t="s">
        <v>28</v>
      </c>
      <c r="S45" s="1655">
        <f t="shared" si="12"/>
        <v>100</v>
      </c>
      <c r="T45" s="1654" t="s">
        <v>28</v>
      </c>
      <c r="U45" s="1655">
        <f t="shared" si="13"/>
        <v>100</v>
      </c>
      <c r="V45" s="1654" t="s">
        <v>28</v>
      </c>
      <c r="W45" s="1655">
        <f t="shared" si="14"/>
        <v>100</v>
      </c>
      <c r="X45" s="1594"/>
      <c r="Y45" s="3599"/>
      <c r="Z45" s="1656">
        <f t="shared" si="15"/>
        <v>111</v>
      </c>
      <c r="AA45" s="1657">
        <f t="shared" si="3"/>
        <v>1</v>
      </c>
      <c r="AB45" s="1657">
        <f t="shared" si="4"/>
        <v>1</v>
      </c>
      <c r="AC45" s="1657">
        <f t="shared" si="5"/>
        <v>1</v>
      </c>
    </row>
    <row r="46" spans="1:29" ht="15.75"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19"/>
      <c r="M46" s="2915"/>
      <c r="N46" s="2915"/>
      <c r="O46" s="2915"/>
      <c r="P46" s="3636"/>
      <c r="Q46" s="1544">
        <f t="shared" si="11"/>
        <v>111</v>
      </c>
      <c r="R46" s="1654" t="s">
        <v>27</v>
      </c>
      <c r="S46" s="1655">
        <f t="shared" si="12"/>
        <v>100</v>
      </c>
      <c r="T46" s="1654" t="s">
        <v>27</v>
      </c>
      <c r="U46" s="1655">
        <f t="shared" si="13"/>
        <v>100</v>
      </c>
      <c r="V46" s="1654" t="s">
        <v>27</v>
      </c>
      <c r="W46" s="1655">
        <f t="shared" si="14"/>
        <v>100</v>
      </c>
      <c r="X46" s="1594"/>
      <c r="Y46" s="3600"/>
      <c r="Z46" s="1656">
        <f t="shared" si="15"/>
        <v>111</v>
      </c>
      <c r="AA46" s="1657">
        <f t="shared" si="3"/>
        <v>1</v>
      </c>
      <c r="AB46" s="1657">
        <f t="shared" si="4"/>
        <v>1</v>
      </c>
      <c r="AC46" s="1657">
        <f t="shared" si="5"/>
        <v>1</v>
      </c>
    </row>
    <row r="47" spans="1:29" ht="15">
      <c r="A47" s="1710" t="s">
        <v>2049</v>
      </c>
      <c r="B47" s="1711"/>
      <c r="C47" s="1712" t="s">
        <v>26</v>
      </c>
      <c r="D47" s="1713"/>
      <c r="E47" s="1714"/>
      <c r="F47" s="1715"/>
      <c r="G47" s="1716"/>
      <c r="H47" s="1717"/>
      <c r="I47" s="1714"/>
      <c r="J47" s="1717"/>
      <c r="K47" s="1718"/>
      <c r="L47" s="2920"/>
      <c r="N47" s="2915"/>
      <c r="P47" s="3568" t="str">
        <f>A47</f>
        <v>成交单价（元/平方米）</v>
      </c>
      <c r="Q47" s="3568"/>
      <c r="R47" s="3601">
        <f>E47</f>
        <v>0</v>
      </c>
      <c r="S47" s="3601"/>
      <c r="T47" s="3601">
        <f>G47</f>
        <v>0</v>
      </c>
      <c r="U47" s="3601"/>
      <c r="V47" s="3601">
        <f>I47</f>
        <v>0</v>
      </c>
      <c r="W47" s="3601"/>
      <c r="X47" s="1720"/>
      <c r="Y47" s="1721"/>
      <c r="Z47" s="1720"/>
      <c r="AA47" s="1720"/>
      <c r="AB47" s="1720"/>
      <c r="AC47" s="1720"/>
    </row>
    <row r="48" spans="1:29" ht="15.75" thickBot="1">
      <c r="A48" s="1722" t="s">
        <v>2050</v>
      </c>
      <c r="B48" s="1723"/>
      <c r="C48" s="1724" t="e">
        <f>R49</f>
        <v>#DIV/0!</v>
      </c>
      <c r="D48" s="1725" t="s">
        <v>2503</v>
      </c>
      <c r="E48" s="1726" t="e">
        <f>R48</f>
        <v>#DIV/0!</v>
      </c>
      <c r="F48" s="1727"/>
      <c r="G48" s="1724" t="e">
        <f>T48</f>
        <v>#DIV/0!</v>
      </c>
      <c r="H48" s="1727"/>
      <c r="I48" s="1726" t="e">
        <f>V48</f>
        <v>#DIV/0!</v>
      </c>
      <c r="J48" s="1727"/>
      <c r="K48" s="2430">
        <f>F48+H48+J48</f>
        <v>0</v>
      </c>
      <c r="L48" s="2920"/>
      <c r="P48" s="3568" t="str">
        <f>A48</f>
        <v>比较价值（元/平方米）</v>
      </c>
      <c r="Q48" s="3568"/>
      <c r="R48" s="3601" t="e">
        <f>IF(E1="售价",ROUND(PRODUCT(R47,AA7:AA46),0),ROUND(PRODUCT(R47,AA7:AA46),1))</f>
        <v>#DIV/0!</v>
      </c>
      <c r="S48" s="3601"/>
      <c r="T48" s="3640" t="e">
        <f>IF(E1="售价",ROUND(PRODUCT(T47,AB7:AB46),0),ROUND(PRODUCT(T47,AB7:AB46),1))</f>
        <v>#DIV/0!</v>
      </c>
      <c r="U48" s="3641"/>
      <c r="V48" s="3601" t="e">
        <f>IF(E1="售价",ROUND(PRODUCT(V47,AC7:AC46),0),ROUND(PRODUCT(V47,AC7:AC46),1))</f>
        <v>#DIV/0!</v>
      </c>
      <c r="W48" s="3601"/>
      <c r="X48" s="1720"/>
      <c r="Y48" s="1720"/>
      <c r="Z48" s="1720"/>
      <c r="AA48" s="1720"/>
      <c r="AB48" s="1720"/>
      <c r="AC48" s="1720"/>
    </row>
    <row r="49" spans="1:29" ht="15.75" thickBot="1">
      <c r="A49" s="1728" t="s">
        <v>2051</v>
      </c>
      <c r="B49" s="1729"/>
      <c r="C49" s="1730" t="e">
        <f>R49</f>
        <v>#DIV/0!</v>
      </c>
      <c r="D49" s="1731"/>
      <c r="E49" s="1731"/>
      <c r="F49" s="1731"/>
      <c r="G49" s="1731"/>
      <c r="H49" s="1731"/>
      <c r="I49" s="1731"/>
      <c r="J49" s="1731"/>
      <c r="K49" s="1732"/>
      <c r="L49" s="2920"/>
      <c r="P49" s="3602" t="str">
        <f>A49</f>
        <v>估价对象XX用房的比较价值（楼面单价，元/平方米）</v>
      </c>
      <c r="Q49" s="3603"/>
      <c r="R49" s="3604" t="e">
        <f>IF(E1="售价",ROUND(IF(D48="简单平均",AVERAGE(R48:V48),R48*F48+T48*H48+V48*J48),0),ROUND(IF(D48="简单平均",AVERAGE(R48:V48),R48*F48+T48*H48+V48*J48),1))</f>
        <v>#DIV/0!</v>
      </c>
      <c r="S49" s="3604"/>
      <c r="T49" s="3604"/>
      <c r="U49" s="3604"/>
      <c r="V49" s="3604"/>
      <c r="W49" s="3604"/>
      <c r="X49" s="1720"/>
      <c r="Y49" s="1720"/>
      <c r="Z49" s="1720"/>
      <c r="AA49" s="1720"/>
      <c r="AB49" s="1720"/>
      <c r="AC49" s="1720"/>
    </row>
    <row r="50" spans="1:29">
      <c r="G50" s="2924"/>
    </row>
    <row r="52" spans="1:29" ht="13.5" customHeight="1">
      <c r="C52" s="383" t="s">
        <v>2052</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2053</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2054</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1741"/>
    </row>
    <row r="55" spans="1:29" s="1742" customFormat="1">
      <c r="B55" s="2925"/>
      <c r="C55" s="2926"/>
      <c r="K55" s="2927"/>
      <c r="L55" s="2921"/>
      <c r="P55" s="1741"/>
    </row>
    <row r="56" spans="1:29">
      <c r="B56" s="2925"/>
      <c r="C56" s="2926"/>
    </row>
    <row r="57" spans="1:29" ht="21.75" thickBot="1">
      <c r="A57" s="1745" t="s">
        <v>2055</v>
      </c>
      <c r="B57" s="1720"/>
      <c r="C57" s="1746"/>
      <c r="D57" s="1746"/>
      <c r="E57" s="1746"/>
      <c r="F57" s="1746"/>
      <c r="G57" s="1746"/>
      <c r="H57" s="1746"/>
      <c r="I57" s="1746"/>
      <c r="J57" s="1746"/>
      <c r="K57" s="1747"/>
      <c r="L57" s="2922"/>
      <c r="M57" s="2923"/>
      <c r="N57" s="2923"/>
      <c r="O57" s="2923"/>
      <c r="P57" s="1749"/>
      <c r="Q57" s="1750"/>
    </row>
    <row r="58" spans="1:29" s="1756" customFormat="1" ht="15">
      <c r="A58" s="1751" t="s">
        <v>2056</v>
      </c>
      <c r="B58" s="1752"/>
      <c r="C58" s="1753" t="str">
        <f>YEAR(C7)&amp;"-"&amp;MONTH(C7)</f>
        <v>2022-4</v>
      </c>
      <c r="D58" s="1754">
        <f>EDATE(C58,-1)</f>
        <v>44621</v>
      </c>
      <c r="E58" s="1754">
        <f t="shared" ref="E58:O58" si="16">EDATE(D58,-1)</f>
        <v>44593</v>
      </c>
      <c r="F58" s="1754">
        <f t="shared" si="16"/>
        <v>44562</v>
      </c>
      <c r="G58" s="1754">
        <f t="shared" si="16"/>
        <v>44531</v>
      </c>
      <c r="H58" s="1754">
        <f t="shared" si="16"/>
        <v>44501</v>
      </c>
      <c r="I58" s="1754">
        <f t="shared" si="16"/>
        <v>44470</v>
      </c>
      <c r="J58" s="1754">
        <f t="shared" si="16"/>
        <v>44440</v>
      </c>
      <c r="K58" s="1754">
        <f t="shared" si="16"/>
        <v>44409</v>
      </c>
      <c r="L58" s="1754">
        <f t="shared" si="16"/>
        <v>44378</v>
      </c>
      <c r="M58" s="1754">
        <f t="shared" si="16"/>
        <v>44348</v>
      </c>
      <c r="N58" s="1754">
        <f t="shared" si="16"/>
        <v>44317</v>
      </c>
      <c r="O58" s="1754">
        <f t="shared" si="16"/>
        <v>44287</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2058</v>
      </c>
      <c r="B61" s="1758"/>
      <c r="C61" s="1769" t="s">
        <v>2059</v>
      </c>
      <c r="D61" s="409"/>
      <c r="E61" s="409"/>
      <c r="F61" s="409"/>
      <c r="G61" s="409"/>
      <c r="H61" s="409"/>
      <c r="I61" s="409"/>
      <c r="J61" s="409"/>
      <c r="K61" s="409"/>
      <c r="L61" s="409"/>
      <c r="M61" s="1770"/>
      <c r="N61" s="1771"/>
      <c r="O61" s="1771"/>
      <c r="P61" s="1772"/>
      <c r="Q61" s="1750"/>
    </row>
    <row r="62" spans="1:29" s="1613" customFormat="1" ht="15.75" thickBot="1">
      <c r="A62" s="1768"/>
      <c r="B62" s="1758"/>
      <c r="C62" s="1773">
        <v>100</v>
      </c>
      <c r="D62" s="1760"/>
      <c r="E62" s="1760"/>
      <c r="F62" s="1760"/>
      <c r="G62" s="1760"/>
      <c r="H62" s="1760"/>
      <c r="I62" s="1760"/>
      <c r="J62" s="1760"/>
      <c r="K62" s="1760"/>
      <c r="L62" s="1760"/>
      <c r="M62" s="1774"/>
      <c r="N62" s="1771"/>
      <c r="O62" s="1771"/>
      <c r="P62" s="1762"/>
      <c r="Q62" s="1750"/>
    </row>
    <row r="63" spans="1:29">
      <c r="A63" s="1775" t="s">
        <v>2060</v>
      </c>
      <c r="B63" s="1776" t="s">
        <v>2025</v>
      </c>
      <c r="C63" s="1777">
        <f>C9</f>
        <v>0</v>
      </c>
      <c r="D63" s="1778"/>
      <c r="E63" s="1778"/>
      <c r="F63" s="1778"/>
      <c r="G63" s="1778"/>
      <c r="H63" s="1778"/>
      <c r="I63" s="1778"/>
      <c r="J63" s="1778"/>
      <c r="K63" s="417"/>
      <c r="L63" s="417"/>
      <c r="M63" s="1779"/>
      <c r="N63" s="1780"/>
      <c r="O63" s="1780"/>
      <c r="P63" s="1781"/>
      <c r="Q63" s="1750"/>
    </row>
    <row r="64" spans="1:29" ht="15.75" thickBot="1">
      <c r="A64" s="1782"/>
      <c r="B64" s="1783"/>
      <c r="C64" s="1784">
        <v>100</v>
      </c>
      <c r="D64" s="1784"/>
      <c r="E64" s="1784"/>
      <c r="F64" s="1784"/>
      <c r="G64" s="1784"/>
      <c r="H64" s="1784"/>
      <c r="I64" s="1784"/>
      <c r="J64" s="1784"/>
      <c r="K64" s="1784"/>
      <c r="L64" s="1784"/>
      <c r="M64" s="1785"/>
      <c r="N64" s="1786"/>
      <c r="O64" s="1786"/>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1780"/>
      <c r="O65" s="1780"/>
      <c r="P65" s="1781"/>
      <c r="Q65" s="1750"/>
    </row>
    <row r="66" spans="1:17" ht="15.75"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75" thickTop="1">
      <c r="A67" s="1782"/>
      <c r="B67" s="1793" t="s">
        <v>2029</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ht="15">
      <c r="A68" s="1782"/>
      <c r="B68" s="1795"/>
      <c r="C68" s="1796"/>
      <c r="D68" s="1796"/>
      <c r="E68" s="1796"/>
      <c r="F68" s="1796"/>
      <c r="G68" s="1796"/>
      <c r="H68" s="1796"/>
      <c r="I68" s="1796"/>
      <c r="J68" s="1796"/>
      <c r="K68" s="438"/>
      <c r="L68" s="438"/>
      <c r="M68" s="1797"/>
      <c r="N68" s="1780"/>
      <c r="O68" s="1780"/>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5.75"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5.75" thickBot="1">
      <c r="A71" s="1798"/>
      <c r="B71" s="1790"/>
      <c r="C71" s="1803"/>
      <c r="D71" s="1784"/>
      <c r="E71" s="1784"/>
      <c r="F71" s="1784"/>
      <c r="G71" s="1784"/>
      <c r="H71" s="1784"/>
      <c r="I71" s="1784"/>
      <c r="J71" s="1784"/>
      <c r="K71" s="1784"/>
      <c r="L71" s="1784"/>
      <c r="M71" s="1785"/>
      <c r="N71" s="1786"/>
      <c r="O71" s="1786"/>
      <c r="P71" s="1801"/>
      <c r="Q71" s="1802"/>
    </row>
    <row r="72" spans="1:17" s="1700" customFormat="1" ht="15.75"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5.75" thickBot="1">
      <c r="A73" s="1798"/>
      <c r="B73" s="1790"/>
      <c r="C73" s="1803"/>
      <c r="D73" s="1803"/>
      <c r="E73" s="1803"/>
      <c r="F73" s="1803"/>
      <c r="G73" s="1803"/>
      <c r="H73" s="1806"/>
      <c r="I73" s="1806"/>
      <c r="J73" s="1806"/>
      <c r="K73" s="1806"/>
      <c r="L73" s="1806"/>
      <c r="M73" s="1807"/>
      <c r="N73" s="1800"/>
      <c r="O73" s="1800"/>
      <c r="P73" s="1801"/>
      <c r="Q73" s="1802"/>
    </row>
    <row r="74" spans="1:17" s="1700" customFormat="1" ht="15.75"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5.75" thickBot="1">
      <c r="A75" s="1809"/>
      <c r="B75" s="1810"/>
      <c r="C75" s="1811"/>
      <c r="D75" s="1811"/>
      <c r="E75" s="1811"/>
      <c r="F75" s="1811"/>
      <c r="G75" s="1811"/>
      <c r="H75" s="1812"/>
      <c r="I75" s="1812"/>
      <c r="J75" s="1812"/>
      <c r="K75" s="1812"/>
      <c r="L75" s="1812"/>
      <c r="M75" s="1813"/>
      <c r="N75" s="1800"/>
      <c r="O75" s="1800"/>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1780"/>
      <c r="O76" s="1780"/>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1780"/>
      <c r="O78" s="1780"/>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1780"/>
      <c r="O80" s="1780"/>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75" thickTop="1">
      <c r="A82" s="1782"/>
      <c r="B82" s="1793" t="s">
        <v>1467</v>
      </c>
      <c r="C82" s="1788" t="s">
        <v>2076</v>
      </c>
      <c r="D82" s="1788" t="s">
        <v>2077</v>
      </c>
      <c r="E82" s="1788" t="s">
        <v>2078</v>
      </c>
      <c r="F82" s="1788" t="s">
        <v>2079</v>
      </c>
      <c r="G82" s="1788" t="s">
        <v>2080</v>
      </c>
      <c r="H82" s="1788"/>
      <c r="I82" s="1788"/>
      <c r="J82" s="1788"/>
      <c r="K82" s="1788"/>
      <c r="L82" s="1788"/>
      <c r="M82" s="1816"/>
      <c r="N82" s="1786"/>
      <c r="O82" s="1786"/>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1780"/>
      <c r="O84" s="1780"/>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75" thickTop="1">
      <c r="A86" s="1818"/>
      <c r="B86" s="1787" t="s">
        <v>2082</v>
      </c>
      <c r="C86" s="468"/>
      <c r="D86" s="468"/>
      <c r="E86" s="468"/>
      <c r="F86" s="468"/>
      <c r="G86" s="468"/>
      <c r="H86" s="468"/>
      <c r="I86" s="468"/>
      <c r="J86" s="468"/>
      <c r="K86" s="468"/>
      <c r="L86" s="468"/>
      <c r="M86" s="1819"/>
      <c r="N86" s="1771"/>
      <c r="O86" s="1771"/>
      <c r="P86" s="1781"/>
      <c r="Q86" s="1750"/>
    </row>
    <row r="87" spans="1:17" s="1613" customFormat="1" ht="15.75"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75" thickTop="1">
      <c r="A88" s="1818"/>
      <c r="B88" s="1787" t="s">
        <v>2083</v>
      </c>
      <c r="C88" s="468"/>
      <c r="D88" s="468"/>
      <c r="E88" s="468"/>
      <c r="F88" s="1821"/>
      <c r="G88" s="468"/>
      <c r="H88" s="468"/>
      <c r="I88" s="468"/>
      <c r="J88" s="468"/>
      <c r="K88" s="468"/>
      <c r="L88" s="468"/>
      <c r="M88" s="1819"/>
      <c r="N88" s="1771"/>
      <c r="O88" s="1771"/>
      <c r="P88" s="1781"/>
      <c r="Q88" s="1750"/>
    </row>
    <row r="89" spans="1:17" s="1613" customFormat="1" ht="15.75"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5.75"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5.75" thickBot="1">
      <c r="A91" s="1798"/>
      <c r="B91" s="1790"/>
      <c r="C91" s="1803"/>
      <c r="D91" s="1803"/>
      <c r="E91" s="1803"/>
      <c r="F91" s="1803"/>
      <c r="G91" s="1803"/>
      <c r="H91" s="1806"/>
      <c r="I91" s="1806"/>
      <c r="J91" s="1806"/>
      <c r="K91" s="1806"/>
      <c r="L91" s="1806"/>
      <c r="M91" s="1807"/>
      <c r="N91" s="1800"/>
      <c r="O91" s="1800"/>
      <c r="P91" s="1801"/>
      <c r="Q91" s="1802"/>
    </row>
    <row r="92" spans="1:17" ht="15.75" thickTop="1">
      <c r="A92" s="1782"/>
      <c r="B92" s="1787">
        <f>B28</f>
        <v>111</v>
      </c>
      <c r="C92" s="468"/>
      <c r="D92" s="468"/>
      <c r="E92" s="468"/>
      <c r="F92" s="468"/>
      <c r="G92" s="1506"/>
      <c r="H92" s="1506"/>
      <c r="I92" s="1506"/>
      <c r="J92" s="1506"/>
      <c r="K92" s="473"/>
      <c r="L92" s="473"/>
      <c r="M92" s="1822"/>
      <c r="N92" s="1780"/>
      <c r="O92" s="1780"/>
      <c r="P92" s="1781"/>
      <c r="Q92" s="1750"/>
    </row>
    <row r="93" spans="1:17" ht="15.75" thickBot="1">
      <c r="A93" s="1782"/>
      <c r="B93" s="1790"/>
      <c r="C93" s="1803"/>
      <c r="D93" s="1784"/>
      <c r="E93" s="1784"/>
      <c r="F93" s="1784"/>
      <c r="G93" s="1784"/>
      <c r="H93" s="1784"/>
      <c r="I93" s="1784"/>
      <c r="J93" s="1784"/>
      <c r="K93" s="1784"/>
      <c r="L93" s="1784"/>
      <c r="M93" s="1785"/>
      <c r="N93" s="1786"/>
      <c r="O93" s="1786"/>
      <c r="P93" s="1781"/>
      <c r="Q93" s="1750"/>
    </row>
    <row r="94" spans="1:17" ht="15.75" thickTop="1">
      <c r="A94" s="1782"/>
      <c r="B94" s="1787">
        <f>B29</f>
        <v>111</v>
      </c>
      <c r="C94" s="468"/>
      <c r="D94" s="468"/>
      <c r="E94" s="468"/>
      <c r="F94" s="468"/>
      <c r="G94" s="1506"/>
      <c r="H94" s="1506"/>
      <c r="I94" s="1506"/>
      <c r="J94" s="1506"/>
      <c r="K94" s="473"/>
      <c r="L94" s="473"/>
      <c r="M94" s="1822"/>
      <c r="N94" s="1780"/>
      <c r="O94" s="1780"/>
      <c r="P94" s="1781"/>
      <c r="Q94" s="1750"/>
    </row>
    <row r="95" spans="1:17" ht="15.75" thickBot="1">
      <c r="A95" s="1782"/>
      <c r="B95" s="1790"/>
      <c r="C95" s="1803"/>
      <c r="D95" s="1803"/>
      <c r="E95" s="1803"/>
      <c r="F95" s="1803"/>
      <c r="G95" s="1784"/>
      <c r="H95" s="1784"/>
      <c r="I95" s="1784"/>
      <c r="J95" s="1784"/>
      <c r="K95" s="1784"/>
      <c r="L95" s="1784"/>
      <c r="M95" s="1785"/>
      <c r="N95" s="1786"/>
      <c r="O95" s="1786"/>
      <c r="P95" s="1781"/>
      <c r="Q95" s="1750"/>
    </row>
    <row r="96" spans="1:17" ht="15.75" thickTop="1">
      <c r="A96" s="1782"/>
      <c r="B96" s="1787">
        <f>B30</f>
        <v>111</v>
      </c>
      <c r="C96" s="468"/>
      <c r="D96" s="468"/>
      <c r="E96" s="468"/>
      <c r="F96" s="468"/>
      <c r="G96" s="1506"/>
      <c r="H96" s="1506"/>
      <c r="I96" s="1506"/>
      <c r="J96" s="1506"/>
      <c r="K96" s="473"/>
      <c r="L96" s="473"/>
      <c r="M96" s="1822"/>
      <c r="N96" s="1780"/>
      <c r="O96" s="1780"/>
      <c r="P96" s="1781"/>
      <c r="Q96" s="1750"/>
    </row>
    <row r="97" spans="1:17" ht="15.75" thickBot="1">
      <c r="A97" s="1782"/>
      <c r="B97" s="1790"/>
      <c r="C97" s="1811"/>
      <c r="D97" s="1811"/>
      <c r="E97" s="1811"/>
      <c r="F97" s="1811"/>
      <c r="G97" s="1784"/>
      <c r="H97" s="1784"/>
      <c r="I97" s="1784"/>
      <c r="J97" s="1784"/>
      <c r="K97" s="1784"/>
      <c r="L97" s="1784"/>
      <c r="M97" s="1785"/>
      <c r="N97" s="1786"/>
      <c r="O97" s="1786"/>
      <c r="P97" s="1781"/>
      <c r="Q97" s="1750"/>
    </row>
    <row r="98" spans="1:17" ht="15.75" thickTop="1">
      <c r="A98" s="1782"/>
      <c r="B98" s="1793">
        <f>B31</f>
        <v>111</v>
      </c>
      <c r="C98" s="1823"/>
      <c r="D98" s="1823"/>
      <c r="E98" s="1823"/>
      <c r="F98" s="1823"/>
      <c r="G98" s="1823"/>
      <c r="H98" s="1823"/>
      <c r="I98" s="1823"/>
      <c r="J98" s="1823"/>
      <c r="K98" s="477"/>
      <c r="L98" s="477"/>
      <c r="M98" s="1824"/>
      <c r="N98" s="1780"/>
      <c r="O98" s="1780"/>
      <c r="P98" s="1781"/>
      <c r="Q98" s="1750"/>
    </row>
    <row r="99" spans="1:17" ht="15.75" thickBot="1">
      <c r="A99" s="1825"/>
      <c r="B99" s="1810"/>
      <c r="C99" s="1826"/>
      <c r="D99" s="1826"/>
      <c r="E99" s="1826"/>
      <c r="F99" s="1826"/>
      <c r="G99" s="1826"/>
      <c r="H99" s="1826"/>
      <c r="I99" s="1826"/>
      <c r="J99" s="1826"/>
      <c r="K99" s="1826"/>
      <c r="L99" s="1826"/>
      <c r="M99" s="1827"/>
      <c r="N99" s="1786"/>
      <c r="O99" s="1786"/>
      <c r="P99" s="1781"/>
      <c r="Q99" s="1750"/>
    </row>
    <row r="100" spans="1:17">
      <c r="A100" s="1775" t="s">
        <v>2035</v>
      </c>
      <c r="B100" s="1776" t="s">
        <v>2084</v>
      </c>
      <c r="C100" s="1778"/>
      <c r="D100" s="1778"/>
      <c r="E100" s="1778"/>
      <c r="F100" s="1778"/>
      <c r="G100" s="1778"/>
      <c r="H100" s="1778"/>
      <c r="I100" s="1778"/>
      <c r="J100" s="1778"/>
      <c r="K100" s="417"/>
      <c r="L100" s="417"/>
      <c r="M100" s="1779"/>
      <c r="N100" s="1780"/>
      <c r="O100" s="1780"/>
      <c r="P100" s="1781"/>
      <c r="Q100" s="1750"/>
    </row>
    <row r="101" spans="1:17" ht="15.75"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75" thickTop="1">
      <c r="A102" s="1782"/>
      <c r="B102" s="1787" t="s">
        <v>2085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5.75"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2086</v>
      </c>
      <c r="C105" s="468"/>
      <c r="D105" s="468"/>
      <c r="E105" s="1506"/>
      <c r="F105" s="1506"/>
      <c r="G105" s="1506"/>
      <c r="H105" s="1506"/>
      <c r="I105" s="1506"/>
      <c r="J105" s="1506"/>
      <c r="K105" s="473"/>
      <c r="L105" s="473"/>
      <c r="M105" s="1822"/>
      <c r="N105" s="1780"/>
      <c r="O105" s="1780"/>
      <c r="P105" s="1781"/>
      <c r="Q105" s="1750"/>
    </row>
    <row r="106" spans="1:17" ht="15.75"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2087</v>
      </c>
      <c r="C107" s="1506"/>
      <c r="D107" s="1506"/>
      <c r="E107" s="1506"/>
      <c r="F107" s="1506"/>
      <c r="G107" s="1506"/>
      <c r="H107" s="1506"/>
      <c r="I107" s="1506"/>
      <c r="J107" s="1506"/>
      <c r="K107" s="473"/>
      <c r="L107" s="473"/>
      <c r="M107" s="1822"/>
      <c r="N107" s="1780"/>
      <c r="O107" s="1780"/>
      <c r="P107" s="1781"/>
      <c r="Q107" s="1750"/>
    </row>
    <row r="108" spans="1:17" ht="15.75"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2088</v>
      </c>
      <c r="C109" s="468"/>
      <c r="D109" s="468"/>
      <c r="E109" s="468"/>
      <c r="F109" s="1506"/>
      <c r="G109" s="1506"/>
      <c r="H109" s="1506"/>
      <c r="I109" s="1506"/>
      <c r="J109" s="1506"/>
      <c r="K109" s="473"/>
      <c r="L109" s="473"/>
      <c r="M109" s="1822"/>
      <c r="N109" s="1780"/>
      <c r="O109" s="1780"/>
      <c r="P109" s="1781"/>
      <c r="Q109" s="1750"/>
    </row>
    <row r="110" spans="1:17" ht="15.75"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5.75"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2090</v>
      </c>
      <c r="C114" s="468"/>
      <c r="D114" s="468"/>
      <c r="E114" s="1506"/>
      <c r="F114" s="1506"/>
      <c r="G114" s="1506"/>
      <c r="H114" s="1506"/>
      <c r="I114" s="1506"/>
      <c r="J114" s="1506"/>
      <c r="K114" s="473"/>
      <c r="L114" s="473"/>
      <c r="M114" s="1822"/>
      <c r="N114" s="1780"/>
      <c r="O114" s="1780"/>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2091</v>
      </c>
      <c r="C116" s="468"/>
      <c r="D116" s="468"/>
      <c r="E116" s="468"/>
      <c r="F116" s="468"/>
      <c r="G116" s="468"/>
      <c r="H116" s="1506"/>
      <c r="I116" s="1506"/>
      <c r="J116" s="1506"/>
      <c r="K116" s="473"/>
      <c r="L116" s="473"/>
      <c r="M116" s="1822"/>
      <c r="N116" s="1780"/>
      <c r="O116" s="1780"/>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2092</v>
      </c>
      <c r="C118" s="1506"/>
      <c r="D118" s="1506"/>
      <c r="E118" s="1506"/>
      <c r="F118" s="1506"/>
      <c r="G118" s="1506"/>
      <c r="H118" s="1506"/>
      <c r="I118" s="1506"/>
      <c r="J118" s="1506"/>
      <c r="K118" s="473"/>
      <c r="L118" s="473"/>
      <c r="M118" s="1822"/>
      <c r="N118" s="1780"/>
      <c r="O118" s="1780"/>
      <c r="P118" s="1781"/>
      <c r="Q118" s="1750"/>
    </row>
    <row r="119" spans="1:17" ht="15.75"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8.5" thickTop="1">
      <c r="A120" s="1828"/>
      <c r="B120" s="1787" t="s">
        <v>2046</v>
      </c>
      <c r="C120" s="468"/>
      <c r="D120" s="468"/>
      <c r="E120" s="468"/>
      <c r="F120" s="468"/>
      <c r="G120" s="468"/>
      <c r="H120" s="468"/>
      <c r="I120" s="468"/>
      <c r="J120" s="468"/>
      <c r="K120" s="468"/>
      <c r="L120" s="468"/>
      <c r="M120" s="1819"/>
      <c r="N120" s="1800"/>
      <c r="O120" s="1800"/>
      <c r="P120" s="1801"/>
      <c r="Q120" s="1802"/>
    </row>
    <row r="121" spans="1:17" s="1700" customFormat="1" ht="15.75"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2093</v>
      </c>
      <c r="C122" s="468"/>
      <c r="D122" s="468"/>
      <c r="E122" s="468"/>
      <c r="F122" s="1506"/>
      <c r="G122" s="1506"/>
      <c r="H122" s="1506"/>
      <c r="I122" s="1506"/>
      <c r="J122" s="1506"/>
      <c r="K122" s="473"/>
      <c r="L122" s="473"/>
      <c r="M122" s="1822"/>
      <c r="N122" s="1780"/>
      <c r="O122" s="1780"/>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1780"/>
      <c r="O124" s="1780"/>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5.75" thickBot="1">
      <c r="A127" s="1798"/>
      <c r="B127" s="1790"/>
      <c r="C127" s="1803"/>
      <c r="D127" s="1784"/>
      <c r="E127" s="1784"/>
      <c r="F127" s="1784"/>
      <c r="G127" s="1803"/>
      <c r="H127" s="1806"/>
      <c r="I127" s="1806"/>
      <c r="J127" s="1806"/>
      <c r="K127" s="1806"/>
      <c r="L127" s="1806"/>
      <c r="M127" s="1807"/>
      <c r="N127" s="1800"/>
      <c r="O127" s="1800"/>
      <c r="P127" s="1801"/>
      <c r="Q127" s="1802"/>
    </row>
    <row r="128" spans="1:17" ht="15"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5.75" thickBot="1">
      <c r="A129" s="1782"/>
      <c r="B129" s="1790"/>
      <c r="C129" s="1803"/>
      <c r="D129" s="1803"/>
      <c r="E129" s="1803"/>
      <c r="F129" s="1803"/>
      <c r="G129" s="1784"/>
      <c r="H129" s="1784"/>
      <c r="I129" s="1784"/>
      <c r="J129" s="1784"/>
      <c r="K129" s="1784"/>
      <c r="L129" s="1784"/>
      <c r="M129" s="1785"/>
      <c r="N129" s="1786"/>
      <c r="O129" s="1786"/>
      <c r="P129" s="1781"/>
      <c r="Q129" s="1750"/>
    </row>
    <row r="130" spans="1:17" ht="15"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5.75"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2095</v>
      </c>
    </row>
    <row r="137" spans="1:17" ht="15">
      <c r="B137" s="1840" t="s">
        <v>2096</v>
      </c>
      <c r="C137" s="1841"/>
      <c r="D137" s="1841"/>
      <c r="E137" s="1841"/>
      <c r="F137" s="1841"/>
      <c r="G137" s="1842"/>
      <c r="H137" s="1843"/>
      <c r="I137" s="1844" t="s">
        <v>2097</v>
      </c>
      <c r="J137" s="1841"/>
      <c r="K137" s="1845"/>
    </row>
    <row r="138" spans="1:17" ht="15">
      <c r="B138" s="1846"/>
      <c r="C138" s="1847" t="s">
        <v>2098</v>
      </c>
      <c r="D138" s="1847" t="s">
        <v>2099</v>
      </c>
      <c r="E138" s="1848" t="s">
        <v>2100</v>
      </c>
      <c r="F138" s="1849" t="s">
        <v>2101</v>
      </c>
      <c r="G138" s="1847" t="s">
        <v>2099</v>
      </c>
      <c r="H138" s="1850" t="s">
        <v>2100</v>
      </c>
      <c r="I138" s="1851"/>
      <c r="J138" s="1847" t="s">
        <v>2102</v>
      </c>
      <c r="K138" s="1850" t="s">
        <v>2103</v>
      </c>
    </row>
    <row r="139" spans="1:17" ht="15">
      <c r="B139" s="1852">
        <v>6</v>
      </c>
      <c r="C139" s="1853">
        <v>96</v>
      </c>
      <c r="D139" s="1854" t="s">
        <v>2104</v>
      </c>
      <c r="E139" s="1855">
        <v>100</v>
      </c>
      <c r="F139" s="1856">
        <v>102.5</v>
      </c>
      <c r="G139" s="1854" t="s">
        <v>2104</v>
      </c>
      <c r="H139" s="1857">
        <v>105</v>
      </c>
      <c r="I139" s="1858" t="s">
        <v>2105</v>
      </c>
      <c r="J139" s="1853">
        <v>20</v>
      </c>
      <c r="K139" s="1859">
        <f>C145/(J139-2)</f>
        <v>4.0555555555555553E-3</v>
      </c>
    </row>
    <row r="140" spans="1:17" ht="15">
      <c r="B140" s="1860">
        <v>5</v>
      </c>
      <c r="C140" s="1861">
        <v>100</v>
      </c>
      <c r="D140" s="1861"/>
      <c r="E140" s="1862"/>
      <c r="F140" s="1863">
        <v>102</v>
      </c>
      <c r="G140" s="1861"/>
      <c r="H140" s="1864"/>
      <c r="I140" s="1865" t="s">
        <v>2106</v>
      </c>
      <c r="J140" s="1866">
        <f>ROUNDUP((J139-1)/2,0)</f>
        <v>10</v>
      </c>
      <c r="K140" s="1867">
        <v>100</v>
      </c>
    </row>
    <row r="141" spans="1:17" ht="15">
      <c r="B141" s="1860">
        <v>4</v>
      </c>
      <c r="C141" s="1861">
        <v>102</v>
      </c>
      <c r="D141" s="1861"/>
      <c r="E141" s="1862"/>
      <c r="F141" s="1863">
        <v>101.5</v>
      </c>
      <c r="G141" s="1861"/>
      <c r="H141" s="1864"/>
      <c r="I141" s="1865" t="s">
        <v>2107</v>
      </c>
      <c r="J141" s="1866">
        <v>1</v>
      </c>
      <c r="K141" s="1868">
        <f>ROUND(100+(J141-J140)*K139*100,1)</f>
        <v>96.4</v>
      </c>
    </row>
    <row r="142" spans="1:17" ht="15">
      <c r="B142" s="1860">
        <v>3</v>
      </c>
      <c r="C142" s="1861">
        <v>103</v>
      </c>
      <c r="D142" s="1861"/>
      <c r="E142" s="1862"/>
      <c r="F142" s="1863">
        <v>101</v>
      </c>
      <c r="G142" s="1861"/>
      <c r="H142" s="1864"/>
      <c r="I142" s="1865" t="s">
        <v>2108</v>
      </c>
      <c r="J142" s="1866">
        <f>J139</f>
        <v>20</v>
      </c>
      <c r="K142" s="1869">
        <v>95</v>
      </c>
    </row>
    <row r="143" spans="1:17" ht="15">
      <c r="B143" s="1860">
        <v>2</v>
      </c>
      <c r="C143" s="1861">
        <v>100</v>
      </c>
      <c r="D143" s="1861"/>
      <c r="E143" s="1862"/>
      <c r="F143" s="1863">
        <v>100.5</v>
      </c>
      <c r="G143" s="1861"/>
      <c r="H143" s="1864"/>
      <c r="I143" s="1865" t="s">
        <v>2109</v>
      </c>
      <c r="J143" s="1861">
        <v>15</v>
      </c>
      <c r="K143" s="1868">
        <f>ROUND(100+(J143-J140)*K139*100,1)</f>
        <v>102</v>
      </c>
    </row>
    <row r="144" spans="1:17" ht="15">
      <c r="B144" s="1860">
        <v>1</v>
      </c>
      <c r="C144" s="1861">
        <v>98</v>
      </c>
      <c r="D144" s="1348" t="s">
        <v>2110</v>
      </c>
      <c r="E144" s="1862">
        <v>102</v>
      </c>
      <c r="F144" s="1870">
        <v>100</v>
      </c>
      <c r="G144" s="1348" t="s">
        <v>2110</v>
      </c>
      <c r="H144" s="1864">
        <v>105</v>
      </c>
      <c r="I144" s="1865" t="s">
        <v>2109</v>
      </c>
      <c r="J144" s="1861">
        <v>18</v>
      </c>
      <c r="K144" s="1868">
        <f>ROUND(100+(J144-J140)*K139*100,1)</f>
        <v>103.2</v>
      </c>
    </row>
    <row r="145" spans="2:11" ht="15.75" thickBot="1">
      <c r="B145" s="1871" t="s">
        <v>2111</v>
      </c>
      <c r="C145" s="1872">
        <f>ROUND(MAX(C139:C144)/MIN(C139:C144)-1,3)</f>
        <v>7.2999999999999995E-2</v>
      </c>
      <c r="D145" s="1873"/>
      <c r="E145" s="1873"/>
      <c r="F145" s="1502" t="s">
        <v>2112</v>
      </c>
      <c r="G145" s="1874"/>
      <c r="H145" s="1875"/>
      <c r="I145" s="1876" t="s">
        <v>2109</v>
      </c>
      <c r="J145" s="1877">
        <v>8</v>
      </c>
      <c r="K145" s="1878">
        <f>ROUND(100+(J145-J140)*K139*100,1)</f>
        <v>99.2</v>
      </c>
    </row>
    <row r="147" spans="2:11">
      <c r="B147" s="1501" t="s">
        <v>2113</v>
      </c>
    </row>
    <row r="148" spans="2:11">
      <c r="B148" s="1501" t="s">
        <v>2114</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G53" sqref="G53"/>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2115</v>
      </c>
      <c r="C1" s="1567"/>
      <c r="D1" s="2388"/>
      <c r="E1" s="1569"/>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t="e">
        <f ca="1">IF(D2="——",IF(C2="元",ROUND(C49*D3,0),ROUND(C49*D3/10000,0)),IF(C2="元",ROUND(C49*D3,0),ROUND(C49*D3/10000,0))-E2)</f>
        <v>#DIV/0!</v>
      </c>
      <c r="C2" s="1579" t="str">
        <f>'数据-取费表'!B3</f>
        <v>元</v>
      </c>
      <c r="D2" s="1580"/>
      <c r="E2" s="2389" t="e">
        <f ca="1">SUMIF(INDIRECT("'"&amp;G2&amp;"'"&amp;"!A:A"),"承租人权益价值",INDIRECT("'"&amp;G2&amp;"'"&amp;"!c:c"))</f>
        <v>#REF!</v>
      </c>
      <c r="F2" s="1582" t="str">
        <f>C2</f>
        <v>元</v>
      </c>
      <c r="G2" s="1583"/>
      <c r="H2" s="2929"/>
      <c r="I2" s="2929"/>
      <c r="J2" s="2929"/>
      <c r="K2" s="2929"/>
      <c r="L2" s="2931"/>
      <c r="M2" s="2929"/>
      <c r="N2" s="2929"/>
      <c r="O2" s="2929"/>
      <c r="P2" s="2390"/>
      <c r="Q2" s="1885"/>
      <c r="R2" s="1885"/>
      <c r="S2" s="1885"/>
      <c r="T2" s="1885"/>
      <c r="U2" s="1885"/>
      <c r="V2" s="1885"/>
      <c r="W2" s="1885"/>
      <c r="X2" s="1885"/>
      <c r="Y2" s="1885"/>
      <c r="Z2" s="1885"/>
      <c r="AA2" s="1885"/>
      <c r="AB2" s="1885"/>
      <c r="AC2" s="1886"/>
    </row>
    <row r="3" spans="1:29" s="1888" customFormat="1" ht="28.5" customHeight="1" thickBot="1">
      <c r="A3" s="1587" t="s">
        <v>1675</v>
      </c>
      <c r="B3" s="1891" t="e">
        <f ca="1">ROUND(IF(D2="——",C49,IF(C2="万元",B2*10000/D3,B2/D3)),0)</f>
        <v>#DIV/0!</v>
      </c>
      <c r="C3" s="1588" t="s">
        <v>2005</v>
      </c>
      <c r="D3" s="1588">
        <f>IF(C1="仅计算典型户型",'数据-取费表'!E5,'数据-取费表'!B5)</f>
        <v>73.739999999999995</v>
      </c>
      <c r="F3" s="2928"/>
      <c r="G3" s="2929"/>
      <c r="H3" s="2929"/>
      <c r="I3" s="2929"/>
      <c r="J3" s="2929"/>
      <c r="K3" s="2930"/>
      <c r="L3" s="2931"/>
      <c r="M3" s="2929"/>
      <c r="N3" s="2929"/>
      <c r="O3" s="2929"/>
      <c r="P3" s="2390"/>
      <c r="Q3" s="1885"/>
      <c r="R3" s="1885"/>
      <c r="S3" s="1885"/>
      <c r="T3" s="1885"/>
      <c r="U3" s="1885"/>
      <c r="V3" s="1885"/>
      <c r="W3" s="1885"/>
      <c r="X3" s="1885"/>
      <c r="Y3" s="1885"/>
      <c r="Z3" s="1885"/>
      <c r="AA3" s="1885"/>
      <c r="AB3" s="1885"/>
      <c r="AC3" s="1893"/>
    </row>
    <row r="4" spans="1:29" ht="15">
      <c r="A4" s="1591" t="s">
        <v>2006</v>
      </c>
      <c r="B4" s="1592"/>
      <c r="C4" s="3576" t="s">
        <v>2007</v>
      </c>
      <c r="D4" s="3577"/>
      <c r="E4" s="3578" t="s">
        <v>2008</v>
      </c>
      <c r="F4" s="3579"/>
      <c r="G4" s="3576" t="s">
        <v>2009</v>
      </c>
      <c r="H4" s="3577"/>
      <c r="I4" s="3576" t="s">
        <v>2010</v>
      </c>
      <c r="J4" s="3577"/>
      <c r="K4" s="1894" t="s">
        <v>2011</v>
      </c>
      <c r="L4" s="2914"/>
      <c r="M4" s="2915"/>
      <c r="N4" s="2915"/>
      <c r="O4" s="2915"/>
      <c r="P4" s="3580" t="s">
        <v>2012</v>
      </c>
      <c r="Q4" s="3581"/>
      <c r="R4" s="3586" t="s">
        <v>2008</v>
      </c>
      <c r="S4" s="3587"/>
      <c r="T4" s="3586" t="s">
        <v>2009</v>
      </c>
      <c r="U4" s="3587"/>
      <c r="V4" s="3592" t="s">
        <v>2010</v>
      </c>
      <c r="W4" s="3592"/>
      <c r="X4" s="2003"/>
      <c r="Y4" s="3586" t="s">
        <v>2012</v>
      </c>
      <c r="Z4" s="3587"/>
      <c r="AA4" s="3573" t="s">
        <v>2008</v>
      </c>
      <c r="AB4" s="3592" t="s">
        <v>2009</v>
      </c>
      <c r="AC4" s="3573" t="s">
        <v>2010</v>
      </c>
    </row>
    <row r="5" spans="1:29" ht="15">
      <c r="A5" s="1596"/>
      <c r="B5" s="1597"/>
      <c r="C5" s="3633" t="s">
        <v>2013</v>
      </c>
      <c r="D5" s="3570"/>
      <c r="E5" s="3632" t="s">
        <v>2014</v>
      </c>
      <c r="F5" s="3594"/>
      <c r="G5" s="3633" t="s">
        <v>2015</v>
      </c>
      <c r="H5" s="3570"/>
      <c r="I5" s="3633" t="s">
        <v>2016</v>
      </c>
      <c r="J5" s="3570"/>
      <c r="K5" s="1894"/>
      <c r="L5" s="2914"/>
      <c r="M5" s="2915"/>
      <c r="N5" s="2915"/>
      <c r="O5" s="2915"/>
      <c r="P5" s="3582"/>
      <c r="Q5" s="3583"/>
      <c r="R5" s="3588"/>
      <c r="S5" s="3589"/>
      <c r="T5" s="3588"/>
      <c r="U5" s="3589"/>
      <c r="V5" s="3592"/>
      <c r="W5" s="3592"/>
      <c r="X5" s="2003"/>
      <c r="Y5" s="3588"/>
      <c r="Z5" s="3589"/>
      <c r="AA5" s="3574"/>
      <c r="AB5" s="3592"/>
      <c r="AC5" s="3574"/>
    </row>
    <row r="6" spans="1:29" ht="15.75" thickBot="1">
      <c r="A6" s="1599"/>
      <c r="B6" s="1600"/>
      <c r="C6" s="3566" t="s">
        <v>2017</v>
      </c>
      <c r="D6" s="3567"/>
      <c r="E6" s="3564" t="s">
        <v>2017</v>
      </c>
      <c r="F6" s="3565"/>
      <c r="G6" s="3566" t="s">
        <v>2017</v>
      </c>
      <c r="H6" s="3567"/>
      <c r="I6" s="3566" t="s">
        <v>2017</v>
      </c>
      <c r="J6" s="3567"/>
      <c r="K6" s="1894" t="s">
        <v>2018</v>
      </c>
      <c r="L6" s="2914"/>
      <c r="M6" s="2915"/>
      <c r="N6" s="2915"/>
      <c r="O6" s="2915"/>
      <c r="P6" s="3584"/>
      <c r="Q6" s="3585"/>
      <c r="R6" s="3588"/>
      <c r="S6" s="3589"/>
      <c r="T6" s="3590"/>
      <c r="U6" s="3591"/>
      <c r="V6" s="3592"/>
      <c r="W6" s="3592"/>
      <c r="X6" s="2003"/>
      <c r="Y6" s="3590"/>
      <c r="Z6" s="3591"/>
      <c r="AA6" s="3575"/>
      <c r="AB6" s="3592"/>
      <c r="AC6" s="3575"/>
    </row>
    <row r="7" spans="1:29" s="1613" customFormat="1" ht="15.75" thickBot="1">
      <c r="A7" s="1601" t="s">
        <v>2019</v>
      </c>
      <c r="B7" s="1602"/>
      <c r="C7" s="1603">
        <f>'数据-取费表'!B2</f>
        <v>44675</v>
      </c>
      <c r="D7" s="1604">
        <v>100</v>
      </c>
      <c r="E7" s="1605"/>
      <c r="F7" s="1606">
        <f>SUMIF(58:58,YEAR(E7)&amp;"-"&amp;MONTH(E7),59:59)</f>
        <v>0</v>
      </c>
      <c r="G7" s="1605"/>
      <c r="H7" s="1604">
        <f>SUMIF(58:58,YEAR(G7)&amp;"-"&amp;MONTH(G7),59:59)</f>
        <v>0</v>
      </c>
      <c r="I7" s="1605"/>
      <c r="J7" s="1604">
        <f>SUMIF(58:58,YEAR(I7)&amp;"-"&amp;MONTH(I7),59:59)</f>
        <v>0</v>
      </c>
      <c r="K7" s="1896"/>
      <c r="L7" s="2914"/>
      <c r="M7" s="2887"/>
      <c r="N7" s="2887"/>
      <c r="O7" s="2887"/>
      <c r="P7" s="3571" t="s">
        <v>2020</v>
      </c>
      <c r="Q7" s="3595"/>
      <c r="R7" s="1609" t="s">
        <v>25</v>
      </c>
      <c r="S7" s="1610">
        <f t="shared" ref="S7:S15" si="0">F7</f>
        <v>0</v>
      </c>
      <c r="T7" s="1609" t="s">
        <v>25</v>
      </c>
      <c r="U7" s="1610">
        <f t="shared" ref="U7:U15" si="1">H7</f>
        <v>0</v>
      </c>
      <c r="V7" s="1609" t="s">
        <v>25</v>
      </c>
      <c r="W7" s="1610">
        <f t="shared" ref="W7:W15" si="2">J7</f>
        <v>0</v>
      </c>
      <c r="X7" s="1611"/>
      <c r="Y7" s="3571" t="s">
        <v>2020</v>
      </c>
      <c r="Z7" s="3572"/>
      <c r="AA7" s="1612" t="e">
        <f>D7/F7</f>
        <v>#DIV/0!</v>
      </c>
      <c r="AB7" s="1612" t="e">
        <f>D7/H7</f>
        <v>#DIV/0!</v>
      </c>
      <c r="AC7" s="1612" t="e">
        <f>D7/J7</f>
        <v>#DIV/0!</v>
      </c>
    </row>
    <row r="8" spans="1:29" s="1613" customFormat="1" ht="15.75" thickBot="1">
      <c r="A8" s="1601" t="s">
        <v>2021</v>
      </c>
      <c r="B8" s="1602"/>
      <c r="C8" s="1614" t="s">
        <v>2022</v>
      </c>
      <c r="D8" s="1604">
        <v>100</v>
      </c>
      <c r="E8" s="1614"/>
      <c r="F8" s="1606">
        <f>SUMIF(61:61,E8,62:62)-SUMIF(61:61,C8,62:62)+100</f>
        <v>0</v>
      </c>
      <c r="G8" s="1614"/>
      <c r="H8" s="1604">
        <f>SUMIF(61:61,G8,62:62)-SUMIF(61:61,C8,62:62)+100</f>
        <v>0</v>
      </c>
      <c r="I8" s="1614"/>
      <c r="J8" s="1604">
        <f>SUMIF(61:61,I8,62:62)-SUMIF(61:61,C8,62:62)+100</f>
        <v>0</v>
      </c>
      <c r="K8" s="1896"/>
      <c r="L8" s="2914"/>
      <c r="M8" s="2887"/>
      <c r="N8" s="2887"/>
      <c r="O8" s="2887"/>
      <c r="P8" s="3571" t="s">
        <v>2023</v>
      </c>
      <c r="Q8" s="3572"/>
      <c r="R8" s="1609" t="s">
        <v>25</v>
      </c>
      <c r="S8" s="1610">
        <f t="shared" si="0"/>
        <v>0</v>
      </c>
      <c r="T8" s="1609" t="s">
        <v>25</v>
      </c>
      <c r="U8" s="1610">
        <f t="shared" si="1"/>
        <v>0</v>
      </c>
      <c r="V8" s="1609" t="s">
        <v>25</v>
      </c>
      <c r="W8" s="1610">
        <f t="shared" si="2"/>
        <v>0</v>
      </c>
      <c r="X8" s="1611"/>
      <c r="Y8" s="3571" t="s">
        <v>2023</v>
      </c>
      <c r="Z8" s="3572"/>
      <c r="AA8" s="1612" t="e">
        <f t="shared" ref="AA8:AA46" si="3">D8/F8</f>
        <v>#DIV/0!</v>
      </c>
      <c r="AB8" s="1612" t="e">
        <f t="shared" ref="AB8:AB46" si="4">D8/H8</f>
        <v>#DIV/0!</v>
      </c>
      <c r="AC8" s="1612" t="e">
        <f t="shared" ref="AC8:AC46" si="5">D8/J8</f>
        <v>#DIV/0!</v>
      </c>
    </row>
    <row r="9" spans="1:29" s="1613" customFormat="1">
      <c r="A9" s="1995" t="s">
        <v>2024</v>
      </c>
      <c r="B9" s="1616" t="s">
        <v>2025</v>
      </c>
      <c r="C9" s="1617"/>
      <c r="D9" s="1618">
        <v>100</v>
      </c>
      <c r="E9" s="1619"/>
      <c r="F9" s="1620">
        <f>SUMIF(63:63,E9,64:64)-SUMIF(63:63,C9,64:64)+100</f>
        <v>100</v>
      </c>
      <c r="G9" s="1619"/>
      <c r="H9" s="1618">
        <f>SUMIF(63:63,G9,64:64)-SUMIF(63:63,C9,64:64)+100</f>
        <v>100</v>
      </c>
      <c r="I9" s="1619"/>
      <c r="J9" s="1618">
        <f>SUMIF(63:63,I9,64:64)-SUMIF(63:63,C9,64:64)+100</f>
        <v>100</v>
      </c>
      <c r="K9" s="1896"/>
      <c r="L9" s="2914"/>
      <c r="M9" s="2887"/>
      <c r="N9" s="2887"/>
      <c r="O9" s="2887"/>
      <c r="P9" s="3637" t="s">
        <v>2026</v>
      </c>
      <c r="Q9" s="1994" t="str">
        <f t="shared" ref="Q9:Q15" si="6">B9</f>
        <v>用途</v>
      </c>
      <c r="R9" s="1609" t="s">
        <v>25</v>
      </c>
      <c r="S9" s="1610">
        <f t="shared" si="0"/>
        <v>100</v>
      </c>
      <c r="T9" s="1609" t="s">
        <v>25</v>
      </c>
      <c r="U9" s="1610">
        <f t="shared" si="1"/>
        <v>100</v>
      </c>
      <c r="V9" s="1609" t="s">
        <v>25</v>
      </c>
      <c r="W9" s="1610">
        <f t="shared" si="2"/>
        <v>100</v>
      </c>
      <c r="X9" s="1611"/>
      <c r="Y9" s="3494"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921"/>
      <c r="L10" s="2916"/>
      <c r="M10" s="2917"/>
      <c r="N10" s="2917"/>
      <c r="O10" s="2917"/>
      <c r="P10" s="3637"/>
      <c r="Q10" s="1994" t="str">
        <f t="shared" si="6"/>
        <v>土地使用年限（年）</v>
      </c>
      <c r="R10" s="1609" t="s">
        <v>25</v>
      </c>
      <c r="S10" s="1610">
        <f t="shared" si="0"/>
        <v>100</v>
      </c>
      <c r="T10" s="1609" t="s">
        <v>25</v>
      </c>
      <c r="U10" s="1610">
        <f t="shared" si="1"/>
        <v>100</v>
      </c>
      <c r="V10" s="1609" t="s">
        <v>25</v>
      </c>
      <c r="W10" s="1610">
        <f t="shared" si="2"/>
        <v>100</v>
      </c>
      <c r="X10" s="1611"/>
      <c r="Y10" s="3494"/>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921"/>
      <c r="L11" s="2918"/>
      <c r="M11" s="2915"/>
      <c r="N11" s="2915"/>
      <c r="O11" s="2915"/>
      <c r="P11" s="3637"/>
      <c r="Q11" s="1994" t="str">
        <f t="shared" si="6"/>
        <v>容积率</v>
      </c>
      <c r="R11" s="1609" t="s">
        <v>25</v>
      </c>
      <c r="S11" s="1610" t="e">
        <f t="shared" si="0"/>
        <v>#N/A</v>
      </c>
      <c r="T11" s="1609" t="s">
        <v>25</v>
      </c>
      <c r="U11" s="1610" t="e">
        <f t="shared" si="1"/>
        <v>#N/A</v>
      </c>
      <c r="V11" s="1609" t="s">
        <v>25</v>
      </c>
      <c r="W11" s="1610" t="e">
        <f t="shared" si="2"/>
        <v>#N/A</v>
      </c>
      <c r="X11" s="1611"/>
      <c r="Y11" s="3494"/>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4"/>
      <c r="M12" s="2887"/>
      <c r="N12" s="2887"/>
      <c r="O12" s="2887"/>
      <c r="P12" s="3637"/>
      <c r="Q12" s="1994">
        <f t="shared" si="6"/>
        <v>111</v>
      </c>
      <c r="R12" s="1609" t="s">
        <v>25</v>
      </c>
      <c r="S12" s="1610">
        <f t="shared" si="0"/>
        <v>100</v>
      </c>
      <c r="T12" s="1609" t="s">
        <v>25</v>
      </c>
      <c r="U12" s="1610">
        <f t="shared" si="1"/>
        <v>100</v>
      </c>
      <c r="V12" s="1609" t="s">
        <v>25</v>
      </c>
      <c r="W12" s="1610">
        <f t="shared" si="2"/>
        <v>100</v>
      </c>
      <c r="X12" s="1611"/>
      <c r="Y12" s="3494"/>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19"/>
      <c r="M13" s="2915"/>
      <c r="N13" s="2915"/>
      <c r="O13" s="2915"/>
      <c r="P13" s="3637"/>
      <c r="Q13" s="1994">
        <f t="shared" si="6"/>
        <v>111</v>
      </c>
      <c r="R13" s="1609" t="s">
        <v>25</v>
      </c>
      <c r="S13" s="1610">
        <f t="shared" si="0"/>
        <v>100</v>
      </c>
      <c r="T13" s="1609" t="s">
        <v>25</v>
      </c>
      <c r="U13" s="1610">
        <f t="shared" si="1"/>
        <v>100</v>
      </c>
      <c r="V13" s="1609" t="s">
        <v>25</v>
      </c>
      <c r="W13" s="1610">
        <f t="shared" si="2"/>
        <v>100</v>
      </c>
      <c r="X13" s="1611"/>
      <c r="Y13" s="3494"/>
      <c r="Z13" s="1622">
        <f t="shared" si="7"/>
        <v>111</v>
      </c>
      <c r="AA13" s="1612">
        <f t="shared" si="3"/>
        <v>1</v>
      </c>
      <c r="AB13" s="1612">
        <f t="shared" si="4"/>
        <v>1</v>
      </c>
      <c r="AC13" s="1612">
        <f t="shared" si="5"/>
        <v>1</v>
      </c>
    </row>
    <row r="14" spans="1:29" ht="15.75"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19"/>
      <c r="M14" s="2915"/>
      <c r="N14" s="2915"/>
      <c r="O14" s="2915"/>
      <c r="P14" s="3637"/>
      <c r="Q14" s="1994">
        <f t="shared" si="6"/>
        <v>111</v>
      </c>
      <c r="R14" s="1609" t="s">
        <v>25</v>
      </c>
      <c r="S14" s="1610">
        <f t="shared" si="0"/>
        <v>100</v>
      </c>
      <c r="T14" s="1609" t="s">
        <v>25</v>
      </c>
      <c r="U14" s="1610">
        <f t="shared" si="1"/>
        <v>100</v>
      </c>
      <c r="V14" s="1609" t="s">
        <v>25</v>
      </c>
      <c r="W14" s="1610">
        <f t="shared" si="2"/>
        <v>100</v>
      </c>
      <c r="X14" s="1611"/>
      <c r="Y14" s="3494"/>
      <c r="Z14" s="1622">
        <f t="shared" si="7"/>
        <v>111</v>
      </c>
      <c r="AA14" s="1612">
        <f t="shared" si="3"/>
        <v>1</v>
      </c>
      <c r="AB14" s="1612">
        <f t="shared" si="4"/>
        <v>1</v>
      </c>
      <c r="AC14" s="1612">
        <f t="shared" si="5"/>
        <v>1</v>
      </c>
    </row>
    <row r="15" spans="1:29" ht="71.25">
      <c r="A15" s="1646" t="s">
        <v>2030</v>
      </c>
      <c r="B15" s="1647" t="s">
        <v>2116</v>
      </c>
      <c r="C15" s="1648" t="str">
        <f>估价对象房地状况!C4</f>
        <v>估价对象位于XX商圈，周边商业氛围成熟，人流量大，商业繁华度好</v>
      </c>
      <c r="D15" s="1649">
        <v>100</v>
      </c>
      <c r="E15" s="1650"/>
      <c r="F15" s="1651">
        <f>SUMIF(76:76,E16,77:77)-SUMIF(76:76,C16,77:77)+100</f>
        <v>100</v>
      </c>
      <c r="G15" s="1652"/>
      <c r="H15" s="1649">
        <f>SUMIF(76:76,G16,77:77)-SUMIF(76:76,C16,77:77)+100</f>
        <v>100</v>
      </c>
      <c r="I15" s="1650"/>
      <c r="J15" s="1649">
        <f>SUMIF(76:76,I16,77:77)-SUMIF(76:76,C16,77:77)+100</f>
        <v>100</v>
      </c>
      <c r="K15" s="2391"/>
      <c r="L15" s="2919"/>
      <c r="M15" s="2915"/>
      <c r="N15" s="2915"/>
      <c r="O15" s="2915"/>
      <c r="P15" s="3638" t="s">
        <v>2031</v>
      </c>
      <c r="Q15" s="2000" t="str">
        <f t="shared" si="6"/>
        <v>商业繁华度</v>
      </c>
      <c r="R15" s="1654" t="s">
        <v>25</v>
      </c>
      <c r="S15" s="1655">
        <f t="shared" si="0"/>
        <v>100</v>
      </c>
      <c r="T15" s="1654" t="s">
        <v>25</v>
      </c>
      <c r="U15" s="1655">
        <f t="shared" si="1"/>
        <v>100</v>
      </c>
      <c r="V15" s="1654" t="s">
        <v>25</v>
      </c>
      <c r="W15" s="1655">
        <f t="shared" si="2"/>
        <v>100</v>
      </c>
      <c r="X15" s="2003"/>
      <c r="Y15" s="3596" t="s">
        <v>2031</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19"/>
      <c r="M16" s="2915"/>
      <c r="N16" s="2915"/>
      <c r="O16" s="2915"/>
      <c r="P16" s="3639"/>
      <c r="Q16" s="2000"/>
      <c r="R16" s="1654"/>
      <c r="S16" s="1655"/>
      <c r="T16" s="1654"/>
      <c r="U16" s="1655"/>
      <c r="V16" s="1654"/>
      <c r="W16" s="1655"/>
      <c r="X16" s="2003"/>
      <c r="Y16" s="3597"/>
      <c r="Z16" s="2007"/>
      <c r="AA16" s="1998">
        <v>1</v>
      </c>
      <c r="AB16" s="1998">
        <v>1</v>
      </c>
      <c r="AC16" s="1998">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2391"/>
      <c r="L17" s="2919"/>
      <c r="M17" s="2915"/>
      <c r="N17" s="2915"/>
      <c r="O17" s="2915"/>
      <c r="P17" s="3639"/>
      <c r="Q17" s="2000" t="str">
        <f>B17</f>
        <v>交通便捷度</v>
      </c>
      <c r="R17" s="1654" t="s">
        <v>25</v>
      </c>
      <c r="S17" s="1655">
        <f>F17</f>
        <v>100</v>
      </c>
      <c r="T17" s="1654" t="s">
        <v>25</v>
      </c>
      <c r="U17" s="1655">
        <f>H17</f>
        <v>100</v>
      </c>
      <c r="V17" s="1654" t="s">
        <v>25</v>
      </c>
      <c r="W17" s="1655">
        <f>J17</f>
        <v>100</v>
      </c>
      <c r="X17" s="2003"/>
      <c r="Y17" s="3597"/>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19"/>
      <c r="M18" s="2915"/>
      <c r="N18" s="2915"/>
      <c r="O18" s="2915"/>
      <c r="P18" s="3639"/>
      <c r="Q18" s="2000"/>
      <c r="R18" s="1654"/>
      <c r="S18" s="1655"/>
      <c r="T18" s="1654"/>
      <c r="U18" s="1655"/>
      <c r="V18" s="1654"/>
      <c r="W18" s="1655"/>
      <c r="X18" s="2003"/>
      <c r="Y18" s="3597"/>
      <c r="Z18" s="2007"/>
      <c r="AA18" s="1998">
        <v>1</v>
      </c>
      <c r="AB18" s="1998">
        <v>1</v>
      </c>
      <c r="AC18" s="1998">
        <v>1</v>
      </c>
    </row>
    <row r="19" spans="1:29" ht="42.75">
      <c r="A19" s="1631"/>
      <c r="B19" s="1666" t="s">
        <v>2117</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2391"/>
      <c r="L19" s="2919"/>
      <c r="M19" s="2915"/>
      <c r="N19" s="2915"/>
      <c r="O19" s="2915"/>
      <c r="P19" s="3639"/>
      <c r="Q19" s="2000" t="str">
        <f>B19</f>
        <v>公共配套设施</v>
      </c>
      <c r="R19" s="1654" t="s">
        <v>25</v>
      </c>
      <c r="S19" s="1655">
        <f>F19</f>
        <v>100</v>
      </c>
      <c r="T19" s="1654" t="s">
        <v>25</v>
      </c>
      <c r="U19" s="1655">
        <f>H19</f>
        <v>100</v>
      </c>
      <c r="V19" s="1654" t="s">
        <v>25</v>
      </c>
      <c r="W19" s="1655">
        <f>J19</f>
        <v>100</v>
      </c>
      <c r="X19" s="2003"/>
      <c r="Y19" s="3597"/>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19"/>
      <c r="M20" s="2915"/>
      <c r="N20" s="2915"/>
      <c r="O20" s="2915"/>
      <c r="P20" s="3639"/>
      <c r="Q20" s="2000"/>
      <c r="R20" s="1654"/>
      <c r="S20" s="1655"/>
      <c r="T20" s="1654"/>
      <c r="U20" s="1655"/>
      <c r="V20" s="1654"/>
      <c r="W20" s="1655"/>
      <c r="X20" s="2003"/>
      <c r="Y20" s="3597"/>
      <c r="Z20" s="2007"/>
      <c r="AA20" s="1998">
        <v>1</v>
      </c>
      <c r="AB20" s="1998">
        <v>1</v>
      </c>
      <c r="AC20" s="1998">
        <v>1</v>
      </c>
    </row>
    <row r="21" spans="1:29" ht="28.5">
      <c r="A21" s="1631"/>
      <c r="B21" s="1679" t="s">
        <v>2118</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2391"/>
      <c r="L21" s="2919"/>
      <c r="M21" s="2915"/>
      <c r="N21" s="2915"/>
      <c r="O21" s="2915"/>
      <c r="P21" s="3639"/>
      <c r="Q21" s="2000" t="str">
        <f>B21</f>
        <v>基础设施水平</v>
      </c>
      <c r="R21" s="1654" t="s">
        <v>25</v>
      </c>
      <c r="S21" s="1655">
        <f>F21</f>
        <v>100</v>
      </c>
      <c r="T21" s="1654" t="s">
        <v>25</v>
      </c>
      <c r="U21" s="1655">
        <f>H21</f>
        <v>100</v>
      </c>
      <c r="V21" s="1654" t="s">
        <v>25</v>
      </c>
      <c r="W21" s="1655">
        <f>J21</f>
        <v>100</v>
      </c>
      <c r="X21" s="2003"/>
      <c r="Y21" s="3597"/>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19"/>
      <c r="M22" s="2915"/>
      <c r="N22" s="2915"/>
      <c r="O22" s="2915"/>
      <c r="P22" s="3639"/>
      <c r="Q22" s="2000"/>
      <c r="R22" s="1654"/>
      <c r="S22" s="1655"/>
      <c r="T22" s="1654"/>
      <c r="U22" s="1655"/>
      <c r="V22" s="1654"/>
      <c r="W22" s="1655"/>
      <c r="X22" s="2003"/>
      <c r="Y22" s="3597"/>
      <c r="Z22" s="2007"/>
      <c r="AA22" s="1998">
        <v>1</v>
      </c>
      <c r="AB22" s="1998">
        <v>1</v>
      </c>
      <c r="AC22" s="1998">
        <v>1</v>
      </c>
    </row>
    <row r="23" spans="1:29" ht="57">
      <c r="A23" s="1631"/>
      <c r="B23" s="1666" t="s">
        <v>1468</v>
      </c>
      <c r="C23" s="2394"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2391"/>
      <c r="L23" s="2919"/>
      <c r="M23" s="2915"/>
      <c r="N23" s="2915"/>
      <c r="O23" s="2915"/>
      <c r="P23" s="3639"/>
      <c r="Q23" s="2000" t="str">
        <f>B23</f>
        <v>自然及人文环境</v>
      </c>
      <c r="R23" s="1654" t="s">
        <v>25</v>
      </c>
      <c r="S23" s="1655">
        <f>F23</f>
        <v>100</v>
      </c>
      <c r="T23" s="1654" t="s">
        <v>25</v>
      </c>
      <c r="U23" s="1655">
        <f>H23</f>
        <v>100</v>
      </c>
      <c r="V23" s="1654" t="s">
        <v>25</v>
      </c>
      <c r="W23" s="1655">
        <f>J23</f>
        <v>100</v>
      </c>
      <c r="X23" s="2003"/>
      <c r="Y23" s="3597"/>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19"/>
      <c r="M24" s="2915"/>
      <c r="N24" s="2915"/>
      <c r="O24" s="2915"/>
      <c r="P24" s="3639"/>
      <c r="Q24" s="2000"/>
      <c r="R24" s="1654"/>
      <c r="S24" s="1655"/>
      <c r="T24" s="1654"/>
      <c r="U24" s="1655"/>
      <c r="V24" s="1654"/>
      <c r="W24" s="1655"/>
      <c r="X24" s="2003"/>
      <c r="Y24" s="3597"/>
      <c r="Z24" s="2007"/>
      <c r="AA24" s="1998">
        <v>1</v>
      </c>
      <c r="AB24" s="1998">
        <v>1</v>
      </c>
      <c r="AC24" s="1998">
        <v>1</v>
      </c>
    </row>
    <row r="25" spans="1:29" ht="15">
      <c r="A25" s="1631"/>
      <c r="B25" s="1624" t="s">
        <v>2119</v>
      </c>
      <c r="C25" s="1920"/>
      <c r="D25" s="1640">
        <v>100</v>
      </c>
      <c r="E25" s="1920"/>
      <c r="F25" s="1683">
        <f>SUMIF(86:86,E25,87:87)-SUMIF(86:86,C25,87:87)+100</f>
        <v>100</v>
      </c>
      <c r="G25" s="1920"/>
      <c r="H25" s="1640">
        <f>SUMIF(86:86,G25,87:87)-SUMIF(86:86,C25,87:87)+100</f>
        <v>100</v>
      </c>
      <c r="I25" s="1920"/>
      <c r="J25" s="1640">
        <f>SUMIF(86:86,I25,87:87)-SUMIF(86:86,C25,87:87)+100</f>
        <v>100</v>
      </c>
      <c r="K25" s="1921"/>
      <c r="L25" s="2919"/>
      <c r="M25" s="2915"/>
      <c r="N25" s="2915"/>
      <c r="O25" s="2915"/>
      <c r="P25" s="3639"/>
      <c r="Q25" s="2000" t="str">
        <f t="shared" ref="Q25:Q46" si="11">B25</f>
        <v>临街状况</v>
      </c>
      <c r="R25" s="1654" t="s">
        <v>25</v>
      </c>
      <c r="S25" s="1655">
        <f>F25</f>
        <v>100</v>
      </c>
      <c r="T25" s="1654" t="s">
        <v>25</v>
      </c>
      <c r="U25" s="1655">
        <f>H25</f>
        <v>100</v>
      </c>
      <c r="V25" s="1654" t="s">
        <v>25</v>
      </c>
      <c r="W25" s="1655">
        <f>J25</f>
        <v>100</v>
      </c>
      <c r="X25" s="2003"/>
      <c r="Y25" s="3597"/>
      <c r="Z25" s="2007" t="str">
        <f>Q25</f>
        <v>临街状况</v>
      </c>
      <c r="AA25" s="1998">
        <f t="shared" si="3"/>
        <v>1</v>
      </c>
      <c r="AB25" s="1998">
        <f t="shared" si="4"/>
        <v>1</v>
      </c>
      <c r="AC25" s="1998">
        <f t="shared" si="5"/>
        <v>1</v>
      </c>
    </row>
    <row r="26" spans="1:29" ht="15">
      <c r="A26" s="1631"/>
      <c r="B26" s="1689" t="s">
        <v>2120</v>
      </c>
      <c r="C26" s="1639"/>
      <c r="D26" s="1640">
        <v>100</v>
      </c>
      <c r="E26" s="1639"/>
      <c r="F26" s="1683">
        <f>SUMIF(88:88,E26,89:89)-SUMIF(88:88,C26,89:89)+100</f>
        <v>100</v>
      </c>
      <c r="G26" s="1639"/>
      <c r="H26" s="1640">
        <f>SUMIF(88:88,G26,89:89)-SUMIF(88:88,C26,89:89)+100</f>
        <v>100</v>
      </c>
      <c r="I26" s="1639"/>
      <c r="J26" s="1640">
        <f>SUMIF(88:88,I26,89:89)-SUMIF(88:88,C26,89:89)+100</f>
        <v>100</v>
      </c>
      <c r="K26" s="1918"/>
      <c r="L26" s="2919"/>
      <c r="M26" s="2915"/>
      <c r="N26" s="2915"/>
      <c r="O26" s="2915"/>
      <c r="P26" s="3639"/>
      <c r="Q26" s="2000" t="str">
        <f t="shared" si="11"/>
        <v>平面位置/可视性</v>
      </c>
      <c r="R26" s="1654" t="s">
        <v>25</v>
      </c>
      <c r="S26" s="1655">
        <f>F26</f>
        <v>100</v>
      </c>
      <c r="T26" s="1654" t="s">
        <v>25</v>
      </c>
      <c r="U26" s="1655">
        <f>H26</f>
        <v>100</v>
      </c>
      <c r="V26" s="1654" t="s">
        <v>25</v>
      </c>
      <c r="W26" s="1655">
        <f>J26</f>
        <v>100</v>
      </c>
      <c r="X26" s="2003"/>
      <c r="Y26" s="3597"/>
      <c r="Z26" s="2007" t="str">
        <f>Q26</f>
        <v>平面位置/可视性</v>
      </c>
      <c r="AA26" s="1998">
        <f t="shared" si="3"/>
        <v>1</v>
      </c>
      <c r="AB26" s="1998">
        <f t="shared" si="4"/>
        <v>1</v>
      </c>
      <c r="AC26" s="1998">
        <f t="shared" si="5"/>
        <v>1</v>
      </c>
    </row>
    <row r="27" spans="1:29" s="1613" customFormat="1" ht="15">
      <c r="A27" s="1634"/>
      <c r="B27" s="1666" t="s">
        <v>2121</v>
      </c>
      <c r="C27" s="2395"/>
      <c r="D27" s="1685">
        <v>100</v>
      </c>
      <c r="E27" s="2395"/>
      <c r="F27" s="1687">
        <f>SUMIF(90:90,E27,91:91)-SUMIF(90:90,C27,91:91)+100</f>
        <v>100</v>
      </c>
      <c r="G27" s="2395"/>
      <c r="H27" s="1685">
        <f>SUMIF(90:90,G27,91:91)-SUMIF(90:90,C27,91:91)+100</f>
        <v>100</v>
      </c>
      <c r="I27" s="2395"/>
      <c r="J27" s="1685">
        <f>SUMIF(90:90,I27,91:91)-SUMIF(90:90,C27,91:91)+100</f>
        <v>100</v>
      </c>
      <c r="K27" s="1921"/>
      <c r="L27" s="2914"/>
      <c r="M27" s="2887"/>
      <c r="N27" s="2887"/>
      <c r="O27" s="2887"/>
      <c r="P27" s="3639"/>
      <c r="Q27" s="1994" t="str">
        <f t="shared" si="11"/>
        <v>人流量</v>
      </c>
      <c r="R27" s="1609" t="s">
        <v>25</v>
      </c>
      <c r="S27" s="1610">
        <f>F27</f>
        <v>100</v>
      </c>
      <c r="T27" s="1609" t="s">
        <v>25</v>
      </c>
      <c r="U27" s="1610">
        <f>H27</f>
        <v>100</v>
      </c>
      <c r="V27" s="1609" t="s">
        <v>25</v>
      </c>
      <c r="W27" s="1610">
        <f>J27</f>
        <v>100</v>
      </c>
      <c r="X27" s="1611"/>
      <c r="Y27" s="3597"/>
      <c r="Z27" s="1622" t="str">
        <f>Q27</f>
        <v>人流量</v>
      </c>
      <c r="AA27" s="1998">
        <f>D27/F27</f>
        <v>1</v>
      </c>
      <c r="AB27" s="1998">
        <f>D27/H27</f>
        <v>1</v>
      </c>
      <c r="AC27" s="1998">
        <f>D27/J27</f>
        <v>1</v>
      </c>
    </row>
    <row r="28" spans="1:29" ht="15">
      <c r="A28" s="1631"/>
      <c r="B28" s="1624" t="s">
        <v>2122</v>
      </c>
      <c r="C28" s="1920"/>
      <c r="D28" s="1640">
        <v>100</v>
      </c>
      <c r="E28" s="1920"/>
      <c r="F28" s="1683">
        <f>SUMIF(92:92,E28,93:93)-SUMIF(92:92,C28,93:93)+100</f>
        <v>100</v>
      </c>
      <c r="G28" s="1920"/>
      <c r="H28" s="1640">
        <f>SUMIF(92:92,G28,93:93)-SUMIF(92:92,C28,93:93)+100</f>
        <v>100</v>
      </c>
      <c r="I28" s="1920"/>
      <c r="J28" s="1640">
        <f>SUMIF(92:92,I28,93:93)-SUMIF(92:92,C28,93:93)+100</f>
        <v>100</v>
      </c>
      <c r="K28" s="1918"/>
      <c r="L28" s="2919"/>
      <c r="M28" s="2915"/>
      <c r="N28" s="2915"/>
      <c r="O28" s="2915"/>
      <c r="P28" s="3639"/>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597"/>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19"/>
      <c r="M29" s="2915"/>
      <c r="N29" s="2915"/>
      <c r="O29" s="2915"/>
      <c r="P29" s="3639"/>
      <c r="Q29" s="2000">
        <f t="shared" si="11"/>
        <v>111</v>
      </c>
      <c r="R29" s="1654" t="s">
        <v>25</v>
      </c>
      <c r="S29" s="1655">
        <f t="shared" si="12"/>
        <v>100</v>
      </c>
      <c r="T29" s="1654" t="s">
        <v>25</v>
      </c>
      <c r="U29" s="1655">
        <f t="shared" si="13"/>
        <v>100</v>
      </c>
      <c r="V29" s="1654" t="s">
        <v>25</v>
      </c>
      <c r="W29" s="1655">
        <f t="shared" si="14"/>
        <v>100</v>
      </c>
      <c r="X29" s="2003"/>
      <c r="Y29" s="3597"/>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19"/>
      <c r="M30" s="2915"/>
      <c r="N30" s="2915"/>
      <c r="O30" s="2915"/>
      <c r="P30" s="3639"/>
      <c r="Q30" s="2000">
        <f t="shared" si="11"/>
        <v>111</v>
      </c>
      <c r="R30" s="1654" t="s">
        <v>25</v>
      </c>
      <c r="S30" s="1655">
        <f t="shared" si="12"/>
        <v>100</v>
      </c>
      <c r="T30" s="1654" t="s">
        <v>25</v>
      </c>
      <c r="U30" s="1655">
        <f t="shared" si="13"/>
        <v>100</v>
      </c>
      <c r="V30" s="1654" t="s">
        <v>25</v>
      </c>
      <c r="W30" s="1655">
        <f t="shared" si="14"/>
        <v>100</v>
      </c>
      <c r="X30" s="2003"/>
      <c r="Y30" s="3597"/>
      <c r="Z30" s="2007">
        <f t="shared" si="15"/>
        <v>111</v>
      </c>
      <c r="AA30" s="1998">
        <f t="shared" si="3"/>
        <v>1</v>
      </c>
      <c r="AB30" s="1998">
        <f t="shared" si="4"/>
        <v>1</v>
      </c>
      <c r="AC30" s="1998">
        <f t="shared" si="5"/>
        <v>1</v>
      </c>
    </row>
    <row r="31" spans="1:29" ht="15.75"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19"/>
      <c r="M31" s="2915"/>
      <c r="N31" s="2915"/>
      <c r="O31" s="2915"/>
      <c r="P31" s="3639"/>
      <c r="Q31" s="2000">
        <f t="shared" si="11"/>
        <v>111</v>
      </c>
      <c r="R31" s="1654" t="s">
        <v>25</v>
      </c>
      <c r="S31" s="1655">
        <f t="shared" si="12"/>
        <v>100</v>
      </c>
      <c r="T31" s="1654" t="s">
        <v>25</v>
      </c>
      <c r="U31" s="1655">
        <f t="shared" si="13"/>
        <v>100</v>
      </c>
      <c r="V31" s="1654" t="s">
        <v>25</v>
      </c>
      <c r="W31" s="1655">
        <f t="shared" si="14"/>
        <v>100</v>
      </c>
      <c r="X31" s="2003"/>
      <c r="Y31" s="3597"/>
      <c r="Z31" s="2007">
        <f t="shared" si="15"/>
        <v>111</v>
      </c>
      <c r="AA31" s="1998">
        <f t="shared" si="3"/>
        <v>1</v>
      </c>
      <c r="AB31" s="1998">
        <f t="shared" si="4"/>
        <v>1</v>
      </c>
      <c r="AC31" s="1998">
        <f t="shared" si="5"/>
        <v>1</v>
      </c>
    </row>
    <row r="32" spans="1:29" ht="15">
      <c r="A32" s="1646" t="s">
        <v>2035</v>
      </c>
      <c r="B32" s="1616" t="s">
        <v>2123</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19"/>
      <c r="M32" s="2915"/>
      <c r="N32" s="2915"/>
      <c r="O32" s="2915"/>
      <c r="P32" s="3634" t="s">
        <v>2037</v>
      </c>
      <c r="Q32" s="2000" t="str">
        <f t="shared" si="11"/>
        <v>商业类型</v>
      </c>
      <c r="R32" s="1654" t="s">
        <v>25</v>
      </c>
      <c r="S32" s="1655">
        <f t="shared" si="12"/>
        <v>100</v>
      </c>
      <c r="T32" s="1654" t="s">
        <v>25</v>
      </c>
      <c r="U32" s="1655">
        <f t="shared" si="13"/>
        <v>100</v>
      </c>
      <c r="V32" s="1654" t="s">
        <v>25</v>
      </c>
      <c r="W32" s="1655">
        <f t="shared" si="14"/>
        <v>100</v>
      </c>
      <c r="X32" s="2003"/>
      <c r="Y32" s="3599" t="s">
        <v>2037</v>
      </c>
      <c r="Z32" s="2007" t="str">
        <f t="shared" si="15"/>
        <v>商业类型</v>
      </c>
      <c r="AA32" s="1998">
        <f t="shared" si="3"/>
        <v>1</v>
      </c>
      <c r="AB32" s="1998">
        <f t="shared" si="4"/>
        <v>1</v>
      </c>
      <c r="AC32" s="1998">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2"/>
      <c r="J33" s="1626" t="e">
        <f>LOOKUP(I33,103:103,104:104)-LOOKUP(C33,103:103,104:104)+100</f>
        <v>#N/A</v>
      </c>
      <c r="K33" s="1918"/>
      <c r="L33" s="2918"/>
      <c r="M33" s="1988"/>
      <c r="N33" s="1988"/>
      <c r="O33" s="1988"/>
      <c r="P33" s="3635"/>
      <c r="Q33" s="1695" t="str">
        <f t="shared" si="11"/>
        <v>项目建筑规模</v>
      </c>
      <c r="R33" s="1696" t="s">
        <v>25</v>
      </c>
      <c r="S33" s="1697" t="e">
        <f t="shared" si="12"/>
        <v>#N/A</v>
      </c>
      <c r="T33" s="1696" t="s">
        <v>25</v>
      </c>
      <c r="U33" s="1697" t="e">
        <f t="shared" si="13"/>
        <v>#N/A</v>
      </c>
      <c r="V33" s="1696" t="s">
        <v>25</v>
      </c>
      <c r="W33" s="1697" t="e">
        <f t="shared" si="14"/>
        <v>#N/A</v>
      </c>
      <c r="X33" s="1698"/>
      <c r="Y33" s="3599"/>
      <c r="Z33" s="1699" t="str">
        <f t="shared" si="15"/>
        <v>项目建筑规模</v>
      </c>
      <c r="AA33" s="1998" t="e">
        <f t="shared" si="3"/>
        <v>#N/A</v>
      </c>
      <c r="AB33" s="1998" t="e">
        <f t="shared" si="4"/>
        <v>#N/A</v>
      </c>
      <c r="AC33" s="1998"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19"/>
      <c r="M34" s="2915"/>
      <c r="N34" s="2915"/>
      <c r="O34" s="2915"/>
      <c r="P34" s="3635"/>
      <c r="Q34" s="2000" t="str">
        <f t="shared" si="11"/>
        <v>建筑结构</v>
      </c>
      <c r="R34" s="1654" t="s">
        <v>25</v>
      </c>
      <c r="S34" s="1655">
        <f t="shared" si="12"/>
        <v>100</v>
      </c>
      <c r="T34" s="1654" t="s">
        <v>25</v>
      </c>
      <c r="U34" s="1655">
        <f t="shared" si="13"/>
        <v>100</v>
      </c>
      <c r="V34" s="1654" t="s">
        <v>25</v>
      </c>
      <c r="W34" s="1655">
        <f t="shared" si="14"/>
        <v>100</v>
      </c>
      <c r="X34" s="2003"/>
      <c r="Y34" s="3599"/>
      <c r="Z34" s="2007" t="str">
        <f t="shared" si="15"/>
        <v>建筑结构</v>
      </c>
      <c r="AA34" s="1998">
        <f t="shared" si="3"/>
        <v>1</v>
      </c>
      <c r="AB34" s="1998">
        <f t="shared" si="4"/>
        <v>1</v>
      </c>
      <c r="AC34" s="1998">
        <f t="shared" si="5"/>
        <v>1</v>
      </c>
    </row>
    <row r="35" spans="1:29" ht="15">
      <c r="A35" s="1701"/>
      <c r="B35" s="1624" t="s">
        <v>2124</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19"/>
      <c r="M35" s="2915"/>
      <c r="N35" s="2915"/>
      <c r="O35" s="2915"/>
      <c r="P35" s="3635"/>
      <c r="Q35" s="2000" t="str">
        <f t="shared" si="11"/>
        <v>公共部分装修</v>
      </c>
      <c r="R35" s="1654" t="s">
        <v>25</v>
      </c>
      <c r="S35" s="1655">
        <f t="shared" si="12"/>
        <v>100</v>
      </c>
      <c r="T35" s="1654" t="s">
        <v>25</v>
      </c>
      <c r="U35" s="1655">
        <f t="shared" si="13"/>
        <v>100</v>
      </c>
      <c r="V35" s="1654" t="s">
        <v>25</v>
      </c>
      <c r="W35" s="1655">
        <f t="shared" si="14"/>
        <v>100</v>
      </c>
      <c r="X35" s="2003"/>
      <c r="Y35" s="3599"/>
      <c r="Z35" s="2007" t="str">
        <f t="shared" si="15"/>
        <v>公共部分装修</v>
      </c>
      <c r="AA35" s="1998">
        <f t="shared" si="3"/>
        <v>1</v>
      </c>
      <c r="AB35" s="1998">
        <f t="shared" si="4"/>
        <v>1</v>
      </c>
      <c r="AC35" s="1998">
        <f t="shared" si="5"/>
        <v>1</v>
      </c>
    </row>
    <row r="36" spans="1:29" ht="15">
      <c r="A36" s="1701"/>
      <c r="B36" s="1624" t="s">
        <v>2125</v>
      </c>
      <c r="C36" s="1705"/>
      <c r="D36" s="1640">
        <v>100</v>
      </c>
      <c r="E36" s="1705"/>
      <c r="F36" s="1683" t="e">
        <f>LOOKUP(E36,110:110,111:111)-LOOKUP(C36,110:110,111:111)+100</f>
        <v>#N/A</v>
      </c>
      <c r="G36" s="1705"/>
      <c r="H36" s="1683" t="e">
        <f>LOOKUP(G36,110:110,111:111)-LOOKUP(C36,110:110,111:111)+100</f>
        <v>#N/A</v>
      </c>
      <c r="I36" s="1705"/>
      <c r="J36" s="1640" t="e">
        <f>LOOKUP(I36,110:110,111:111)-LOOKUP(C36,110:110,111:111)+100</f>
        <v>#N/A</v>
      </c>
      <c r="K36" s="1921"/>
      <c r="L36" s="2919"/>
      <c r="M36" s="2915"/>
      <c r="N36" s="2915"/>
      <c r="O36" s="2915"/>
      <c r="P36" s="3635"/>
      <c r="Q36" s="2000" t="str">
        <f t="shared" si="11"/>
        <v>成新度</v>
      </c>
      <c r="R36" s="1654" t="s">
        <v>25</v>
      </c>
      <c r="S36" s="1655" t="e">
        <f t="shared" si="12"/>
        <v>#N/A</v>
      </c>
      <c r="T36" s="1654" t="s">
        <v>25</v>
      </c>
      <c r="U36" s="1655" t="e">
        <f t="shared" si="13"/>
        <v>#N/A</v>
      </c>
      <c r="V36" s="1654" t="s">
        <v>25</v>
      </c>
      <c r="W36" s="1655" t="e">
        <f t="shared" si="14"/>
        <v>#N/A</v>
      </c>
      <c r="X36" s="2003"/>
      <c r="Y36" s="3599"/>
      <c r="Z36" s="2007" t="str">
        <f t="shared" si="15"/>
        <v>成新度</v>
      </c>
      <c r="AA36" s="1998" t="e">
        <f t="shared" si="3"/>
        <v>#N/A</v>
      </c>
      <c r="AB36" s="1998" t="e">
        <f t="shared" si="4"/>
        <v>#N/A</v>
      </c>
      <c r="AC36" s="1998" t="e">
        <f t="shared" si="5"/>
        <v>#N/A</v>
      </c>
    </row>
    <row r="37" spans="1:29" s="1613" customFormat="1" ht="15">
      <c r="A37" s="1704"/>
      <c r="B37" s="1624" t="s">
        <v>2126</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4"/>
      <c r="M37" s="2887"/>
      <c r="N37" s="2887"/>
      <c r="O37" s="2887"/>
      <c r="P37" s="3635"/>
      <c r="Q37" s="1994" t="str">
        <f t="shared" si="11"/>
        <v>市政基础设施</v>
      </c>
      <c r="R37" s="1609" t="s">
        <v>25</v>
      </c>
      <c r="S37" s="1610">
        <f t="shared" si="12"/>
        <v>100</v>
      </c>
      <c r="T37" s="1609" t="s">
        <v>25</v>
      </c>
      <c r="U37" s="1610">
        <f t="shared" si="13"/>
        <v>100</v>
      </c>
      <c r="V37" s="1609" t="s">
        <v>25</v>
      </c>
      <c r="W37" s="1610">
        <f t="shared" si="14"/>
        <v>100</v>
      </c>
      <c r="X37" s="1611"/>
      <c r="Y37" s="3599"/>
      <c r="Z37" s="1622" t="str">
        <f t="shared" si="15"/>
        <v>市政基础设施</v>
      </c>
      <c r="AA37" s="1612">
        <f t="shared" si="3"/>
        <v>1</v>
      </c>
      <c r="AB37" s="1612">
        <f t="shared" si="4"/>
        <v>1</v>
      </c>
      <c r="AC37" s="1612">
        <f t="shared" si="5"/>
        <v>1</v>
      </c>
    </row>
    <row r="38" spans="1:29" ht="15">
      <c r="A38" s="1701"/>
      <c r="B38" s="1624" t="s">
        <v>2127</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19"/>
      <c r="M38" s="2915"/>
      <c r="N38" s="2915"/>
      <c r="O38" s="2915"/>
      <c r="P38" s="3635" t="s">
        <v>2037</v>
      </c>
      <c r="Q38" s="2000" t="str">
        <f t="shared" si="11"/>
        <v>业态</v>
      </c>
      <c r="R38" s="1654" t="s">
        <v>25</v>
      </c>
      <c r="S38" s="1655">
        <f t="shared" si="12"/>
        <v>100</v>
      </c>
      <c r="T38" s="1654" t="s">
        <v>25</v>
      </c>
      <c r="U38" s="1655">
        <f t="shared" si="13"/>
        <v>100</v>
      </c>
      <c r="V38" s="1654" t="s">
        <v>25</v>
      </c>
      <c r="W38" s="1655">
        <f t="shared" si="14"/>
        <v>100</v>
      </c>
      <c r="X38" s="2003"/>
      <c r="Y38" s="3599" t="s">
        <v>2037</v>
      </c>
      <c r="Z38" s="2007" t="str">
        <f t="shared" si="15"/>
        <v>业态</v>
      </c>
      <c r="AA38" s="1998">
        <f t="shared" si="3"/>
        <v>1</v>
      </c>
      <c r="AB38" s="1998">
        <f t="shared" si="4"/>
        <v>1</v>
      </c>
      <c r="AC38" s="1998">
        <f t="shared" si="5"/>
        <v>1</v>
      </c>
    </row>
    <row r="39" spans="1:29" ht="15">
      <c r="A39" s="1701"/>
      <c r="B39" s="1624" t="s">
        <v>2128</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19"/>
      <c r="M39" s="2915"/>
      <c r="N39" s="2915"/>
      <c r="O39" s="2915"/>
      <c r="P39" s="3635"/>
      <c r="Q39" s="2000" t="str">
        <f t="shared" si="11"/>
        <v>层高</v>
      </c>
      <c r="R39" s="1654" t="s">
        <v>25</v>
      </c>
      <c r="S39" s="1655">
        <f t="shared" si="12"/>
        <v>100</v>
      </c>
      <c r="T39" s="1654" t="s">
        <v>25</v>
      </c>
      <c r="U39" s="1655">
        <f t="shared" si="13"/>
        <v>100</v>
      </c>
      <c r="V39" s="1654" t="s">
        <v>25</v>
      </c>
      <c r="W39" s="1655">
        <f t="shared" si="14"/>
        <v>100</v>
      </c>
      <c r="X39" s="2003"/>
      <c r="Y39" s="3599"/>
      <c r="Z39" s="2007" t="str">
        <f t="shared" si="15"/>
        <v>层高</v>
      </c>
      <c r="AA39" s="1998">
        <f t="shared" si="3"/>
        <v>1</v>
      </c>
      <c r="AB39" s="1998">
        <f t="shared" si="4"/>
        <v>1</v>
      </c>
      <c r="AC39" s="1998">
        <f t="shared" si="5"/>
        <v>1</v>
      </c>
    </row>
    <row r="40" spans="1:29" ht="15">
      <c r="A40" s="1701"/>
      <c r="B40" s="1624" t="s">
        <v>2129</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19"/>
      <c r="M40" s="2915"/>
      <c r="N40" s="2915"/>
      <c r="O40" s="2915"/>
      <c r="P40" s="3635"/>
      <c r="Q40" s="2000" t="str">
        <f t="shared" si="11"/>
        <v>单套建筑面积</v>
      </c>
      <c r="R40" s="1654" t="s">
        <v>25</v>
      </c>
      <c r="S40" s="1655">
        <f t="shared" si="12"/>
        <v>100</v>
      </c>
      <c r="T40" s="1654" t="s">
        <v>25</v>
      </c>
      <c r="U40" s="1655">
        <f t="shared" si="13"/>
        <v>100</v>
      </c>
      <c r="V40" s="1654" t="s">
        <v>25</v>
      </c>
      <c r="W40" s="1655">
        <f t="shared" si="14"/>
        <v>100</v>
      </c>
      <c r="X40" s="2003"/>
      <c r="Y40" s="3599"/>
      <c r="Z40" s="2007" t="str">
        <f t="shared" si="15"/>
        <v>单套建筑面积</v>
      </c>
      <c r="AA40" s="1998">
        <f t="shared" si="3"/>
        <v>1</v>
      </c>
      <c r="AB40" s="1998">
        <f t="shared" si="4"/>
        <v>1</v>
      </c>
      <c r="AC40" s="1998">
        <f t="shared" si="5"/>
        <v>1</v>
      </c>
    </row>
    <row r="41" spans="1:29" s="1700" customFormat="1" ht="15">
      <c r="A41" s="1693"/>
      <c r="B41" s="1999" t="s">
        <v>2130</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8"/>
      <c r="M41" s="1988"/>
      <c r="N41" s="1988"/>
      <c r="O41" s="1988"/>
      <c r="P41" s="3635"/>
      <c r="Q41" s="1695" t="str">
        <f t="shared" si="11"/>
        <v>进深比</v>
      </c>
      <c r="R41" s="1696" t="s">
        <v>25</v>
      </c>
      <c r="S41" s="1697">
        <f t="shared" si="12"/>
        <v>100</v>
      </c>
      <c r="T41" s="1696" t="s">
        <v>25</v>
      </c>
      <c r="U41" s="1697">
        <f t="shared" si="13"/>
        <v>100</v>
      </c>
      <c r="V41" s="1696" t="s">
        <v>25</v>
      </c>
      <c r="W41" s="1697">
        <f t="shared" si="14"/>
        <v>100</v>
      </c>
      <c r="X41" s="1698"/>
      <c r="Y41" s="3599"/>
      <c r="Z41" s="1699" t="str">
        <f t="shared" si="15"/>
        <v>进深比</v>
      </c>
      <c r="AA41" s="1998">
        <f t="shared" si="3"/>
        <v>1</v>
      </c>
      <c r="AB41" s="1998">
        <f t="shared" si="4"/>
        <v>1</v>
      </c>
      <c r="AC41" s="1998">
        <f t="shared" si="5"/>
        <v>1</v>
      </c>
    </row>
    <row r="42" spans="1:29" ht="15">
      <c r="A42" s="1701"/>
      <c r="B42" s="1624" t="s">
        <v>2131</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19"/>
      <c r="M42" s="2915"/>
      <c r="N42" s="2915"/>
      <c r="O42" s="2915"/>
      <c r="P42" s="3635"/>
      <c r="Q42" s="2000" t="str">
        <f t="shared" si="11"/>
        <v>内部装修</v>
      </c>
      <c r="R42" s="1654" t="s">
        <v>25</v>
      </c>
      <c r="S42" s="1655">
        <f t="shared" si="12"/>
        <v>100</v>
      </c>
      <c r="T42" s="1654" t="s">
        <v>25</v>
      </c>
      <c r="U42" s="1655">
        <f t="shared" si="13"/>
        <v>100</v>
      </c>
      <c r="V42" s="1654" t="s">
        <v>25</v>
      </c>
      <c r="W42" s="1655">
        <f t="shared" si="14"/>
        <v>100</v>
      </c>
      <c r="X42" s="2003"/>
      <c r="Y42" s="3599"/>
      <c r="Z42" s="2007" t="str">
        <f t="shared" si="15"/>
        <v>内部装修</v>
      </c>
      <c r="AA42" s="1998">
        <f t="shared" si="3"/>
        <v>1</v>
      </c>
      <c r="AB42" s="1998">
        <f t="shared" si="4"/>
        <v>1</v>
      </c>
      <c r="AC42" s="1998">
        <f t="shared" si="5"/>
        <v>1</v>
      </c>
    </row>
    <row r="43" spans="1:29" ht="15">
      <c r="A43" s="1701"/>
      <c r="B43" s="1624" t="s">
        <v>2048</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19"/>
      <c r="M43" s="2915"/>
      <c r="N43" s="2915"/>
      <c r="O43" s="2915"/>
      <c r="P43" s="3635"/>
      <c r="Q43" s="2000" t="str">
        <f t="shared" si="11"/>
        <v>内部装修维护情况</v>
      </c>
      <c r="R43" s="1654" t="s">
        <v>25</v>
      </c>
      <c r="S43" s="1655">
        <f t="shared" si="12"/>
        <v>100</v>
      </c>
      <c r="T43" s="1654" t="s">
        <v>25</v>
      </c>
      <c r="U43" s="1655">
        <f t="shared" si="13"/>
        <v>100</v>
      </c>
      <c r="V43" s="1654" t="s">
        <v>25</v>
      </c>
      <c r="W43" s="1655">
        <f t="shared" si="14"/>
        <v>100</v>
      </c>
      <c r="X43" s="2003"/>
      <c r="Y43" s="3599"/>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4"/>
      <c r="M44" s="2887"/>
      <c r="N44" s="2887"/>
      <c r="O44" s="2887"/>
      <c r="P44" s="3635"/>
      <c r="Q44" s="1994">
        <f t="shared" si="11"/>
        <v>111</v>
      </c>
      <c r="R44" s="1609" t="s">
        <v>25</v>
      </c>
      <c r="S44" s="1610">
        <f t="shared" si="12"/>
        <v>100</v>
      </c>
      <c r="T44" s="1609" t="s">
        <v>25</v>
      </c>
      <c r="U44" s="1610">
        <f t="shared" si="13"/>
        <v>100</v>
      </c>
      <c r="V44" s="1609" t="s">
        <v>25</v>
      </c>
      <c r="W44" s="1610">
        <f t="shared" si="14"/>
        <v>100</v>
      </c>
      <c r="X44" s="1611"/>
      <c r="Y44" s="3599"/>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19"/>
      <c r="M45" s="2915"/>
      <c r="N45" s="2915"/>
      <c r="O45" s="2915"/>
      <c r="P45" s="3635"/>
      <c r="Q45" s="2000">
        <f t="shared" si="11"/>
        <v>111</v>
      </c>
      <c r="R45" s="1654" t="s">
        <v>25</v>
      </c>
      <c r="S45" s="1655">
        <f t="shared" si="12"/>
        <v>100</v>
      </c>
      <c r="T45" s="1654" t="s">
        <v>25</v>
      </c>
      <c r="U45" s="1655">
        <f t="shared" si="13"/>
        <v>100</v>
      </c>
      <c r="V45" s="1654" t="s">
        <v>25</v>
      </c>
      <c r="W45" s="1655">
        <f t="shared" si="14"/>
        <v>100</v>
      </c>
      <c r="X45" s="2003"/>
      <c r="Y45" s="3599"/>
      <c r="Z45" s="2007">
        <f t="shared" si="15"/>
        <v>111</v>
      </c>
      <c r="AA45" s="1998">
        <f t="shared" si="3"/>
        <v>1</v>
      </c>
      <c r="AB45" s="1998">
        <f t="shared" si="4"/>
        <v>1</v>
      </c>
      <c r="AC45" s="1998">
        <f t="shared" si="5"/>
        <v>1</v>
      </c>
    </row>
    <row r="46" spans="1:29" ht="15.75"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19"/>
      <c r="M46" s="2915"/>
      <c r="N46" s="2915"/>
      <c r="O46" s="2915"/>
      <c r="P46" s="3636"/>
      <c r="Q46" s="2000">
        <f t="shared" si="11"/>
        <v>111</v>
      </c>
      <c r="R46" s="1654" t="s">
        <v>25</v>
      </c>
      <c r="S46" s="1655">
        <f t="shared" si="12"/>
        <v>100</v>
      </c>
      <c r="T46" s="1654" t="s">
        <v>25</v>
      </c>
      <c r="U46" s="1655">
        <f t="shared" si="13"/>
        <v>100</v>
      </c>
      <c r="V46" s="1654" t="s">
        <v>25</v>
      </c>
      <c r="W46" s="1655">
        <f t="shared" si="14"/>
        <v>100</v>
      </c>
      <c r="X46" s="2003"/>
      <c r="Y46" s="3600"/>
      <c r="Z46" s="2007">
        <f t="shared" si="15"/>
        <v>111</v>
      </c>
      <c r="AA46" s="1998">
        <f t="shared" si="3"/>
        <v>1</v>
      </c>
      <c r="AB46" s="1998">
        <f t="shared" si="4"/>
        <v>1</v>
      </c>
      <c r="AC46" s="1998">
        <f t="shared" si="5"/>
        <v>1</v>
      </c>
    </row>
    <row r="47" spans="1:29" ht="15">
      <c r="A47" s="1710" t="s">
        <v>2049</v>
      </c>
      <c r="B47" s="1711"/>
      <c r="C47" s="1712" t="s">
        <v>1</v>
      </c>
      <c r="D47" s="1713"/>
      <c r="E47" s="1714"/>
      <c r="F47" s="1715"/>
      <c r="G47" s="1716"/>
      <c r="H47" s="1717"/>
      <c r="I47" s="1714"/>
      <c r="J47" s="1717"/>
      <c r="K47" s="1942"/>
      <c r="L47" s="2920"/>
      <c r="N47" s="2915"/>
      <c r="P47" s="3568" t="str">
        <f>A47</f>
        <v>成交单价（元/平方米）</v>
      </c>
      <c r="Q47" s="3568"/>
      <c r="R47" s="3601">
        <f>E47</f>
        <v>0</v>
      </c>
      <c r="S47" s="3601"/>
      <c r="T47" s="3601">
        <f>G47</f>
        <v>0</v>
      </c>
      <c r="U47" s="3601"/>
      <c r="V47" s="3601">
        <f>I47</f>
        <v>0</v>
      </c>
      <c r="W47" s="3601"/>
      <c r="X47" s="1720"/>
      <c r="Y47" s="2002"/>
      <c r="Z47" s="1720"/>
      <c r="AA47" s="1720"/>
      <c r="AB47" s="1720"/>
      <c r="AC47" s="1720"/>
    </row>
    <row r="48" spans="1:29" ht="15.75" thickBot="1">
      <c r="A48" s="1722" t="s">
        <v>2132</v>
      </c>
      <c r="B48" s="1723"/>
      <c r="C48" s="1724" t="e">
        <f>R49</f>
        <v>#DIV/0!</v>
      </c>
      <c r="D48" s="1725" t="s">
        <v>2503</v>
      </c>
      <c r="E48" s="1726" t="e">
        <f>R48</f>
        <v>#DIV/0!</v>
      </c>
      <c r="F48" s="1727"/>
      <c r="G48" s="1724" t="e">
        <f>T48</f>
        <v>#DIV/0!</v>
      </c>
      <c r="H48" s="1727"/>
      <c r="I48" s="1726" t="e">
        <f>V48</f>
        <v>#DIV/0!</v>
      </c>
      <c r="J48" s="1727"/>
      <c r="K48" s="2429">
        <f>F48+H48+J48</f>
        <v>0</v>
      </c>
      <c r="L48" s="2920"/>
      <c r="N48" s="2915"/>
      <c r="P48" s="3568" t="str">
        <f>A48</f>
        <v>比较价值（元/平方米）</v>
      </c>
      <c r="Q48" s="3568"/>
      <c r="R48" s="3601" t="e">
        <f>IF(E1="售价",ROUND(PRODUCT(R47,AA7:AA46),0),ROUND(PRODUCT(R47,AA7:AA46),1))</f>
        <v>#DIV/0!</v>
      </c>
      <c r="S48" s="3601"/>
      <c r="T48" s="3601" t="e">
        <f>IF(E1="售价",ROUND(PRODUCT(T47,AB7:AB46),0),ROUND(PRODUCT(T47,AB7:AB46),1))</f>
        <v>#DIV/0!</v>
      </c>
      <c r="U48" s="3601"/>
      <c r="V48" s="3601" t="e">
        <f>IF(E1="售价",ROUND(PRODUCT(V47,AC7:AC46),0),ROUND(PRODUCT(V47,AC7:AC46),1))</f>
        <v>#DIV/0!</v>
      </c>
      <c r="W48" s="3601"/>
      <c r="X48" s="1720"/>
      <c r="Y48" s="1720"/>
      <c r="Z48" s="1720"/>
      <c r="AA48" s="1720"/>
      <c r="AB48" s="1720"/>
      <c r="AC48" s="1720"/>
    </row>
    <row r="49" spans="1:29" ht="15.75" thickBot="1">
      <c r="A49" s="1728" t="s">
        <v>2133</v>
      </c>
      <c r="B49" s="1729"/>
      <c r="C49" s="1731" t="e">
        <f>R49</f>
        <v>#DIV/0!</v>
      </c>
      <c r="D49" s="1731"/>
      <c r="E49" s="1731"/>
      <c r="F49" s="1731"/>
      <c r="G49" s="1731"/>
      <c r="H49" s="1731"/>
      <c r="I49" s="1731"/>
      <c r="J49" s="1731"/>
      <c r="K49" s="1947"/>
      <c r="L49" s="2920"/>
      <c r="N49" s="2915"/>
      <c r="P49" s="3602" t="str">
        <f>A49</f>
        <v>估价对象XX用房的比较价值（楼面单价，元/平方米）</v>
      </c>
      <c r="Q49" s="3603"/>
      <c r="R49" s="3604" t="e">
        <f>IF(E1="售价",ROUND(IF(D48="简单平均",AVERAGE(R48:V48),R48*F48+T48*H48+V48*J48),0),ROUND(IF(D48="简单平均",AVERAGE(R48:V48),R48*F48+T48*H48+V48*J48),1))</f>
        <v>#DIV/0!</v>
      </c>
      <c r="S49" s="3604"/>
      <c r="T49" s="3604"/>
      <c r="U49" s="3604"/>
      <c r="V49" s="3604"/>
      <c r="W49" s="3604"/>
      <c r="X49" s="1720"/>
      <c r="Y49" s="1720"/>
      <c r="Z49" s="1720"/>
      <c r="AA49" s="1720"/>
      <c r="AB49" s="1720"/>
      <c r="AC49" s="1720"/>
    </row>
    <row r="50" spans="1:29">
      <c r="G50" s="2924"/>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2134</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c r="P52" s="2398"/>
      <c r="Q52" s="1719"/>
      <c r="R52" s="1719"/>
      <c r="S52" s="1719"/>
      <c r="T52" s="1719"/>
      <c r="U52" s="1719"/>
      <c r="V52" s="1719"/>
      <c r="W52" s="1719"/>
      <c r="X52" s="1719"/>
      <c r="Y52" s="1719"/>
      <c r="Z52" s="1719"/>
      <c r="AA52" s="1719"/>
      <c r="AB52" s="1719"/>
      <c r="AC52" s="1719"/>
    </row>
    <row r="53" spans="1:29" ht="13.5" customHeight="1">
      <c r="C53" s="383" t="s">
        <v>2135</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c r="P53" s="2398"/>
      <c r="Q53" s="1719"/>
      <c r="R53" s="1719"/>
      <c r="S53" s="1719"/>
      <c r="T53" s="1719"/>
      <c r="U53" s="1719"/>
      <c r="V53" s="1719"/>
      <c r="W53" s="1719"/>
      <c r="X53" s="1719"/>
      <c r="Y53" s="1719"/>
      <c r="Z53" s="1719"/>
      <c r="AA53" s="1719"/>
      <c r="AB53" s="1719"/>
      <c r="AC53" s="1719"/>
    </row>
    <row r="54" spans="1:29" s="1742" customFormat="1" ht="13.5" customHeight="1">
      <c r="C54" s="383" t="s">
        <v>2136</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2399"/>
      <c r="Q54" s="1740"/>
      <c r="R54" s="1740"/>
      <c r="S54" s="1740"/>
      <c r="T54" s="1740"/>
      <c r="U54" s="1740"/>
      <c r="V54" s="1740"/>
      <c r="W54" s="1740"/>
      <c r="X54" s="1740"/>
      <c r="Y54" s="1740"/>
      <c r="Z54" s="1740"/>
      <c r="AA54" s="1740"/>
      <c r="AB54" s="1740"/>
      <c r="AC54" s="1740"/>
    </row>
    <row r="55" spans="1:29" s="1742" customFormat="1">
      <c r="B55" s="2925"/>
      <c r="C55" s="2926"/>
      <c r="K55" s="2927"/>
      <c r="L55" s="2921"/>
      <c r="P55" s="2399"/>
      <c r="Q55" s="1740"/>
      <c r="R55" s="1740"/>
      <c r="S55" s="1740"/>
      <c r="T55" s="1740"/>
      <c r="U55" s="1740"/>
      <c r="V55" s="1740"/>
      <c r="W55" s="1740"/>
      <c r="X55" s="1740"/>
      <c r="Y55" s="1740"/>
      <c r="Z55" s="1740"/>
      <c r="AA55" s="1740"/>
      <c r="AB55" s="1740"/>
      <c r="AC55" s="1740"/>
    </row>
    <row r="56" spans="1:29">
      <c r="B56" s="2925"/>
      <c r="C56" s="2926"/>
      <c r="P56" s="2398"/>
      <c r="Q56" s="1719"/>
      <c r="R56" s="1719"/>
      <c r="S56" s="1719"/>
      <c r="T56" s="1719"/>
      <c r="U56" s="1719"/>
      <c r="V56" s="1719"/>
      <c r="W56" s="1719"/>
      <c r="X56" s="1719"/>
      <c r="Y56" s="1719"/>
      <c r="Z56" s="1719"/>
      <c r="AA56" s="1719"/>
      <c r="AB56" s="1719"/>
      <c r="AC56" s="1719"/>
    </row>
    <row r="57" spans="1:29" ht="21.75" thickBot="1">
      <c r="A57" s="1745" t="s">
        <v>2137</v>
      </c>
      <c r="B57" s="1720"/>
      <c r="C57" s="1746"/>
      <c r="D57" s="1746"/>
      <c r="E57" s="1746"/>
      <c r="F57" s="1746"/>
      <c r="G57" s="1746"/>
      <c r="H57" s="1746"/>
      <c r="I57" s="1746"/>
      <c r="J57" s="1746"/>
      <c r="K57" s="1747"/>
      <c r="L57" s="1973"/>
      <c r="M57" s="1971"/>
      <c r="N57" s="2923"/>
      <c r="O57" s="2923"/>
      <c r="P57" s="2400"/>
      <c r="Q57" s="2401"/>
      <c r="R57" s="1719"/>
      <c r="S57" s="1719"/>
      <c r="T57" s="1719"/>
      <c r="U57" s="1719"/>
      <c r="V57" s="1719"/>
      <c r="W57" s="1719"/>
      <c r="X57" s="1719"/>
      <c r="Y57" s="1719"/>
      <c r="Z57" s="1719"/>
      <c r="AA57" s="1719"/>
      <c r="AB57" s="1719"/>
      <c r="AC57" s="1719"/>
    </row>
    <row r="58" spans="1:29" s="1756" customFormat="1" ht="15">
      <c r="A58" s="1751" t="s">
        <v>2019</v>
      </c>
      <c r="B58" s="1752"/>
      <c r="C58" s="1753" t="str">
        <f>YEAR(C7)&amp;"-"&amp;MONTH(C7)</f>
        <v>2022-4</v>
      </c>
      <c r="D58" s="1754">
        <f>EDATE(C58,-1)</f>
        <v>44621</v>
      </c>
      <c r="E58" s="1754">
        <f t="shared" ref="E58:O58" si="16">EDATE(D58,-1)</f>
        <v>44593</v>
      </c>
      <c r="F58" s="1754">
        <f t="shared" si="16"/>
        <v>44562</v>
      </c>
      <c r="G58" s="1754">
        <f t="shared" si="16"/>
        <v>44531</v>
      </c>
      <c r="H58" s="1754">
        <f t="shared" si="16"/>
        <v>44501</v>
      </c>
      <c r="I58" s="1754">
        <f t="shared" si="16"/>
        <v>44470</v>
      </c>
      <c r="J58" s="1754">
        <f t="shared" si="16"/>
        <v>44440</v>
      </c>
      <c r="K58" s="1754">
        <f t="shared" si="16"/>
        <v>44409</v>
      </c>
      <c r="L58" s="1754">
        <f t="shared" si="16"/>
        <v>44378</v>
      </c>
      <c r="M58" s="1754">
        <f t="shared" si="16"/>
        <v>44348</v>
      </c>
      <c r="N58" s="1754">
        <f t="shared" si="16"/>
        <v>44317</v>
      </c>
      <c r="O58" s="1754">
        <f t="shared" si="16"/>
        <v>44287</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2021</v>
      </c>
      <c r="B61" s="1758"/>
      <c r="C61" s="1769" t="s">
        <v>2022</v>
      </c>
      <c r="D61" s="409"/>
      <c r="E61" s="409"/>
      <c r="F61" s="409"/>
      <c r="G61" s="409"/>
      <c r="H61" s="409"/>
      <c r="I61" s="409"/>
      <c r="J61" s="409"/>
      <c r="K61" s="409"/>
      <c r="L61" s="409"/>
      <c r="M61" s="1770"/>
      <c r="N61" s="2932"/>
      <c r="O61" s="2932"/>
      <c r="P61" s="1772"/>
      <c r="Q61" s="1750"/>
    </row>
    <row r="62" spans="1:29" s="1613" customFormat="1" ht="15.75" thickBot="1">
      <c r="A62" s="1768"/>
      <c r="B62" s="1758"/>
      <c r="C62" s="1773">
        <v>100</v>
      </c>
      <c r="D62" s="1760"/>
      <c r="E62" s="1760"/>
      <c r="F62" s="1760"/>
      <c r="G62" s="1760"/>
      <c r="H62" s="1760"/>
      <c r="I62" s="1760"/>
      <c r="J62" s="1760"/>
      <c r="K62" s="1760"/>
      <c r="L62" s="1760"/>
      <c r="M62" s="1774"/>
      <c r="N62" s="2932"/>
      <c r="O62" s="2932"/>
      <c r="P62" s="1762"/>
      <c r="Q62" s="1750"/>
    </row>
    <row r="63" spans="1:29">
      <c r="A63" s="1775" t="s">
        <v>2060</v>
      </c>
      <c r="B63" s="1776" t="s">
        <v>2025</v>
      </c>
      <c r="C63" s="1777">
        <f>C9</f>
        <v>0</v>
      </c>
      <c r="D63" s="1778"/>
      <c r="E63" s="1778"/>
      <c r="F63" s="1778"/>
      <c r="G63" s="1778"/>
      <c r="H63" s="1778"/>
      <c r="I63" s="1778"/>
      <c r="J63" s="1778"/>
      <c r="K63" s="417"/>
      <c r="L63" s="417"/>
      <c r="M63" s="1779"/>
      <c r="N63" s="2933"/>
      <c r="O63" s="2933"/>
      <c r="P63" s="1781"/>
      <c r="Q63" s="1750"/>
    </row>
    <row r="64" spans="1:29" ht="15.75" thickBot="1">
      <c r="A64" s="1782"/>
      <c r="B64" s="1783"/>
      <c r="C64" s="1784">
        <v>100</v>
      </c>
      <c r="D64" s="1784"/>
      <c r="E64" s="1784"/>
      <c r="F64" s="1784"/>
      <c r="G64" s="1784"/>
      <c r="H64" s="1784"/>
      <c r="I64" s="1784"/>
      <c r="J64" s="1784"/>
      <c r="K64" s="1784"/>
      <c r="L64" s="1784"/>
      <c r="M64" s="1785"/>
      <c r="N64" s="2934"/>
      <c r="O64" s="2934"/>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2933"/>
      <c r="O65" s="2933"/>
      <c r="P65" s="1781"/>
      <c r="Q65" s="1750"/>
    </row>
    <row r="66" spans="1:17" ht="15.75" thickBot="1">
      <c r="A66" s="1782"/>
      <c r="B66" s="1790"/>
      <c r="C66" s="1791" t="s">
        <v>36</v>
      </c>
      <c r="D66" s="1791" t="s">
        <v>37</v>
      </c>
      <c r="E66" s="1791" t="s">
        <v>38</v>
      </c>
      <c r="F66" s="1791">
        <v>100</v>
      </c>
      <c r="G66" s="1791">
        <f>F66-$K10</f>
        <v>100</v>
      </c>
      <c r="H66" s="1791">
        <f>G66-$K10</f>
        <v>100</v>
      </c>
      <c r="I66" s="1791">
        <f>H66-$K10</f>
        <v>100</v>
      </c>
      <c r="J66" s="1791"/>
      <c r="K66" s="1791"/>
      <c r="L66" s="1791"/>
      <c r="M66" s="1792"/>
      <c r="N66" s="2934"/>
      <c r="O66" s="2934"/>
      <c r="P66" s="1781"/>
      <c r="Q66" s="1750"/>
    </row>
    <row r="67" spans="1:17" ht="15.75" thickTop="1">
      <c r="A67" s="1782"/>
      <c r="B67" s="1793" t="s">
        <v>2029</v>
      </c>
      <c r="C67" s="1794" t="str">
        <f>C68&amp;"（含）"&amp;"-"&amp;D68</f>
        <v>（含）-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4"/>
      <c r="O67" s="2934"/>
      <c r="P67" s="1781"/>
      <c r="Q67" s="1750"/>
    </row>
    <row r="68" spans="1:17" ht="15">
      <c r="A68" s="1782"/>
      <c r="B68" s="1795"/>
      <c r="C68" s="1796"/>
      <c r="D68" s="1796"/>
      <c r="E68" s="1796"/>
      <c r="F68" s="1796"/>
      <c r="G68" s="1796"/>
      <c r="H68" s="1796"/>
      <c r="I68" s="1796"/>
      <c r="J68" s="1796"/>
      <c r="K68" s="438"/>
      <c r="L68" s="438"/>
      <c r="M68" s="1797"/>
      <c r="N68" s="2933"/>
      <c r="O68" s="2933"/>
      <c r="P68" s="1781"/>
      <c r="Q68" s="1750"/>
    </row>
    <row r="69" spans="1:17" ht="15.75"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4"/>
      <c r="O69" s="2934"/>
      <c r="P69" s="1781"/>
      <c r="Q69" s="1750"/>
    </row>
    <row r="70" spans="1:17" s="1700" customFormat="1" ht="15.75" thickTop="1">
      <c r="A70" s="1798"/>
      <c r="B70" s="1787">
        <f>B12</f>
        <v>111</v>
      </c>
      <c r="C70" s="468"/>
      <c r="D70" s="468"/>
      <c r="E70" s="468"/>
      <c r="F70" s="468"/>
      <c r="G70" s="468"/>
      <c r="H70" s="443"/>
      <c r="I70" s="443"/>
      <c r="J70" s="443"/>
      <c r="K70" s="443"/>
      <c r="L70" s="443"/>
      <c r="M70" s="1799"/>
      <c r="N70" s="2935"/>
      <c r="O70" s="2935"/>
      <c r="P70" s="1801"/>
      <c r="Q70" s="1802"/>
    </row>
    <row r="71" spans="1:17" s="1700" customFormat="1" ht="15.75" thickBot="1">
      <c r="A71" s="1798"/>
      <c r="B71" s="1790"/>
      <c r="C71" s="1803"/>
      <c r="D71" s="1784"/>
      <c r="E71" s="1784"/>
      <c r="F71" s="1784"/>
      <c r="G71" s="1784"/>
      <c r="H71" s="1784"/>
      <c r="I71" s="1784"/>
      <c r="J71" s="1784"/>
      <c r="K71" s="1784"/>
      <c r="L71" s="1784"/>
      <c r="M71" s="1785"/>
      <c r="N71" s="2934"/>
      <c r="O71" s="2934"/>
      <c r="P71" s="1801"/>
      <c r="Q71" s="1802"/>
    </row>
    <row r="72" spans="1:17" s="1700" customFormat="1" ht="15.75" thickTop="1">
      <c r="A72" s="1798"/>
      <c r="B72" s="1787">
        <f>B13</f>
        <v>111</v>
      </c>
      <c r="C72" s="468"/>
      <c r="D72" s="468"/>
      <c r="E72" s="468"/>
      <c r="F72" s="468"/>
      <c r="G72" s="468"/>
      <c r="H72" s="443"/>
      <c r="I72" s="443"/>
      <c r="J72" s="443"/>
      <c r="K72" s="443"/>
      <c r="L72" s="443"/>
      <c r="M72" s="1799"/>
      <c r="N72" s="2935"/>
      <c r="O72" s="2935"/>
      <c r="P72" s="1804"/>
      <c r="Q72" s="1805"/>
    </row>
    <row r="73" spans="1:17" s="1700" customFormat="1" ht="15.75" thickBot="1">
      <c r="A73" s="1798"/>
      <c r="B73" s="1790"/>
      <c r="C73" s="1803"/>
      <c r="D73" s="1784"/>
      <c r="E73" s="1784"/>
      <c r="F73" s="1784"/>
      <c r="G73" s="1803"/>
      <c r="H73" s="1806"/>
      <c r="I73" s="1806"/>
      <c r="J73" s="1806"/>
      <c r="K73" s="1806"/>
      <c r="L73" s="1806"/>
      <c r="M73" s="1807"/>
      <c r="N73" s="2935"/>
      <c r="O73" s="2935"/>
      <c r="P73" s="1801"/>
      <c r="Q73" s="1802"/>
    </row>
    <row r="74" spans="1:17" s="1700" customFormat="1" ht="15.75" thickTop="1">
      <c r="A74" s="1798"/>
      <c r="B74" s="1793">
        <f>B14</f>
        <v>111</v>
      </c>
      <c r="C74" s="468"/>
      <c r="D74" s="468"/>
      <c r="E74" s="468"/>
      <c r="F74" s="468"/>
      <c r="G74" s="409"/>
      <c r="H74" s="453"/>
      <c r="I74" s="453"/>
      <c r="J74" s="453"/>
      <c r="K74" s="453"/>
      <c r="L74" s="453"/>
      <c r="M74" s="1808"/>
      <c r="N74" s="2935"/>
      <c r="O74" s="2935"/>
      <c r="P74" s="1801"/>
      <c r="Q74" s="1802"/>
    </row>
    <row r="75" spans="1:17" s="1700" customFormat="1" ht="15.75" thickBot="1">
      <c r="A75" s="1809"/>
      <c r="B75" s="1810"/>
      <c r="C75" s="1811"/>
      <c r="D75" s="1811"/>
      <c r="E75" s="1811"/>
      <c r="F75" s="1811"/>
      <c r="G75" s="1811"/>
      <c r="H75" s="1812"/>
      <c r="I75" s="1812"/>
      <c r="J75" s="1812"/>
      <c r="K75" s="1812"/>
      <c r="L75" s="1812"/>
      <c r="M75" s="1813"/>
      <c r="N75" s="2935"/>
      <c r="O75" s="2935"/>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2933"/>
      <c r="O76" s="2933"/>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2934"/>
      <c r="O77" s="2934"/>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2933"/>
      <c r="O78" s="2933"/>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2934"/>
      <c r="O79" s="2934"/>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2933"/>
      <c r="O80" s="2933"/>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2934"/>
      <c r="O81" s="2934"/>
      <c r="P81" s="1781"/>
      <c r="Q81" s="1750"/>
    </row>
    <row r="82" spans="1:17" ht="15.75" thickTop="1">
      <c r="A82" s="1782"/>
      <c r="B82" s="1793" t="s">
        <v>2118</v>
      </c>
      <c r="C82" s="1788" t="s">
        <v>2076</v>
      </c>
      <c r="D82" s="1788" t="s">
        <v>2077</v>
      </c>
      <c r="E82" s="1788" t="s">
        <v>2078</v>
      </c>
      <c r="F82" s="1788" t="s">
        <v>2079</v>
      </c>
      <c r="G82" s="1788" t="s">
        <v>2080</v>
      </c>
      <c r="H82" s="1788"/>
      <c r="I82" s="1788"/>
      <c r="J82" s="1788"/>
      <c r="K82" s="1788"/>
      <c r="L82" s="1788"/>
      <c r="M82" s="1816"/>
      <c r="N82" s="2934"/>
      <c r="O82" s="2934"/>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2934"/>
      <c r="O83" s="2934"/>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2933"/>
      <c r="O84" s="2933"/>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2934"/>
      <c r="O85" s="2934"/>
      <c r="P85" s="1781"/>
      <c r="Q85" s="1750"/>
    </row>
    <row r="86" spans="1:17" s="1613" customFormat="1" ht="15.75" thickTop="1">
      <c r="A86" s="1818"/>
      <c r="B86" s="1787" t="s">
        <v>2138</v>
      </c>
      <c r="C86" s="468"/>
      <c r="D86" s="468"/>
      <c r="E86" s="468"/>
      <c r="F86" s="468"/>
      <c r="G86" s="468"/>
      <c r="H86" s="468"/>
      <c r="I86" s="468"/>
      <c r="J86" s="468"/>
      <c r="K86" s="468"/>
      <c r="L86" s="468"/>
      <c r="M86" s="1819"/>
      <c r="N86" s="2932"/>
      <c r="O86" s="2932"/>
      <c r="P86" s="1781"/>
      <c r="Q86" s="1750"/>
    </row>
    <row r="87" spans="1:17" s="1613" customFormat="1" ht="15.75"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4"/>
      <c r="O87" s="2934"/>
      <c r="P87" s="1781"/>
      <c r="Q87" s="1750"/>
    </row>
    <row r="88" spans="1:17" s="1613" customFormat="1" ht="15.75" thickTop="1">
      <c r="A88" s="1818"/>
      <c r="B88" s="1787" t="str">
        <f>B26</f>
        <v>平面位置/可视性</v>
      </c>
      <c r="C88" s="468"/>
      <c r="D88" s="468"/>
      <c r="E88" s="468"/>
      <c r="F88" s="1821"/>
      <c r="G88" s="468"/>
      <c r="H88" s="468"/>
      <c r="I88" s="468"/>
      <c r="J88" s="468"/>
      <c r="K88" s="468"/>
      <c r="L88" s="468"/>
      <c r="M88" s="1819"/>
      <c r="N88" s="2932"/>
      <c r="O88" s="2932"/>
      <c r="P88" s="1781"/>
      <c r="Q88" s="1750"/>
    </row>
    <row r="89" spans="1:17" s="1613" customFormat="1" ht="15.75" thickBot="1">
      <c r="A89" s="1818"/>
      <c r="B89" s="1790"/>
      <c r="C89" s="1803"/>
      <c r="D89" s="1784"/>
      <c r="E89" s="1784"/>
      <c r="F89" s="1784"/>
      <c r="G89" s="1784"/>
      <c r="H89" s="1784"/>
      <c r="I89" s="1784"/>
      <c r="J89" s="1784"/>
      <c r="K89" s="1784"/>
      <c r="L89" s="1784"/>
      <c r="M89" s="1784"/>
      <c r="N89" s="2934"/>
      <c r="O89" s="2934"/>
      <c r="P89" s="1781"/>
      <c r="Q89" s="1750"/>
    </row>
    <row r="90" spans="1:17" s="1700" customFormat="1" ht="15.75" thickTop="1">
      <c r="A90" s="1798"/>
      <c r="B90" s="1787" t="str">
        <f>B27</f>
        <v>人流量</v>
      </c>
      <c r="C90" s="468"/>
      <c r="D90" s="468"/>
      <c r="E90" s="468"/>
      <c r="F90" s="468"/>
      <c r="G90" s="468"/>
      <c r="H90" s="443"/>
      <c r="I90" s="443"/>
      <c r="J90" s="443"/>
      <c r="K90" s="443"/>
      <c r="L90" s="443"/>
      <c r="M90" s="1799"/>
      <c r="N90" s="2935"/>
      <c r="O90" s="2935"/>
      <c r="P90" s="1801"/>
      <c r="Q90" s="1802"/>
    </row>
    <row r="91" spans="1:17" s="1700" customFormat="1" ht="15.75" thickBot="1">
      <c r="A91" s="1798"/>
      <c r="B91" s="1790"/>
      <c r="C91" s="1820">
        <v>100</v>
      </c>
      <c r="D91" s="1791">
        <f>C91-$K27</f>
        <v>100</v>
      </c>
      <c r="E91" s="1791">
        <f t="shared" ref="E91:M91" si="20">D91-$K27</f>
        <v>100</v>
      </c>
      <c r="F91" s="1791">
        <f t="shared" si="20"/>
        <v>100</v>
      </c>
      <c r="G91" s="1791">
        <f t="shared" si="20"/>
        <v>100</v>
      </c>
      <c r="H91" s="1791">
        <f t="shared" si="20"/>
        <v>100</v>
      </c>
      <c r="I91" s="1791">
        <f t="shared" si="20"/>
        <v>100</v>
      </c>
      <c r="J91" s="1791">
        <f t="shared" si="20"/>
        <v>100</v>
      </c>
      <c r="K91" s="1791">
        <f t="shared" si="20"/>
        <v>100</v>
      </c>
      <c r="L91" s="1791">
        <f t="shared" si="20"/>
        <v>100</v>
      </c>
      <c r="M91" s="1791">
        <f t="shared" si="20"/>
        <v>100</v>
      </c>
      <c r="N91" s="2935"/>
      <c r="O91" s="2935"/>
      <c r="P91" s="1801"/>
      <c r="Q91" s="1802"/>
    </row>
    <row r="92" spans="1:17" ht="15.75" thickTop="1">
      <c r="A92" s="1782"/>
      <c r="B92" s="1787" t="str">
        <f>B28</f>
        <v>楼层</v>
      </c>
      <c r="C92" s="468"/>
      <c r="D92" s="468"/>
      <c r="E92" s="468"/>
      <c r="F92" s="468"/>
      <c r="G92" s="468"/>
      <c r="H92" s="468"/>
      <c r="I92" s="468"/>
      <c r="J92" s="468"/>
      <c r="K92" s="468"/>
      <c r="L92" s="468"/>
      <c r="M92" s="1819"/>
      <c r="N92" s="2933"/>
      <c r="O92" s="2933"/>
      <c r="P92" s="1781"/>
      <c r="Q92" s="1750"/>
    </row>
    <row r="93" spans="1:17" ht="15.75" thickBot="1">
      <c r="A93" s="1782"/>
      <c r="B93" s="1790"/>
      <c r="C93" s="1784"/>
      <c r="D93" s="1784"/>
      <c r="E93" s="1784"/>
      <c r="F93" s="1784"/>
      <c r="G93" s="1784"/>
      <c r="H93" s="1784"/>
      <c r="I93" s="1784"/>
      <c r="J93" s="1784"/>
      <c r="K93" s="1784"/>
      <c r="L93" s="1784"/>
      <c r="M93" s="1785"/>
      <c r="N93" s="2934"/>
      <c r="O93" s="2934"/>
      <c r="P93" s="1781"/>
      <c r="Q93" s="1750"/>
    </row>
    <row r="94" spans="1:17" ht="15.75" thickTop="1">
      <c r="A94" s="1782"/>
      <c r="B94" s="1787">
        <f>B29</f>
        <v>111</v>
      </c>
      <c r="C94" s="468"/>
      <c r="D94" s="468"/>
      <c r="E94" s="468"/>
      <c r="F94" s="468"/>
      <c r="G94" s="1506"/>
      <c r="H94" s="1506"/>
      <c r="I94" s="1506"/>
      <c r="J94" s="1506"/>
      <c r="K94" s="473"/>
      <c r="L94" s="473"/>
      <c r="M94" s="1822"/>
      <c r="N94" s="2933"/>
      <c r="O94" s="2933"/>
      <c r="P94" s="1781"/>
      <c r="Q94" s="1750"/>
    </row>
    <row r="95" spans="1:17" ht="15.75" thickBot="1">
      <c r="A95" s="1782"/>
      <c r="B95" s="1790"/>
      <c r="C95" s="1803"/>
      <c r="D95" s="1784"/>
      <c r="E95" s="1784"/>
      <c r="F95" s="1784"/>
      <c r="G95" s="1784"/>
      <c r="H95" s="1784"/>
      <c r="I95" s="1784"/>
      <c r="J95" s="1784"/>
      <c r="K95" s="1784"/>
      <c r="L95" s="1784"/>
      <c r="M95" s="1785"/>
      <c r="N95" s="2934"/>
      <c r="O95" s="2934"/>
      <c r="P95" s="1781"/>
      <c r="Q95" s="1750"/>
    </row>
    <row r="96" spans="1:17" ht="15.75" thickTop="1">
      <c r="A96" s="1782"/>
      <c r="B96" s="1787">
        <f>B30</f>
        <v>111</v>
      </c>
      <c r="C96" s="468"/>
      <c r="D96" s="468"/>
      <c r="E96" s="468"/>
      <c r="F96" s="468"/>
      <c r="G96" s="1506"/>
      <c r="H96" s="1506"/>
      <c r="I96" s="1506"/>
      <c r="J96" s="1506"/>
      <c r="K96" s="473"/>
      <c r="L96" s="473"/>
      <c r="M96" s="1822"/>
      <c r="N96" s="2933"/>
      <c r="O96" s="2933"/>
      <c r="P96" s="1781"/>
      <c r="Q96" s="1750"/>
    </row>
    <row r="97" spans="1:17" ht="15.75" thickBot="1">
      <c r="A97" s="1782"/>
      <c r="B97" s="1790"/>
      <c r="C97" s="1803"/>
      <c r="D97" s="1784"/>
      <c r="E97" s="1784"/>
      <c r="F97" s="1784"/>
      <c r="G97" s="1784"/>
      <c r="H97" s="1784"/>
      <c r="I97" s="1784"/>
      <c r="J97" s="1784"/>
      <c r="K97" s="1784"/>
      <c r="L97" s="1784"/>
      <c r="M97" s="1785"/>
      <c r="N97" s="2934"/>
      <c r="O97" s="2934"/>
      <c r="P97" s="1781"/>
      <c r="Q97" s="1750"/>
    </row>
    <row r="98" spans="1:17" ht="15.75" thickTop="1">
      <c r="A98" s="1782"/>
      <c r="B98" s="1793">
        <f>B31</f>
        <v>111</v>
      </c>
      <c r="C98" s="468"/>
      <c r="D98" s="468"/>
      <c r="E98" s="468"/>
      <c r="F98" s="468"/>
      <c r="G98" s="1823"/>
      <c r="H98" s="1823"/>
      <c r="I98" s="1823"/>
      <c r="J98" s="1823"/>
      <c r="K98" s="477"/>
      <c r="L98" s="477"/>
      <c r="M98" s="1824"/>
      <c r="N98" s="2933"/>
      <c r="O98" s="2933"/>
      <c r="P98" s="1781"/>
      <c r="Q98" s="1750"/>
    </row>
    <row r="99" spans="1:17" ht="15.75" thickBot="1">
      <c r="A99" s="1825"/>
      <c r="B99" s="1810"/>
      <c r="C99" s="1811"/>
      <c r="D99" s="1811"/>
      <c r="E99" s="1811"/>
      <c r="F99" s="1811"/>
      <c r="G99" s="1826"/>
      <c r="H99" s="1826"/>
      <c r="I99" s="1826"/>
      <c r="J99" s="1826"/>
      <c r="K99" s="1826"/>
      <c r="L99" s="1826"/>
      <c r="M99" s="1827"/>
      <c r="N99" s="2934"/>
      <c r="O99" s="2934"/>
      <c r="P99" s="1781"/>
      <c r="Q99" s="1750"/>
    </row>
    <row r="100" spans="1:17">
      <c r="A100" s="1775" t="s">
        <v>2035</v>
      </c>
      <c r="B100" s="1776" t="s">
        <v>2139</v>
      </c>
      <c r="C100" s="1778"/>
      <c r="D100" s="1778"/>
      <c r="E100" s="1778"/>
      <c r="F100" s="1778"/>
      <c r="G100" s="1778"/>
      <c r="H100" s="1778"/>
      <c r="I100" s="1778"/>
      <c r="J100" s="1778"/>
      <c r="K100" s="417"/>
      <c r="L100" s="417"/>
      <c r="M100" s="1779"/>
      <c r="N100" s="2933"/>
      <c r="O100" s="2933"/>
      <c r="P100" s="1781"/>
      <c r="Q100" s="1750"/>
    </row>
    <row r="101" spans="1:17" ht="15.75" thickBot="1">
      <c r="A101" s="1782"/>
      <c r="B101" s="1790"/>
      <c r="C101" s="1791">
        <v>100</v>
      </c>
      <c r="D101" s="1791">
        <f t="shared" ref="D101:M101" si="21">C101-$K32</f>
        <v>100</v>
      </c>
      <c r="E101" s="1791">
        <f t="shared" si="21"/>
        <v>100</v>
      </c>
      <c r="F101" s="1791">
        <f t="shared" si="21"/>
        <v>100</v>
      </c>
      <c r="G101" s="1791">
        <f t="shared" si="21"/>
        <v>100</v>
      </c>
      <c r="H101" s="1791">
        <f t="shared" si="21"/>
        <v>100</v>
      </c>
      <c r="I101" s="1791">
        <f t="shared" si="21"/>
        <v>100</v>
      </c>
      <c r="J101" s="1791">
        <f t="shared" si="21"/>
        <v>100</v>
      </c>
      <c r="K101" s="1791">
        <f t="shared" si="21"/>
        <v>100</v>
      </c>
      <c r="L101" s="1791">
        <f t="shared" si="21"/>
        <v>100</v>
      </c>
      <c r="M101" s="1792">
        <f t="shared" si="21"/>
        <v>100</v>
      </c>
      <c r="N101" s="2934"/>
      <c r="O101" s="2934"/>
      <c r="P101" s="1781"/>
      <c r="Q101" s="1750"/>
    </row>
    <row r="102" spans="1:17" ht="15.75" thickTop="1">
      <c r="A102" s="1782"/>
      <c r="B102" s="1787" t="s">
        <v>2085</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9" t="str">
        <f>M103&amp;"(含)"&amp;"-"&amp;P103</f>
        <v>(含)-</v>
      </c>
      <c r="N102" s="2932"/>
      <c r="O102" s="2932"/>
      <c r="P102" s="1781"/>
      <c r="Q102" s="1750"/>
    </row>
    <row r="103" spans="1:17" s="1700" customFormat="1">
      <c r="A103" s="1828"/>
      <c r="B103" s="1829"/>
      <c r="C103" s="1830"/>
      <c r="D103" s="1830"/>
      <c r="E103" s="1830"/>
      <c r="F103" s="1830"/>
      <c r="G103" s="1830"/>
      <c r="H103" s="1830"/>
      <c r="I103" s="1830"/>
      <c r="J103" s="485"/>
      <c r="K103" s="485"/>
      <c r="L103" s="485"/>
      <c r="M103" s="1831"/>
      <c r="N103" s="2935"/>
      <c r="O103" s="2935"/>
      <c r="P103" s="1801"/>
      <c r="Q103" s="1802"/>
    </row>
    <row r="104" spans="1:17" s="1700" customFormat="1" ht="15.75" thickBot="1">
      <c r="A104" s="1798"/>
      <c r="B104" s="1790"/>
      <c r="C104" s="1803"/>
      <c r="D104" s="1784"/>
      <c r="E104" s="1784"/>
      <c r="F104" s="1784"/>
      <c r="G104" s="1784"/>
      <c r="H104" s="1784"/>
      <c r="I104" s="1784"/>
      <c r="J104" s="1784"/>
      <c r="K104" s="1784"/>
      <c r="L104" s="1784"/>
      <c r="M104" s="1785"/>
      <c r="N104" s="2934"/>
      <c r="O104" s="2934"/>
      <c r="P104" s="1801"/>
      <c r="Q104" s="1802"/>
    </row>
    <row r="105" spans="1:17" ht="15" thickTop="1">
      <c r="A105" s="1832"/>
      <c r="B105" s="1787" t="s">
        <v>2086</v>
      </c>
      <c r="C105" s="468"/>
      <c r="D105" s="468"/>
      <c r="E105" s="1506"/>
      <c r="F105" s="1506"/>
      <c r="G105" s="1506"/>
      <c r="H105" s="1506"/>
      <c r="I105" s="1506"/>
      <c r="J105" s="1506"/>
      <c r="K105" s="473"/>
      <c r="L105" s="473"/>
      <c r="M105" s="1822"/>
      <c r="N105" s="2933"/>
      <c r="O105" s="2933"/>
      <c r="P105" s="1781"/>
      <c r="Q105" s="1750"/>
    </row>
    <row r="106" spans="1:17" ht="15.75" thickBot="1">
      <c r="A106" s="1782"/>
      <c r="B106" s="1790"/>
      <c r="C106" s="1791">
        <v>100</v>
      </c>
      <c r="D106" s="1791">
        <f t="shared" ref="D106:M106" si="23">C106-$K34</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2">
        <f t="shared" si="23"/>
        <v>100</v>
      </c>
      <c r="N106" s="2934"/>
      <c r="O106" s="2934"/>
      <c r="P106" s="1781"/>
      <c r="Q106" s="1750"/>
    </row>
    <row r="107" spans="1:17" ht="15" thickTop="1">
      <c r="A107" s="1832"/>
      <c r="B107" s="1787" t="s">
        <v>2088</v>
      </c>
      <c r="C107" s="468"/>
      <c r="D107" s="468"/>
      <c r="E107" s="468"/>
      <c r="F107" s="1506"/>
      <c r="G107" s="1506"/>
      <c r="H107" s="1506"/>
      <c r="I107" s="1506"/>
      <c r="J107" s="1506"/>
      <c r="K107" s="473"/>
      <c r="L107" s="473"/>
      <c r="M107" s="1822"/>
      <c r="N107" s="2933"/>
      <c r="O107" s="2933"/>
      <c r="P107" s="1781"/>
      <c r="Q107" s="1750"/>
    </row>
    <row r="108" spans="1:17" ht="15.75" thickBot="1">
      <c r="A108" s="1782"/>
      <c r="B108" s="1790"/>
      <c r="C108" s="1791">
        <v>100</v>
      </c>
      <c r="D108" s="1791">
        <f t="shared" ref="D108:M108" si="24">C108-$K35</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2">
        <f t="shared" si="24"/>
        <v>100</v>
      </c>
      <c r="N108" s="2934"/>
      <c r="O108" s="2934"/>
      <c r="P108" s="1781"/>
      <c r="Q108" s="1750"/>
    </row>
    <row r="109" spans="1:17" ht="15" thickTop="1">
      <c r="A109" s="1832"/>
      <c r="B109" s="1787" t="s">
        <v>2089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3"/>
      <c r="O109" s="2933"/>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3"/>
      <c r="O110" s="2933"/>
      <c r="P110" s="1781"/>
      <c r="Q110" s="1750"/>
    </row>
    <row r="111" spans="1:17" ht="15.75" thickBot="1">
      <c r="A111" s="1782"/>
      <c r="B111" s="1790"/>
      <c r="C111" s="1820">
        <v>100</v>
      </c>
      <c r="D111" s="1791">
        <f>C111+$K36</f>
        <v>100</v>
      </c>
      <c r="E111" s="1791">
        <f t="shared" ref="E111:M111" si="25">D111+$K36</f>
        <v>100</v>
      </c>
      <c r="F111" s="1791">
        <f t="shared" si="25"/>
        <v>100</v>
      </c>
      <c r="G111" s="1791">
        <f t="shared" si="25"/>
        <v>100</v>
      </c>
      <c r="H111" s="1791">
        <f t="shared" si="25"/>
        <v>100</v>
      </c>
      <c r="I111" s="1791">
        <f t="shared" si="25"/>
        <v>100</v>
      </c>
      <c r="J111" s="1791">
        <f t="shared" si="25"/>
        <v>100</v>
      </c>
      <c r="K111" s="1791">
        <f t="shared" si="25"/>
        <v>100</v>
      </c>
      <c r="L111" s="1791">
        <f t="shared" si="25"/>
        <v>100</v>
      </c>
      <c r="M111" s="1791">
        <f t="shared" si="25"/>
        <v>100</v>
      </c>
      <c r="N111" s="2934"/>
      <c r="O111" s="2934"/>
      <c r="P111" s="1781"/>
      <c r="Q111" s="1750"/>
    </row>
    <row r="112" spans="1:17" s="1700" customFormat="1" ht="15" thickTop="1">
      <c r="A112" s="1828"/>
      <c r="B112" s="1787" t="s">
        <v>2091</v>
      </c>
      <c r="C112" s="468"/>
      <c r="D112" s="468"/>
      <c r="E112" s="468"/>
      <c r="F112" s="468"/>
      <c r="G112" s="468"/>
      <c r="H112" s="1506"/>
      <c r="I112" s="1506"/>
      <c r="J112" s="1506"/>
      <c r="K112" s="473"/>
      <c r="L112" s="473"/>
      <c r="M112" s="1822"/>
      <c r="N112" s="2935"/>
      <c r="O112" s="2935"/>
      <c r="P112" s="1801"/>
      <c r="Q112" s="1802"/>
    </row>
    <row r="113" spans="1:17" s="1700" customFormat="1" ht="15.75" thickBot="1">
      <c r="A113" s="1798"/>
      <c r="B113" s="1790"/>
      <c r="C113" s="1791">
        <v>100</v>
      </c>
      <c r="D113" s="1791">
        <f>C113-$K37</f>
        <v>100</v>
      </c>
      <c r="E113" s="1791">
        <f t="shared" ref="E113:M113" si="26">D113-$K37</f>
        <v>100</v>
      </c>
      <c r="F113" s="1791">
        <f t="shared" si="26"/>
        <v>100</v>
      </c>
      <c r="G113" s="1791">
        <f t="shared" si="26"/>
        <v>100</v>
      </c>
      <c r="H113" s="1791">
        <f t="shared" si="26"/>
        <v>100</v>
      </c>
      <c r="I113" s="1791">
        <f t="shared" si="26"/>
        <v>100</v>
      </c>
      <c r="J113" s="1791">
        <f t="shared" si="26"/>
        <v>100</v>
      </c>
      <c r="K113" s="1791">
        <f t="shared" si="26"/>
        <v>100</v>
      </c>
      <c r="L113" s="1791">
        <f t="shared" si="26"/>
        <v>100</v>
      </c>
      <c r="M113" s="1791">
        <f t="shared" si="26"/>
        <v>100</v>
      </c>
      <c r="N113" s="2935"/>
      <c r="O113" s="2935"/>
      <c r="P113" s="1801"/>
      <c r="Q113" s="1802"/>
    </row>
    <row r="114" spans="1:17" ht="15" thickTop="1">
      <c r="A114" s="1832"/>
      <c r="B114" s="1787" t="s">
        <v>2140</v>
      </c>
      <c r="C114" s="468"/>
      <c r="D114" s="468"/>
      <c r="E114" s="1506"/>
      <c r="F114" s="1506"/>
      <c r="G114" s="1506"/>
      <c r="H114" s="1506"/>
      <c r="I114" s="1506"/>
      <c r="J114" s="1506"/>
      <c r="K114" s="473"/>
      <c r="L114" s="473"/>
      <c r="M114" s="1822"/>
      <c r="N114" s="2933"/>
      <c r="O114" s="2933"/>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2">
        <f t="shared" si="27"/>
        <v>100</v>
      </c>
      <c r="N115" s="2934"/>
      <c r="O115" s="2934"/>
      <c r="P115" s="1781"/>
      <c r="Q115" s="1750"/>
    </row>
    <row r="116" spans="1:17" ht="15" thickTop="1">
      <c r="A116" s="1832"/>
      <c r="B116" s="1787" t="s">
        <v>2141</v>
      </c>
      <c r="C116" s="468"/>
      <c r="D116" s="468"/>
      <c r="E116" s="468"/>
      <c r="F116" s="468"/>
      <c r="G116" s="468"/>
      <c r="H116" s="1506"/>
      <c r="I116" s="1506"/>
      <c r="J116" s="1506"/>
      <c r="K116" s="473"/>
      <c r="L116" s="473"/>
      <c r="M116" s="1822"/>
      <c r="N116" s="2933"/>
      <c r="O116" s="2933"/>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4"/>
      <c r="O117" s="2934"/>
      <c r="P117" s="1781"/>
      <c r="Q117" s="1750"/>
    </row>
    <row r="118" spans="1:17" ht="15" thickTop="1">
      <c r="A118" s="1832"/>
      <c r="B118" s="1787" t="s">
        <v>2142</v>
      </c>
      <c r="C118" s="2404"/>
      <c r="D118" s="2404"/>
      <c r="E118" s="2404"/>
      <c r="F118" s="2404"/>
      <c r="G118" s="2404"/>
      <c r="H118" s="443"/>
      <c r="I118" s="443"/>
      <c r="J118" s="443"/>
      <c r="K118" s="443"/>
      <c r="L118" s="443"/>
      <c r="M118" s="1799"/>
      <c r="N118" s="2933"/>
      <c r="O118" s="2933"/>
      <c r="P118" s="1781"/>
      <c r="Q118" s="1750"/>
    </row>
    <row r="119" spans="1:17" ht="15.75" thickBot="1">
      <c r="A119" s="1782"/>
      <c r="B119" s="1790"/>
      <c r="C119" s="1803"/>
      <c r="D119" s="1784"/>
      <c r="E119" s="1784"/>
      <c r="F119" s="1784"/>
      <c r="G119" s="1784"/>
      <c r="H119" s="1784"/>
      <c r="I119" s="1784"/>
      <c r="J119" s="1784"/>
      <c r="K119" s="1784"/>
      <c r="L119" s="1784"/>
      <c r="M119" s="1785"/>
      <c r="N119" s="2934"/>
      <c r="O119" s="2934"/>
      <c r="P119" s="1781"/>
      <c r="Q119" s="1750"/>
    </row>
    <row r="120" spans="1:17" s="1700" customFormat="1" ht="15" thickTop="1">
      <c r="A120" s="1828"/>
      <c r="B120" s="1787" t="s">
        <v>2143</v>
      </c>
      <c r="C120" s="1506"/>
      <c r="D120" s="1506"/>
      <c r="E120" s="1506"/>
      <c r="F120" s="1506"/>
      <c r="G120" s="443"/>
      <c r="H120" s="443"/>
      <c r="I120" s="443"/>
      <c r="J120" s="443"/>
      <c r="K120" s="443"/>
      <c r="L120" s="443"/>
      <c r="M120" s="1799"/>
      <c r="N120" s="2935"/>
      <c r="O120" s="2935"/>
      <c r="P120" s="1801"/>
      <c r="Q120" s="1802"/>
    </row>
    <row r="121" spans="1:17" s="1700" customFormat="1" ht="15.75" thickBot="1">
      <c r="A121" s="1798"/>
      <c r="B121" s="1783"/>
      <c r="C121" s="1820">
        <v>100</v>
      </c>
      <c r="D121" s="1791">
        <f>C121-$K41</f>
        <v>100</v>
      </c>
      <c r="E121" s="1791">
        <f t="shared" ref="E121:M121" si="28">D121-$K41</f>
        <v>100</v>
      </c>
      <c r="F121" s="1791">
        <f t="shared" si="28"/>
        <v>100</v>
      </c>
      <c r="G121" s="1791">
        <f t="shared" si="28"/>
        <v>100</v>
      </c>
      <c r="H121" s="1791">
        <f t="shared" si="28"/>
        <v>100</v>
      </c>
      <c r="I121" s="1791">
        <f t="shared" si="28"/>
        <v>100</v>
      </c>
      <c r="J121" s="1791">
        <f t="shared" si="28"/>
        <v>100</v>
      </c>
      <c r="K121" s="1791">
        <f t="shared" si="28"/>
        <v>100</v>
      </c>
      <c r="L121" s="1791">
        <f t="shared" si="28"/>
        <v>100</v>
      </c>
      <c r="M121" s="1792">
        <f t="shared" si="28"/>
        <v>100</v>
      </c>
      <c r="N121" s="2935"/>
      <c r="O121" s="2935"/>
      <c r="P121" s="1801"/>
      <c r="Q121" s="1802"/>
    </row>
    <row r="122" spans="1:17" ht="15" thickTop="1">
      <c r="A122" s="1832"/>
      <c r="B122" s="1787" t="s">
        <v>2093</v>
      </c>
      <c r="C122" s="468"/>
      <c r="D122" s="468"/>
      <c r="E122" s="468"/>
      <c r="F122" s="1506"/>
      <c r="G122" s="1506"/>
      <c r="H122" s="1506"/>
      <c r="I122" s="1506"/>
      <c r="J122" s="1506"/>
      <c r="K122" s="473"/>
      <c r="L122" s="473"/>
      <c r="M122" s="1822"/>
      <c r="N122" s="2933"/>
      <c r="O122" s="2933"/>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2">
        <f t="shared" si="29"/>
        <v>100</v>
      </c>
      <c r="N123" s="2934"/>
      <c r="O123" s="2934"/>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2933"/>
      <c r="O124" s="2933"/>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4"/>
      <c r="O125" s="2934"/>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2935"/>
      <c r="O126" s="2935"/>
      <c r="P126" s="1801"/>
      <c r="Q126" s="1802"/>
    </row>
    <row r="127" spans="1:17" s="1700" customFormat="1" ht="15.75" thickBot="1">
      <c r="A127" s="1798"/>
      <c r="B127" s="1790"/>
      <c r="C127" s="1803"/>
      <c r="D127" s="1784"/>
      <c r="E127" s="1784"/>
      <c r="F127" s="1784"/>
      <c r="G127" s="1803"/>
      <c r="H127" s="1806"/>
      <c r="I127" s="1806"/>
      <c r="J127" s="1806"/>
      <c r="K127" s="1806"/>
      <c r="L127" s="1806"/>
      <c r="M127" s="1807"/>
      <c r="N127" s="2935"/>
      <c r="O127" s="2935"/>
      <c r="P127" s="1801"/>
      <c r="Q127" s="1802"/>
    </row>
    <row r="128" spans="1:17" ht="15" thickTop="1">
      <c r="A128" s="1832"/>
      <c r="B128" s="1787">
        <f>B45</f>
        <v>111</v>
      </c>
      <c r="C128" s="468"/>
      <c r="D128" s="468"/>
      <c r="E128" s="468"/>
      <c r="F128" s="468"/>
      <c r="G128" s="1506"/>
      <c r="H128" s="1506"/>
      <c r="I128" s="1506"/>
      <c r="J128" s="1506"/>
      <c r="K128" s="473"/>
      <c r="L128" s="473"/>
      <c r="M128" s="1822"/>
      <c r="N128" s="2933"/>
      <c r="O128" s="2933"/>
      <c r="P128" s="1781"/>
      <c r="Q128" s="1750"/>
    </row>
    <row r="129" spans="1:17" ht="15.75" thickBot="1">
      <c r="A129" s="1782"/>
      <c r="B129" s="1790"/>
      <c r="C129" s="1803"/>
      <c r="D129" s="1784"/>
      <c r="E129" s="1784"/>
      <c r="F129" s="1784"/>
      <c r="G129" s="1784"/>
      <c r="H129" s="1784"/>
      <c r="I129" s="1784"/>
      <c r="J129" s="1784"/>
      <c r="K129" s="1784"/>
      <c r="L129" s="1784"/>
      <c r="M129" s="1785"/>
      <c r="N129" s="2934"/>
      <c r="O129" s="2934"/>
      <c r="P129" s="1781"/>
      <c r="Q129" s="1750"/>
    </row>
    <row r="130" spans="1:17" ht="15" thickTop="1">
      <c r="A130" s="1832"/>
      <c r="B130" s="1793">
        <f>B46</f>
        <v>111</v>
      </c>
      <c r="C130" s="468"/>
      <c r="D130" s="468"/>
      <c r="E130" s="468"/>
      <c r="F130" s="468"/>
      <c r="G130" s="1823"/>
      <c r="H130" s="1823"/>
      <c r="I130" s="1823"/>
      <c r="J130" s="1823"/>
      <c r="K130" s="409"/>
      <c r="L130" s="409"/>
      <c r="M130" s="1824"/>
      <c r="N130" s="2933"/>
      <c r="O130" s="2933"/>
      <c r="P130" s="1781"/>
      <c r="Q130" s="1750"/>
    </row>
    <row r="131" spans="1:17" ht="15.75" thickBot="1">
      <c r="A131" s="1825"/>
      <c r="B131" s="1810"/>
      <c r="C131" s="1811"/>
      <c r="D131" s="1811"/>
      <c r="E131" s="1811"/>
      <c r="F131" s="1811"/>
      <c r="G131" s="1826"/>
      <c r="H131" s="1826"/>
      <c r="I131" s="1826"/>
      <c r="J131" s="1826"/>
      <c r="K131" s="1826"/>
      <c r="L131" s="1826"/>
      <c r="M131" s="1827"/>
      <c r="N131" s="2934"/>
      <c r="O131" s="2934"/>
      <c r="P131" s="1781"/>
      <c r="Q131" s="175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G53" sqref="G53"/>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2002</v>
      </c>
      <c r="B1" s="1155" t="s">
        <v>2161</v>
      </c>
      <c r="C1" s="1147"/>
      <c r="D1" s="1160"/>
      <c r="E1" s="1487"/>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元</v>
      </c>
      <c r="D2" s="1488"/>
      <c r="E2" s="1507" t="e">
        <f ca="1">SUMIF(INDIRECT("'"&amp;G2&amp;"'"&amp;"!A:A"),"承租人权益价值",INDIRECT("'"&amp;G2&amp;"'"&amp;"!c:c"))</f>
        <v>#REF!</v>
      </c>
      <c r="F2" s="1489" t="str">
        <f>C2</f>
        <v>元</v>
      </c>
      <c r="G2" s="1490"/>
      <c r="H2" s="2937"/>
      <c r="I2" s="2937"/>
      <c r="J2" s="2937"/>
      <c r="K2" s="2937"/>
      <c r="L2" s="2938"/>
      <c r="M2" s="2939"/>
      <c r="N2" s="2939"/>
      <c r="O2" s="2939"/>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2005</v>
      </c>
      <c r="D3" s="292">
        <f>IF(C1="仅计算典型户型",'数据-取费表'!E5,'数据-取费表'!B5)</f>
        <v>73.739999999999995</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4" t="s">
        <v>2007</v>
      </c>
      <c r="D4" s="3655"/>
      <c r="E4" s="3656" t="s">
        <v>2008</v>
      </c>
      <c r="F4" s="3657"/>
      <c r="G4" s="3654" t="s">
        <v>2009</v>
      </c>
      <c r="H4" s="3655"/>
      <c r="I4" s="3654" t="s">
        <v>2010</v>
      </c>
      <c r="J4" s="3655"/>
      <c r="K4" s="496" t="s">
        <v>2011</v>
      </c>
      <c r="L4" s="2942"/>
      <c r="M4" s="2943"/>
      <c r="N4" s="2943"/>
      <c r="O4" s="2943"/>
      <c r="P4" s="3658" t="s">
        <v>2012</v>
      </c>
      <c r="Q4" s="3659"/>
      <c r="R4" s="3664" t="s">
        <v>2008</v>
      </c>
      <c r="S4" s="3665"/>
      <c r="T4" s="3664" t="s">
        <v>2009</v>
      </c>
      <c r="U4" s="3665"/>
      <c r="V4" s="3670" t="s">
        <v>2010</v>
      </c>
      <c r="W4" s="3670"/>
      <c r="X4" s="1263"/>
      <c r="Y4" s="3664" t="s">
        <v>2012</v>
      </c>
      <c r="Z4" s="3665"/>
      <c r="AA4" s="3651" t="s">
        <v>2008</v>
      </c>
      <c r="AB4" s="3652" t="s">
        <v>2009</v>
      </c>
      <c r="AC4" s="3651" t="s">
        <v>2010</v>
      </c>
    </row>
    <row r="5" spans="1:29" ht="15">
      <c r="A5" s="297"/>
      <c r="B5" s="298"/>
      <c r="C5" s="3647" t="s">
        <v>2013</v>
      </c>
      <c r="D5" s="3648"/>
      <c r="E5" s="3671" t="s">
        <v>2014</v>
      </c>
      <c r="F5" s="3672"/>
      <c r="G5" s="3647" t="s">
        <v>2015</v>
      </c>
      <c r="H5" s="3648"/>
      <c r="I5" s="3647" t="s">
        <v>2016</v>
      </c>
      <c r="J5" s="3648"/>
      <c r="K5" s="496"/>
      <c r="L5" s="2942"/>
      <c r="M5" s="2943"/>
      <c r="N5" s="2943"/>
      <c r="O5" s="2943"/>
      <c r="P5" s="3660"/>
      <c r="Q5" s="3661"/>
      <c r="R5" s="3666"/>
      <c r="S5" s="3667"/>
      <c r="T5" s="3666"/>
      <c r="U5" s="3667"/>
      <c r="V5" s="3670"/>
      <c r="W5" s="3670"/>
      <c r="X5" s="1263"/>
      <c r="Y5" s="3666"/>
      <c r="Z5" s="3667"/>
      <c r="AA5" s="3652"/>
      <c r="AB5" s="3652"/>
      <c r="AC5" s="3652"/>
    </row>
    <row r="6" spans="1:29" ht="15.75" thickBot="1">
      <c r="A6" s="299"/>
      <c r="B6" s="300"/>
      <c r="C6" s="3644" t="s">
        <v>2017</v>
      </c>
      <c r="D6" s="3645"/>
      <c r="E6" s="3642" t="s">
        <v>2017</v>
      </c>
      <c r="F6" s="3643"/>
      <c r="G6" s="3644" t="s">
        <v>2017</v>
      </c>
      <c r="H6" s="3645"/>
      <c r="I6" s="3644" t="s">
        <v>2017</v>
      </c>
      <c r="J6" s="3645"/>
      <c r="K6" s="496" t="s">
        <v>2018</v>
      </c>
      <c r="L6" s="2942"/>
      <c r="M6" s="2943"/>
      <c r="N6" s="2943"/>
      <c r="O6" s="2943"/>
      <c r="P6" s="3662"/>
      <c r="Q6" s="3663"/>
      <c r="R6" s="3666"/>
      <c r="S6" s="3667"/>
      <c r="T6" s="3668"/>
      <c r="U6" s="3669"/>
      <c r="V6" s="3670"/>
      <c r="W6" s="3670"/>
      <c r="X6" s="1263"/>
      <c r="Y6" s="3668"/>
      <c r="Z6" s="3669"/>
      <c r="AA6" s="3653"/>
      <c r="AB6" s="3653"/>
      <c r="AC6" s="3653"/>
    </row>
    <row r="7" spans="1:29" s="25" customFormat="1" ht="15.75" thickBot="1">
      <c r="A7" s="301" t="s">
        <v>2019</v>
      </c>
      <c r="B7" s="302"/>
      <c r="C7" s="303">
        <f>'数据-取费表'!B2</f>
        <v>44675</v>
      </c>
      <c r="D7" s="304">
        <v>100</v>
      </c>
      <c r="E7" s="305"/>
      <c r="F7" s="306">
        <f>SUMIF(52:52,YEAR(E7)&amp;"-"&amp;MONTH(E7),53:53)</f>
        <v>0</v>
      </c>
      <c r="G7" s="305"/>
      <c r="H7" s="304">
        <f>SUMIF(52:52,YEAR(G7)&amp;"-"&amp;MONTH(G7),53:53)</f>
        <v>0</v>
      </c>
      <c r="I7" s="305"/>
      <c r="J7" s="304">
        <f>SUMIF(52:52,YEAR(I7)&amp;"-"&amp;MONTH(I7),53:53)</f>
        <v>0</v>
      </c>
      <c r="K7" s="497"/>
      <c r="L7" s="2944"/>
      <c r="M7" s="2945"/>
      <c r="N7" s="2945"/>
      <c r="O7" s="2945"/>
      <c r="P7" s="3649" t="s">
        <v>2020</v>
      </c>
      <c r="Q7" s="3673"/>
      <c r="R7" s="627" t="s">
        <v>25</v>
      </c>
      <c r="S7" s="628">
        <f t="shared" ref="S7:S15" si="0">F7</f>
        <v>0</v>
      </c>
      <c r="T7" s="627" t="s">
        <v>25</v>
      </c>
      <c r="U7" s="628">
        <f t="shared" ref="U7:U15" si="1">H7</f>
        <v>0</v>
      </c>
      <c r="V7" s="627" t="s">
        <v>25</v>
      </c>
      <c r="W7" s="628">
        <f t="shared" ref="W7:W15" si="2">J7</f>
        <v>0</v>
      </c>
      <c r="X7" s="629"/>
      <c r="Y7" s="3649" t="s">
        <v>2020</v>
      </c>
      <c r="Z7" s="3650"/>
      <c r="AA7" s="630" t="e">
        <f>D7/F7</f>
        <v>#DIV/0!</v>
      </c>
      <c r="AB7" s="630" t="e">
        <f>D7/H7</f>
        <v>#DIV/0!</v>
      </c>
      <c r="AC7" s="630" t="e">
        <f>D7/J7</f>
        <v>#DIV/0!</v>
      </c>
    </row>
    <row r="8" spans="1:29" s="25" customFormat="1" ht="15.75" thickBot="1">
      <c r="A8" s="301" t="s">
        <v>2021</v>
      </c>
      <c r="B8" s="302"/>
      <c r="C8" s="307" t="s">
        <v>2639</v>
      </c>
      <c r="D8" s="304">
        <v>100</v>
      </c>
      <c r="E8" s="307"/>
      <c r="F8" s="306">
        <f>SUMIF(55:55,E8,56:56)-SUMIF(55:55,C8,56:56)+100</f>
        <v>0</v>
      </c>
      <c r="G8" s="307"/>
      <c r="H8" s="304">
        <f>SUMIF(55:55,G8,56:56)-SUMIF(55:55,C8,56:56)+100</f>
        <v>0</v>
      </c>
      <c r="I8" s="307"/>
      <c r="J8" s="304">
        <f>SUMIF(55:55,I8,56:56)-SUMIF(55:55,C8,56:56)+100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40" si="3">D8/F8</f>
        <v>#DIV/0!</v>
      </c>
      <c r="AB8" s="630" t="e">
        <f t="shared" ref="AB8:AB40" si="4">D8/H8</f>
        <v>#DIV/0!</v>
      </c>
      <c r="AC8" s="630" t="e">
        <f t="shared" ref="AC8:AC40" si="5">D8/J8</f>
        <v>#DIV/0!</v>
      </c>
    </row>
    <row r="9" spans="1:29" s="25" customFormat="1">
      <c r="A9" s="308" t="s">
        <v>2024</v>
      </c>
      <c r="B9" s="24" t="s">
        <v>2025</v>
      </c>
      <c r="C9" s="309"/>
      <c r="D9" s="28">
        <v>100</v>
      </c>
      <c r="E9" s="311"/>
      <c r="F9" s="28">
        <f>SUMIF(57:57,E9,58:58)-SUMIF(57:57,C9,58:58)+100</f>
        <v>100</v>
      </c>
      <c r="G9" s="310"/>
      <c r="H9" s="28">
        <f>SUMIF(57:57,G9,58:58)-SUMIF(57:57,C9,58:58)+100</f>
        <v>100</v>
      </c>
      <c r="I9" s="310"/>
      <c r="J9" s="28">
        <f>SUMIF(57:57,I9,58:58)-SUMIF(57:57,C9,58:58)+100</f>
        <v>100</v>
      </c>
      <c r="K9" s="497"/>
      <c r="L9" s="2944"/>
      <c r="M9" s="2945"/>
      <c r="N9" s="2945"/>
      <c r="O9" s="2946"/>
      <c r="P9" s="3646" t="s">
        <v>2026</v>
      </c>
      <c r="Q9" s="1255" t="str">
        <f t="shared" ref="Q9:Q15" si="6">B9</f>
        <v>用途</v>
      </c>
      <c r="R9" s="627" t="s">
        <v>25</v>
      </c>
      <c r="S9" s="628">
        <f t="shared" si="0"/>
        <v>100</v>
      </c>
      <c r="T9" s="627" t="s">
        <v>25</v>
      </c>
      <c r="U9" s="628">
        <f t="shared" si="1"/>
        <v>100</v>
      </c>
      <c r="V9" s="627" t="s">
        <v>25</v>
      </c>
      <c r="W9" s="628">
        <f t="shared" si="2"/>
        <v>100</v>
      </c>
      <c r="X9" s="629"/>
      <c r="Y9" s="3676" t="s">
        <v>2027</v>
      </c>
      <c r="Z9" s="19" t="str">
        <f t="shared" ref="Z9:Z15" si="7">Q9</f>
        <v>用途</v>
      </c>
      <c r="AA9" s="630">
        <f t="shared" si="3"/>
        <v>1</v>
      </c>
      <c r="AB9" s="630">
        <f t="shared" si="4"/>
        <v>1</v>
      </c>
      <c r="AC9" s="630">
        <f t="shared" si="5"/>
        <v>1</v>
      </c>
    </row>
    <row r="10" spans="1:29" s="317" customFormat="1" ht="27">
      <c r="A10" s="312"/>
      <c r="B10" s="313" t="s">
        <v>2028</v>
      </c>
      <c r="C10" s="314"/>
      <c r="D10" s="29">
        <v>100</v>
      </c>
      <c r="E10" s="314"/>
      <c r="F10" s="29">
        <f>SUMIF(59:59,E10,60:60)-SUMIF(59:59,C10,60:60)+100</f>
        <v>100</v>
      </c>
      <c r="G10" s="315"/>
      <c r="H10" s="29">
        <f>SUMIF(59:59,G10,60:60)-SUMIF(59:59,C10,60:60)+100</f>
        <v>100</v>
      </c>
      <c r="I10" s="314"/>
      <c r="J10" s="29">
        <f>SUMIF(59:59,I10,60:60)-SUMIF(59:59,C10,60:60)+100</f>
        <v>100</v>
      </c>
      <c r="K10" s="498"/>
      <c r="L10" s="2947"/>
      <c r="M10" s="2948"/>
      <c r="N10" s="2948"/>
      <c r="O10" s="2949"/>
      <c r="P10" s="3646"/>
      <c r="Q10" s="1255" t="str">
        <f t="shared" si="6"/>
        <v>土地使用年限（年）</v>
      </c>
      <c r="R10" s="627" t="s">
        <v>25</v>
      </c>
      <c r="S10" s="628">
        <f t="shared" si="0"/>
        <v>100</v>
      </c>
      <c r="T10" s="627" t="s">
        <v>25</v>
      </c>
      <c r="U10" s="628">
        <f t="shared" si="1"/>
        <v>100</v>
      </c>
      <c r="V10" s="627" t="s">
        <v>25</v>
      </c>
      <c r="W10" s="628">
        <f t="shared" si="2"/>
        <v>100</v>
      </c>
      <c r="X10" s="629"/>
      <c r="Y10" s="3676"/>
      <c r="Z10" s="19" t="str">
        <f t="shared" si="7"/>
        <v>土地使用年限（年）</v>
      </c>
      <c r="AA10" s="630">
        <f t="shared" si="3"/>
        <v>1</v>
      </c>
      <c r="AB10" s="630">
        <f t="shared" si="4"/>
        <v>1</v>
      </c>
      <c r="AC10" s="630">
        <f t="shared" si="5"/>
        <v>1</v>
      </c>
    </row>
    <row r="11" spans="1:29" ht="15">
      <c r="A11" s="318"/>
      <c r="B11" s="313" t="s">
        <v>2029</v>
      </c>
      <c r="C11" s="319"/>
      <c r="D11" s="29">
        <v>100</v>
      </c>
      <c r="E11" s="319"/>
      <c r="F11" s="29" t="e">
        <f>LOOKUP(E11,62:62,63:63)-LOOKUP(C11,62:62,63:63)+100</f>
        <v>#N/A</v>
      </c>
      <c r="G11" s="320"/>
      <c r="H11" s="29" t="e">
        <f>LOOKUP(G11,62:62,63:63)-LOOKUP(C11,62:62,63:63)+100</f>
        <v>#N/A</v>
      </c>
      <c r="I11" s="319"/>
      <c r="J11" s="29" t="e">
        <f>LOOKUP(I11,62:62,63:63)-LOOKUP(C11,62:62,63:63)+100</f>
        <v>#N/A</v>
      </c>
      <c r="K11" s="498"/>
      <c r="L11" s="2950"/>
      <c r="M11" s="2943"/>
      <c r="N11" s="2943"/>
      <c r="O11" s="2951"/>
      <c r="P11" s="3646"/>
      <c r="Q11" s="1255" t="str">
        <f t="shared" si="6"/>
        <v>容积率</v>
      </c>
      <c r="R11" s="627" t="s">
        <v>25</v>
      </c>
      <c r="S11" s="628" t="e">
        <f t="shared" si="0"/>
        <v>#N/A</v>
      </c>
      <c r="T11" s="627" t="s">
        <v>25</v>
      </c>
      <c r="U11" s="628" t="e">
        <f t="shared" si="1"/>
        <v>#N/A</v>
      </c>
      <c r="V11" s="627" t="s">
        <v>25</v>
      </c>
      <c r="W11" s="628" t="e">
        <f t="shared" si="2"/>
        <v>#N/A</v>
      </c>
      <c r="X11" s="629"/>
      <c r="Y11" s="3676"/>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4"/>
      <c r="M12" s="2945"/>
      <c r="N12" s="2945"/>
      <c r="O12" s="2946"/>
      <c r="P12" s="3646"/>
      <c r="Q12" s="1255">
        <f t="shared" si="6"/>
        <v>111</v>
      </c>
      <c r="R12" s="627" t="s">
        <v>25</v>
      </c>
      <c r="S12" s="628">
        <f t="shared" si="0"/>
        <v>100</v>
      </c>
      <c r="T12" s="627" t="s">
        <v>25</v>
      </c>
      <c r="U12" s="628">
        <f t="shared" si="1"/>
        <v>100</v>
      </c>
      <c r="V12" s="627" t="s">
        <v>25</v>
      </c>
      <c r="W12" s="628">
        <f t="shared" si="2"/>
        <v>100</v>
      </c>
      <c r="X12" s="629"/>
      <c r="Y12" s="3676"/>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2"/>
      <c r="M13" s="2943"/>
      <c r="N13" s="2943"/>
      <c r="O13" s="2951"/>
      <c r="P13" s="3646"/>
      <c r="Q13" s="1255">
        <f t="shared" si="6"/>
        <v>111</v>
      </c>
      <c r="R13" s="627" t="s">
        <v>25</v>
      </c>
      <c r="S13" s="628">
        <f t="shared" si="0"/>
        <v>100</v>
      </c>
      <c r="T13" s="627" t="s">
        <v>25</v>
      </c>
      <c r="U13" s="628">
        <f t="shared" si="1"/>
        <v>100</v>
      </c>
      <c r="V13" s="627" t="s">
        <v>25</v>
      </c>
      <c r="W13" s="628">
        <f t="shared" si="2"/>
        <v>100</v>
      </c>
      <c r="X13" s="629"/>
      <c r="Y13" s="3676"/>
      <c r="Z13" s="19">
        <f t="shared" si="7"/>
        <v>111</v>
      </c>
      <c r="AA13" s="630">
        <f t="shared" si="3"/>
        <v>1</v>
      </c>
      <c r="AB13" s="630">
        <f t="shared" si="4"/>
        <v>1</v>
      </c>
      <c r="AC13" s="630">
        <f t="shared" si="5"/>
        <v>1</v>
      </c>
    </row>
    <row r="14" spans="1:29" ht="15.75"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2"/>
      <c r="M14" s="2943"/>
      <c r="N14" s="2943"/>
      <c r="O14" s="2951"/>
      <c r="P14" s="3646"/>
      <c r="Q14" s="1255">
        <f t="shared" si="6"/>
        <v>111</v>
      </c>
      <c r="R14" s="627" t="s">
        <v>25</v>
      </c>
      <c r="S14" s="628">
        <f t="shared" si="0"/>
        <v>100</v>
      </c>
      <c r="T14" s="627" t="s">
        <v>25</v>
      </c>
      <c r="U14" s="628">
        <f t="shared" si="1"/>
        <v>100</v>
      </c>
      <c r="V14" s="627" t="s">
        <v>25</v>
      </c>
      <c r="W14" s="628">
        <f t="shared" si="2"/>
        <v>100</v>
      </c>
      <c r="X14" s="629"/>
      <c r="Y14" s="3676"/>
      <c r="Z14" s="19">
        <f t="shared" si="7"/>
        <v>111</v>
      </c>
      <c r="AA14" s="630">
        <f t="shared" si="3"/>
        <v>1</v>
      </c>
      <c r="AB14" s="630">
        <f t="shared" si="4"/>
        <v>1</v>
      </c>
      <c r="AC14" s="630">
        <f t="shared" si="5"/>
        <v>1</v>
      </c>
    </row>
    <row r="15" spans="1:29" ht="57">
      <c r="A15" s="329" t="s">
        <v>2030</v>
      </c>
      <c r="B15" s="22" t="s">
        <v>2162</v>
      </c>
      <c r="C15" s="150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52"/>
      <c r="M15" s="2943"/>
      <c r="N15" s="2943"/>
      <c r="O15" s="2951"/>
      <c r="P15" s="3674" t="s">
        <v>2031</v>
      </c>
      <c r="Q15" s="1262" t="str">
        <f t="shared" si="6"/>
        <v>产业集聚程度</v>
      </c>
      <c r="R15" s="631" t="s">
        <v>25</v>
      </c>
      <c r="S15" s="632">
        <f t="shared" si="0"/>
        <v>100</v>
      </c>
      <c r="T15" s="631" t="s">
        <v>25</v>
      </c>
      <c r="U15" s="632">
        <f t="shared" si="1"/>
        <v>100</v>
      </c>
      <c r="V15" s="631" t="s">
        <v>25</v>
      </c>
      <c r="W15" s="632">
        <f t="shared" si="2"/>
        <v>100</v>
      </c>
      <c r="X15" s="1263"/>
      <c r="Y15" s="3674" t="s">
        <v>2031</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2"/>
      <c r="M16" s="2943"/>
      <c r="N16" s="2943"/>
      <c r="O16" s="2951"/>
      <c r="P16" s="3675"/>
      <c r="Q16" s="1262"/>
      <c r="R16" s="631"/>
      <c r="S16" s="632"/>
      <c r="T16" s="631"/>
      <c r="U16" s="632"/>
      <c r="V16" s="631"/>
      <c r="W16" s="632"/>
      <c r="X16" s="1263"/>
      <c r="Y16" s="3675"/>
      <c r="Z16" s="1264"/>
      <c r="AA16" s="1265">
        <v>1</v>
      </c>
      <c r="AB16" s="1265">
        <v>1</v>
      </c>
      <c r="AC16" s="1265">
        <v>1</v>
      </c>
    </row>
    <row r="17" spans="1:29" ht="85.5">
      <c r="A17" s="318"/>
      <c r="B17" s="340" t="s">
        <v>1466</v>
      </c>
      <c r="C17" s="149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52"/>
      <c r="M17" s="2943"/>
      <c r="N17" s="2943"/>
      <c r="O17" s="2951"/>
      <c r="P17" s="3675"/>
      <c r="Q17" s="1262" t="str">
        <f>B17</f>
        <v>交通便捷度</v>
      </c>
      <c r="R17" s="631" t="s">
        <v>25</v>
      </c>
      <c r="S17" s="632">
        <f>F17</f>
        <v>100</v>
      </c>
      <c r="T17" s="631" t="s">
        <v>25</v>
      </c>
      <c r="U17" s="632">
        <f>H17</f>
        <v>100</v>
      </c>
      <c r="V17" s="631" t="s">
        <v>25</v>
      </c>
      <c r="W17" s="632">
        <f>J17</f>
        <v>100</v>
      </c>
      <c r="X17" s="1263"/>
      <c r="Y17" s="3675"/>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2"/>
      <c r="M18" s="2943"/>
      <c r="N18" s="2943"/>
      <c r="O18" s="2951"/>
      <c r="P18" s="3675"/>
      <c r="Q18" s="1262"/>
      <c r="R18" s="631"/>
      <c r="S18" s="632"/>
      <c r="T18" s="631"/>
      <c r="U18" s="632"/>
      <c r="V18" s="631"/>
      <c r="W18" s="632"/>
      <c r="X18" s="1263"/>
      <c r="Y18" s="3675"/>
      <c r="Z18" s="1264"/>
      <c r="AA18" s="1265">
        <v>1</v>
      </c>
      <c r="AB18" s="1265">
        <v>1</v>
      </c>
      <c r="AC18" s="1265">
        <v>1</v>
      </c>
    </row>
    <row r="19" spans="1:29" ht="42.75">
      <c r="A19" s="318"/>
      <c r="B19" s="513" t="s">
        <v>2146</v>
      </c>
      <c r="C19" s="149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52"/>
      <c r="M19" s="2943"/>
      <c r="N19" s="2943"/>
      <c r="O19" s="2951"/>
      <c r="P19" s="3675"/>
      <c r="Q19" s="1262" t="str">
        <f>B19</f>
        <v>公共配套设施</v>
      </c>
      <c r="R19" s="631" t="s">
        <v>25</v>
      </c>
      <c r="S19" s="632">
        <f>F19</f>
        <v>100</v>
      </c>
      <c r="T19" s="631" t="s">
        <v>25</v>
      </c>
      <c r="U19" s="632">
        <f>H19</f>
        <v>100</v>
      </c>
      <c r="V19" s="631" t="s">
        <v>25</v>
      </c>
      <c r="W19" s="632">
        <f>J19</f>
        <v>100</v>
      </c>
      <c r="X19" s="1263"/>
      <c r="Y19" s="3675"/>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2"/>
      <c r="M20" s="2943"/>
      <c r="N20" s="2943"/>
      <c r="O20" s="2951"/>
      <c r="P20" s="3675"/>
      <c r="Q20" s="1262"/>
      <c r="R20" s="631"/>
      <c r="S20" s="632"/>
      <c r="T20" s="631"/>
      <c r="U20" s="632"/>
      <c r="V20" s="631"/>
      <c r="W20" s="632"/>
      <c r="X20" s="1263"/>
      <c r="Y20" s="3675"/>
      <c r="Z20" s="1264"/>
      <c r="AA20" s="1265">
        <v>1</v>
      </c>
      <c r="AB20" s="1265">
        <v>1</v>
      </c>
      <c r="AC20" s="1265">
        <v>1</v>
      </c>
    </row>
    <row r="21" spans="1:29" ht="28.5">
      <c r="A21" s="318"/>
      <c r="B21" s="515" t="s">
        <v>2147</v>
      </c>
      <c r="C21" s="149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52"/>
      <c r="M21" s="2943"/>
      <c r="N21" s="2943"/>
      <c r="O21" s="2951"/>
      <c r="P21" s="3675"/>
      <c r="Q21" s="1262" t="str">
        <f>B21</f>
        <v>基础设施水平</v>
      </c>
      <c r="R21" s="631" t="s">
        <v>25</v>
      </c>
      <c r="S21" s="632">
        <f>F21</f>
        <v>100</v>
      </c>
      <c r="T21" s="631" t="s">
        <v>25</v>
      </c>
      <c r="U21" s="632">
        <f>H21</f>
        <v>100</v>
      </c>
      <c r="V21" s="631" t="s">
        <v>25</v>
      </c>
      <c r="W21" s="632">
        <f>J21</f>
        <v>100</v>
      </c>
      <c r="X21" s="1263"/>
      <c r="Y21" s="3675"/>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2"/>
      <c r="M22" s="2943"/>
      <c r="N22" s="2943"/>
      <c r="O22" s="2951"/>
      <c r="P22" s="3675"/>
      <c r="Q22" s="1262"/>
      <c r="R22" s="631"/>
      <c r="S22" s="632"/>
      <c r="T22" s="631"/>
      <c r="U22" s="632"/>
      <c r="V22" s="631"/>
      <c r="W22" s="632"/>
      <c r="X22" s="1263"/>
      <c r="Y22" s="3675"/>
      <c r="Z22" s="1264"/>
      <c r="AA22" s="1265">
        <v>1</v>
      </c>
      <c r="AB22" s="1265">
        <v>1</v>
      </c>
      <c r="AC22" s="1265">
        <v>1</v>
      </c>
    </row>
    <row r="23" spans="1:29" ht="71.25">
      <c r="A23" s="318"/>
      <c r="B23" s="340" t="s">
        <v>2148</v>
      </c>
      <c r="C23" s="149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52"/>
      <c r="M23" s="2943"/>
      <c r="N23" s="2943"/>
      <c r="O23" s="2951"/>
      <c r="P23" s="3675"/>
      <c r="Q23" s="1262" t="str">
        <f>B23</f>
        <v>环境质量</v>
      </c>
      <c r="R23" s="631" t="s">
        <v>25</v>
      </c>
      <c r="S23" s="632">
        <f>F23</f>
        <v>100</v>
      </c>
      <c r="T23" s="631" t="s">
        <v>25</v>
      </c>
      <c r="U23" s="632">
        <f>H23</f>
        <v>100</v>
      </c>
      <c r="V23" s="631" t="s">
        <v>25</v>
      </c>
      <c r="W23" s="632">
        <f>J23</f>
        <v>100</v>
      </c>
      <c r="X23" s="1263"/>
      <c r="Y23" s="3675"/>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2"/>
      <c r="M24" s="2943"/>
      <c r="N24" s="2943"/>
      <c r="O24" s="2951"/>
      <c r="P24" s="3675"/>
      <c r="Q24" s="1262"/>
      <c r="R24" s="631"/>
      <c r="S24" s="632"/>
      <c r="T24" s="631"/>
      <c r="U24" s="632"/>
      <c r="V24" s="631"/>
      <c r="W24" s="632"/>
      <c r="X24" s="1263"/>
      <c r="Y24" s="3675"/>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2"/>
      <c r="M25" s="2943"/>
      <c r="N25" s="2943"/>
      <c r="O25" s="2951"/>
      <c r="P25" s="3675"/>
      <c r="Q25" s="1262">
        <f>B25</f>
        <v>111</v>
      </c>
      <c r="R25" s="631" t="s">
        <v>25</v>
      </c>
      <c r="S25" s="632">
        <f>F25</f>
        <v>100</v>
      </c>
      <c r="T25" s="631" t="s">
        <v>25</v>
      </c>
      <c r="U25" s="632">
        <f>H25</f>
        <v>100</v>
      </c>
      <c r="V25" s="631" t="s">
        <v>25</v>
      </c>
      <c r="W25" s="632">
        <f>J25</f>
        <v>100</v>
      </c>
      <c r="X25" s="1263"/>
      <c r="Y25" s="3675"/>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2"/>
      <c r="M26" s="2943"/>
      <c r="N26" s="2943"/>
      <c r="O26" s="2951"/>
      <c r="P26" s="3675"/>
      <c r="Q26" s="1262">
        <f t="shared" ref="Q26:Q40" si="11">B26</f>
        <v>111</v>
      </c>
      <c r="R26" s="631" t="s">
        <v>25</v>
      </c>
      <c r="S26" s="632">
        <f>F26</f>
        <v>100</v>
      </c>
      <c r="T26" s="631" t="s">
        <v>25</v>
      </c>
      <c r="U26" s="632">
        <f>H26</f>
        <v>100</v>
      </c>
      <c r="V26" s="631" t="s">
        <v>25</v>
      </c>
      <c r="W26" s="632">
        <f>J26</f>
        <v>100</v>
      </c>
      <c r="X26" s="1263"/>
      <c r="Y26" s="3675"/>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4"/>
      <c r="M27" s="2945"/>
      <c r="N27" s="2945"/>
      <c r="O27" s="2946"/>
      <c r="P27" s="3675"/>
      <c r="Q27" s="1255">
        <f t="shared" si="11"/>
        <v>111</v>
      </c>
      <c r="R27" s="627" t="s">
        <v>25</v>
      </c>
      <c r="S27" s="628">
        <f>F27</f>
        <v>100</v>
      </c>
      <c r="T27" s="627" t="s">
        <v>25</v>
      </c>
      <c r="U27" s="628">
        <f>H27</f>
        <v>100</v>
      </c>
      <c r="V27" s="627" t="s">
        <v>25</v>
      </c>
      <c r="W27" s="628">
        <f>J27</f>
        <v>100</v>
      </c>
      <c r="X27" s="629"/>
      <c r="Y27" s="3675"/>
      <c r="Z27" s="19">
        <f>Q27</f>
        <v>111</v>
      </c>
      <c r="AA27" s="1265">
        <f>D27/F27</f>
        <v>1</v>
      </c>
      <c r="AB27" s="1265">
        <f>D27/H27</f>
        <v>1</v>
      </c>
      <c r="AC27" s="1265">
        <f>D27/J27</f>
        <v>1</v>
      </c>
    </row>
    <row r="28" spans="1:29" ht="15.75"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2"/>
      <c r="M28" s="2943"/>
      <c r="N28" s="2943"/>
      <c r="O28" s="2951"/>
      <c r="P28" s="3675"/>
      <c r="Q28" s="1262">
        <f t="shared" si="11"/>
        <v>111</v>
      </c>
      <c r="R28" s="631" t="s">
        <v>25</v>
      </c>
      <c r="S28" s="632">
        <f t="shared" ref="S28:S40" si="12">F28</f>
        <v>100</v>
      </c>
      <c r="T28" s="631" t="s">
        <v>25</v>
      </c>
      <c r="U28" s="632">
        <f t="shared" ref="U28:U40" si="13">H28</f>
        <v>100</v>
      </c>
      <c r="V28" s="631" t="s">
        <v>25</v>
      </c>
      <c r="W28" s="632">
        <f t="shared" ref="W28:W40" si="14">J28</f>
        <v>100</v>
      </c>
      <c r="X28" s="1263"/>
      <c r="Y28" s="3675"/>
      <c r="Z28" s="1264">
        <f t="shared" ref="Z28:Z40" si="15">Q28</f>
        <v>111</v>
      </c>
      <c r="AA28" s="1265">
        <f t="shared" si="3"/>
        <v>1</v>
      </c>
      <c r="AB28" s="1265">
        <f t="shared" si="4"/>
        <v>1</v>
      </c>
      <c r="AC28" s="1265">
        <f t="shared" si="5"/>
        <v>1</v>
      </c>
    </row>
    <row r="29" spans="1:29" ht="28.5">
      <c r="A29" s="354" t="s">
        <v>2035</v>
      </c>
      <c r="B29" s="24" t="s">
        <v>2151</v>
      </c>
      <c r="C29" s="1505"/>
      <c r="D29" s="355">
        <v>100</v>
      </c>
      <c r="E29" s="1505"/>
      <c r="F29" s="351">
        <f>SUMIF(88:88,E29,89:89)-SUMIF(88:88,C29,89:89)+100</f>
        <v>100</v>
      </c>
      <c r="G29" s="1505"/>
      <c r="H29" s="325">
        <f>SUMIF(88:88,G29,89:89)-SUMIF(88:88,C29,89:89)+100</f>
        <v>100</v>
      </c>
      <c r="I29" s="1505"/>
      <c r="J29" s="355">
        <f>SUMIF(88:88,I29,89:89)-SUMIF(88:88,C29,89:89)+100</f>
        <v>100</v>
      </c>
      <c r="K29" s="498"/>
      <c r="L29" s="2952"/>
      <c r="M29" s="2943"/>
      <c r="N29" s="2943"/>
      <c r="O29" s="2951"/>
      <c r="P29" s="3677" t="s">
        <v>2037</v>
      </c>
      <c r="Q29" s="1262" t="str">
        <f t="shared" si="11"/>
        <v>建筑类型</v>
      </c>
      <c r="R29" s="631" t="s">
        <v>25</v>
      </c>
      <c r="S29" s="632">
        <f t="shared" si="12"/>
        <v>100</v>
      </c>
      <c r="T29" s="631" t="s">
        <v>25</v>
      </c>
      <c r="U29" s="632">
        <f t="shared" si="13"/>
        <v>100</v>
      </c>
      <c r="V29" s="631" t="s">
        <v>25</v>
      </c>
      <c r="W29" s="632">
        <f t="shared" si="14"/>
        <v>100</v>
      </c>
      <c r="X29" s="1263"/>
      <c r="Y29" s="3678" t="s">
        <v>2037</v>
      </c>
      <c r="Z29" s="1264" t="str">
        <f t="shared" si="15"/>
        <v>建筑类型</v>
      </c>
      <c r="AA29" s="1265">
        <f t="shared" si="3"/>
        <v>1</v>
      </c>
      <c r="AB29" s="1265">
        <f t="shared" si="4"/>
        <v>1</v>
      </c>
      <c r="AC29" s="1265">
        <f t="shared" si="5"/>
        <v>1</v>
      </c>
    </row>
    <row r="30" spans="1:29" s="359" customFormat="1" ht="15">
      <c r="A30" s="356"/>
      <c r="B30" s="313" t="s">
        <v>2038</v>
      </c>
      <c r="C30" s="357"/>
      <c r="D30" s="29">
        <v>100</v>
      </c>
      <c r="E30" s="320"/>
      <c r="F30" s="316" t="e">
        <f>LOOKUP(E30,91:91,92:92)-LOOKUP(C30,91:91,92:92)+100</f>
        <v>#N/A</v>
      </c>
      <c r="G30" s="319"/>
      <c r="H30" s="29" t="e">
        <f>LOOKUP(G30,91:91,92:92)-LOOKUP(C30,91:91,92:92)+100</f>
        <v>#N/A</v>
      </c>
      <c r="I30" s="319"/>
      <c r="J30" s="29" t="e">
        <f>LOOKUP(I30,91:91,92:92)-LOOKUP(C30,91:91,92:92)+100</f>
        <v>#N/A</v>
      </c>
      <c r="K30" s="499"/>
      <c r="L30" s="2950"/>
      <c r="M30" s="358"/>
      <c r="N30" s="358"/>
      <c r="O30" s="2953"/>
      <c r="P30" s="3678"/>
      <c r="Q30" s="633" t="str">
        <f t="shared" si="11"/>
        <v>项目建筑规模</v>
      </c>
      <c r="R30" s="634" t="s">
        <v>25</v>
      </c>
      <c r="S30" s="635" t="e">
        <f t="shared" si="12"/>
        <v>#N/A</v>
      </c>
      <c r="T30" s="634" t="s">
        <v>25</v>
      </c>
      <c r="U30" s="635" t="e">
        <f t="shared" si="13"/>
        <v>#N/A</v>
      </c>
      <c r="V30" s="634" t="s">
        <v>25</v>
      </c>
      <c r="W30" s="635" t="e">
        <f t="shared" si="14"/>
        <v>#N/A</v>
      </c>
      <c r="X30" s="636"/>
      <c r="Y30" s="3678"/>
      <c r="Z30" s="637" t="str">
        <f t="shared" si="15"/>
        <v>项目建筑规模</v>
      </c>
      <c r="AA30" s="1265" t="e">
        <f t="shared" si="3"/>
        <v>#N/A</v>
      </c>
      <c r="AB30" s="1265" t="e">
        <f t="shared" si="4"/>
        <v>#N/A</v>
      </c>
      <c r="AC30" s="1265" t="e">
        <f t="shared" si="5"/>
        <v>#N/A</v>
      </c>
    </row>
    <row r="31" spans="1:29" ht="15">
      <c r="A31" s="360"/>
      <c r="B31" s="313" t="s">
        <v>2039</v>
      </c>
      <c r="C31" s="350"/>
      <c r="D31" s="325">
        <v>100</v>
      </c>
      <c r="E31" s="350"/>
      <c r="F31" s="351">
        <f>SUMIF(93:93,E31,94:94)-SUMIF(93:93,C31,94:94)+100</f>
        <v>100</v>
      </c>
      <c r="G31" s="350"/>
      <c r="H31" s="325">
        <f>SUMIF(93:93,G31,94:94)-SUMIF(93:93,C31,94:94)+100</f>
        <v>100</v>
      </c>
      <c r="I31" s="350"/>
      <c r="J31" s="325">
        <f>SUMIF(93:93,I31,94:94)-SUMIF(93:93,C31,94:94)+100</f>
        <v>100</v>
      </c>
      <c r="K31" s="498"/>
      <c r="L31" s="2952"/>
      <c r="M31" s="2943"/>
      <c r="N31" s="2943"/>
      <c r="O31" s="2951"/>
      <c r="P31" s="3678"/>
      <c r="Q31" s="1262" t="str">
        <f t="shared" si="11"/>
        <v>建筑结构</v>
      </c>
      <c r="R31" s="631" t="s">
        <v>25</v>
      </c>
      <c r="S31" s="632">
        <f t="shared" si="12"/>
        <v>100</v>
      </c>
      <c r="T31" s="631" t="s">
        <v>25</v>
      </c>
      <c r="U31" s="632">
        <f t="shared" si="13"/>
        <v>100</v>
      </c>
      <c r="V31" s="631" t="s">
        <v>25</v>
      </c>
      <c r="W31" s="632">
        <f t="shared" si="14"/>
        <v>100</v>
      </c>
      <c r="X31" s="1263"/>
      <c r="Y31" s="3678"/>
      <c r="Z31" s="1264" t="str">
        <f t="shared" si="15"/>
        <v>建筑结构</v>
      </c>
      <c r="AA31" s="1265">
        <f t="shared" si="3"/>
        <v>1</v>
      </c>
      <c r="AB31" s="1265">
        <f t="shared" si="4"/>
        <v>1</v>
      </c>
      <c r="AC31" s="1265">
        <f t="shared" si="5"/>
        <v>1</v>
      </c>
    </row>
    <row r="32" spans="1:29" ht="15">
      <c r="A32" s="360"/>
      <c r="B32" s="313" t="s">
        <v>2124</v>
      </c>
      <c r="C32" s="350"/>
      <c r="D32" s="325">
        <v>100</v>
      </c>
      <c r="E32" s="350"/>
      <c r="F32" s="351">
        <f>SUMIF(95:95,E32,96:96)-SUMIF(95:95,C32,96:96)+100</f>
        <v>100</v>
      </c>
      <c r="G32" s="350"/>
      <c r="H32" s="325">
        <f>SUMIF(95:95,G32,96:96)-SUMIF(95:95,C32,96:96)+100</f>
        <v>100</v>
      </c>
      <c r="I32" s="350"/>
      <c r="J32" s="325">
        <f>SUMIF(95:95,I32,96:96)-SUMIF(95:95,C32,96:96)+100</f>
        <v>100</v>
      </c>
      <c r="K32" s="498"/>
      <c r="L32" s="2952"/>
      <c r="M32" s="2943"/>
      <c r="N32" s="2943"/>
      <c r="O32" s="2951"/>
      <c r="P32" s="3678"/>
      <c r="Q32" s="1262" t="str">
        <f t="shared" si="11"/>
        <v>公共部分装修</v>
      </c>
      <c r="R32" s="631" t="s">
        <v>25</v>
      </c>
      <c r="S32" s="632">
        <f t="shared" si="12"/>
        <v>100</v>
      </c>
      <c r="T32" s="631" t="s">
        <v>25</v>
      </c>
      <c r="U32" s="632">
        <f t="shared" si="13"/>
        <v>100</v>
      </c>
      <c r="V32" s="631" t="s">
        <v>25</v>
      </c>
      <c r="W32" s="632">
        <f t="shared" si="14"/>
        <v>100</v>
      </c>
      <c r="X32" s="1263"/>
      <c r="Y32" s="3678"/>
      <c r="Z32" s="1264" t="str">
        <f t="shared" si="15"/>
        <v>公共部分装修</v>
      </c>
      <c r="AA32" s="1265">
        <f t="shared" si="3"/>
        <v>1</v>
      </c>
      <c r="AB32" s="1265">
        <f t="shared" si="4"/>
        <v>1</v>
      </c>
      <c r="AC32" s="1265">
        <f t="shared" si="5"/>
        <v>1</v>
      </c>
    </row>
    <row r="33" spans="1:29" ht="15">
      <c r="A33" s="360"/>
      <c r="B33" s="313" t="s">
        <v>2125</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2"/>
      <c r="M33" s="2943"/>
      <c r="N33" s="2943"/>
      <c r="O33" s="2951"/>
      <c r="P33" s="3678"/>
      <c r="Q33" s="1262" t="str">
        <f t="shared" si="11"/>
        <v>成新度</v>
      </c>
      <c r="R33" s="631" t="s">
        <v>25</v>
      </c>
      <c r="S33" s="632" t="e">
        <f t="shared" si="12"/>
        <v>#N/A</v>
      </c>
      <c r="T33" s="631" t="s">
        <v>25</v>
      </c>
      <c r="U33" s="632" t="e">
        <f t="shared" si="13"/>
        <v>#N/A</v>
      </c>
      <c r="V33" s="631" t="s">
        <v>25</v>
      </c>
      <c r="W33" s="632" t="e">
        <f t="shared" si="14"/>
        <v>#N/A</v>
      </c>
      <c r="X33" s="1263"/>
      <c r="Y33" s="3678"/>
      <c r="Z33" s="1264" t="str">
        <f t="shared" si="15"/>
        <v>成新度</v>
      </c>
      <c r="AA33" s="1265" t="e">
        <f t="shared" si="3"/>
        <v>#N/A</v>
      </c>
      <c r="AB33" s="1265" t="e">
        <f t="shared" si="4"/>
        <v>#N/A</v>
      </c>
      <c r="AC33" s="1265" t="e">
        <f t="shared" si="5"/>
        <v>#N/A</v>
      </c>
    </row>
    <row r="34" spans="1:29" s="25" customFormat="1" ht="15">
      <c r="A34" s="361"/>
      <c r="B34" s="313" t="s">
        <v>2153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4"/>
      <c r="M34" s="2945"/>
      <c r="N34" s="2945"/>
      <c r="O34" s="2946"/>
      <c r="P34" s="3678"/>
      <c r="Q34" s="1255" t="str">
        <f t="shared" si="11"/>
        <v>物业管理</v>
      </c>
      <c r="R34" s="627" t="s">
        <v>25</v>
      </c>
      <c r="S34" s="628">
        <f t="shared" si="12"/>
        <v>100</v>
      </c>
      <c r="T34" s="627" t="s">
        <v>25</v>
      </c>
      <c r="U34" s="628">
        <f t="shared" si="13"/>
        <v>100</v>
      </c>
      <c r="V34" s="627" t="s">
        <v>25</v>
      </c>
      <c r="W34" s="628">
        <f t="shared" si="14"/>
        <v>100</v>
      </c>
      <c r="X34" s="629"/>
      <c r="Y34" s="3678"/>
      <c r="Z34" s="19" t="str">
        <f t="shared" si="15"/>
        <v>物业管理</v>
      </c>
      <c r="AA34" s="630">
        <f t="shared" si="3"/>
        <v>1</v>
      </c>
      <c r="AB34" s="630">
        <f t="shared" si="4"/>
        <v>1</v>
      </c>
      <c r="AC34" s="630">
        <f t="shared" si="5"/>
        <v>1</v>
      </c>
    </row>
    <row r="35" spans="1:29" ht="15">
      <c r="A35" s="360"/>
      <c r="B35" s="313" t="s">
        <v>2126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2"/>
      <c r="M35" s="2943"/>
      <c r="N35" s="2943"/>
      <c r="O35" s="2951"/>
      <c r="P35" s="3678" t="s">
        <v>2037</v>
      </c>
      <c r="Q35" s="1262" t="str">
        <f t="shared" si="11"/>
        <v>市政基础设施</v>
      </c>
      <c r="R35" s="631" t="s">
        <v>25</v>
      </c>
      <c r="S35" s="632">
        <f t="shared" si="12"/>
        <v>100</v>
      </c>
      <c r="T35" s="631" t="s">
        <v>25</v>
      </c>
      <c r="U35" s="632">
        <f t="shared" si="13"/>
        <v>100</v>
      </c>
      <c r="V35" s="631" t="s">
        <v>25</v>
      </c>
      <c r="W35" s="632">
        <f t="shared" si="14"/>
        <v>100</v>
      </c>
      <c r="X35" s="1263"/>
      <c r="Y35" s="3678" t="s">
        <v>2037</v>
      </c>
      <c r="Z35" s="1264" t="str">
        <f t="shared" si="15"/>
        <v>市政基础设施</v>
      </c>
      <c r="AA35" s="1265">
        <f t="shared" si="3"/>
        <v>1</v>
      </c>
      <c r="AB35" s="1265">
        <f t="shared" si="4"/>
        <v>1</v>
      </c>
      <c r="AC35" s="1265">
        <f t="shared" si="5"/>
        <v>1</v>
      </c>
    </row>
    <row r="36" spans="1:29" ht="15">
      <c r="A36" s="360"/>
      <c r="B36" s="313" t="s">
        <v>2131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2"/>
      <c r="M36" s="2943"/>
      <c r="N36" s="2943"/>
      <c r="O36" s="2951"/>
      <c r="P36" s="3678"/>
      <c r="Q36" s="1262" t="str">
        <f t="shared" si="11"/>
        <v>内部装修</v>
      </c>
      <c r="R36" s="631" t="s">
        <v>25</v>
      </c>
      <c r="S36" s="632">
        <f t="shared" si="12"/>
        <v>100</v>
      </c>
      <c r="T36" s="631" t="s">
        <v>25</v>
      </c>
      <c r="U36" s="632">
        <f t="shared" si="13"/>
        <v>100</v>
      </c>
      <c r="V36" s="631" t="s">
        <v>25</v>
      </c>
      <c r="W36" s="632">
        <f t="shared" si="14"/>
        <v>100</v>
      </c>
      <c r="X36" s="1263"/>
      <c r="Y36" s="3678"/>
      <c r="Z36" s="1264" t="str">
        <f t="shared" si="15"/>
        <v>内部装修</v>
      </c>
      <c r="AA36" s="1265">
        <f t="shared" si="3"/>
        <v>1</v>
      </c>
      <c r="AB36" s="1265">
        <f t="shared" si="4"/>
        <v>1</v>
      </c>
      <c r="AC36" s="1265">
        <f t="shared" si="5"/>
        <v>1</v>
      </c>
    </row>
    <row r="37" spans="1:29" ht="15">
      <c r="A37" s="360"/>
      <c r="B37" s="313" t="s">
        <v>2163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2"/>
      <c r="M37" s="2943"/>
      <c r="N37" s="2943"/>
      <c r="O37" s="2951"/>
      <c r="P37" s="3678"/>
      <c r="Q37" s="1262" t="str">
        <f t="shared" si="11"/>
        <v>内部装修状况</v>
      </c>
      <c r="R37" s="631" t="s">
        <v>25</v>
      </c>
      <c r="S37" s="632">
        <f t="shared" si="12"/>
        <v>100</v>
      </c>
      <c r="T37" s="631" t="s">
        <v>25</v>
      </c>
      <c r="U37" s="632">
        <f t="shared" si="13"/>
        <v>100</v>
      </c>
      <c r="V37" s="631" t="s">
        <v>25</v>
      </c>
      <c r="W37" s="632">
        <f t="shared" si="14"/>
        <v>100</v>
      </c>
      <c r="X37" s="1263"/>
      <c r="Y37" s="3678"/>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0"/>
      <c r="M38" s="358"/>
      <c r="N38" s="358"/>
      <c r="O38" s="2953"/>
      <c r="P38" s="3678"/>
      <c r="Q38" s="633">
        <f t="shared" si="11"/>
        <v>111</v>
      </c>
      <c r="R38" s="634" t="s">
        <v>25</v>
      </c>
      <c r="S38" s="635">
        <f t="shared" si="12"/>
        <v>100</v>
      </c>
      <c r="T38" s="634" t="s">
        <v>25</v>
      </c>
      <c r="U38" s="635">
        <f t="shared" si="13"/>
        <v>100</v>
      </c>
      <c r="V38" s="634" t="s">
        <v>25</v>
      </c>
      <c r="W38" s="635">
        <f t="shared" si="14"/>
        <v>100</v>
      </c>
      <c r="X38" s="636"/>
      <c r="Y38" s="3678"/>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2"/>
      <c r="M39" s="2943"/>
      <c r="N39" s="2943"/>
      <c r="O39" s="2951"/>
      <c r="P39" s="3678"/>
      <c r="Q39" s="1262">
        <f t="shared" si="11"/>
        <v>111</v>
      </c>
      <c r="R39" s="631" t="s">
        <v>25</v>
      </c>
      <c r="S39" s="632">
        <f t="shared" si="12"/>
        <v>100</v>
      </c>
      <c r="T39" s="631" t="s">
        <v>25</v>
      </c>
      <c r="U39" s="632">
        <f t="shared" si="13"/>
        <v>100</v>
      </c>
      <c r="V39" s="631" t="s">
        <v>25</v>
      </c>
      <c r="W39" s="632">
        <f t="shared" si="14"/>
        <v>100</v>
      </c>
      <c r="X39" s="1263"/>
      <c r="Y39" s="3678"/>
      <c r="Z39" s="1264">
        <f t="shared" si="15"/>
        <v>111</v>
      </c>
      <c r="AA39" s="1265">
        <f t="shared" si="3"/>
        <v>1</v>
      </c>
      <c r="AB39" s="1265">
        <f t="shared" si="4"/>
        <v>1</v>
      </c>
      <c r="AC39" s="1265">
        <f t="shared" si="5"/>
        <v>1</v>
      </c>
    </row>
    <row r="40" spans="1:29" ht="15.75"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2"/>
      <c r="M40" s="2943"/>
      <c r="N40" s="2943"/>
      <c r="O40" s="2951"/>
      <c r="P40" s="3679"/>
      <c r="Q40" s="1262">
        <f t="shared" si="11"/>
        <v>111</v>
      </c>
      <c r="R40" s="631" t="s">
        <v>25</v>
      </c>
      <c r="S40" s="632">
        <f t="shared" si="12"/>
        <v>100</v>
      </c>
      <c r="T40" s="631" t="s">
        <v>25</v>
      </c>
      <c r="U40" s="632">
        <f t="shared" si="13"/>
        <v>100</v>
      </c>
      <c r="V40" s="631" t="s">
        <v>25</v>
      </c>
      <c r="W40" s="632">
        <f t="shared" si="14"/>
        <v>100</v>
      </c>
      <c r="X40" s="1263"/>
      <c r="Y40" s="3679"/>
      <c r="Z40" s="1264">
        <f t="shared" si="15"/>
        <v>111</v>
      </c>
      <c r="AA40" s="1265">
        <f t="shared" si="3"/>
        <v>1</v>
      </c>
      <c r="AB40" s="1265">
        <f t="shared" si="4"/>
        <v>1</v>
      </c>
      <c r="AC40" s="1265">
        <f t="shared" si="5"/>
        <v>1</v>
      </c>
    </row>
    <row r="41" spans="1:29" ht="15">
      <c r="A41" s="367" t="s">
        <v>2049</v>
      </c>
      <c r="B41" s="368"/>
      <c r="C41" s="1082" t="s">
        <v>1</v>
      </c>
      <c r="D41" s="1083"/>
      <c r="E41" s="1084"/>
      <c r="F41" s="1085"/>
      <c r="G41" s="1086"/>
      <c r="H41" s="1087"/>
      <c r="I41" s="1084"/>
      <c r="J41" s="1087"/>
      <c r="K41" s="640"/>
      <c r="L41" s="2954"/>
      <c r="N41" s="2943"/>
      <c r="P41" s="3646" t="str">
        <f>A41</f>
        <v>成交单价（元/平方米）</v>
      </c>
      <c r="Q41" s="3646"/>
      <c r="R41" s="3680">
        <f>E41</f>
        <v>0</v>
      </c>
      <c r="S41" s="3680"/>
      <c r="T41" s="3680">
        <f>G41</f>
        <v>0</v>
      </c>
      <c r="U41" s="3680"/>
      <c r="V41" s="3680">
        <f>I41</f>
        <v>0</v>
      </c>
      <c r="W41" s="3680"/>
      <c r="X41" s="618"/>
      <c r="Y41" s="638"/>
      <c r="Z41" s="618"/>
      <c r="AA41" s="618"/>
      <c r="AB41" s="618"/>
      <c r="AC41" s="618"/>
    </row>
    <row r="42" spans="1:29" ht="15.75" thickBot="1">
      <c r="A42" s="374" t="s">
        <v>2132</v>
      </c>
      <c r="B42" s="375"/>
      <c r="C42" s="1088" t="e">
        <f>R43</f>
        <v>#DIV/0!</v>
      </c>
      <c r="D42" s="1725" t="s">
        <v>2503</v>
      </c>
      <c r="E42" s="1089" t="e">
        <f>R42</f>
        <v>#DIV/0!</v>
      </c>
      <c r="F42" s="1727"/>
      <c r="G42" s="1088" t="e">
        <f>T42</f>
        <v>#DIV/0!</v>
      </c>
      <c r="H42" s="1727"/>
      <c r="I42" s="1089" t="e">
        <f>V42</f>
        <v>#DIV/0!</v>
      </c>
      <c r="J42" s="1727"/>
      <c r="K42" s="2429">
        <f>F42+H42+J42</f>
        <v>0</v>
      </c>
      <c r="L42" s="2954"/>
      <c r="N42" s="2943"/>
      <c r="P42" s="3646" t="str">
        <f>A42</f>
        <v>比较价值（元/平方米）</v>
      </c>
      <c r="Q42" s="3646"/>
      <c r="R42" s="3680" t="e">
        <f>IF(E1="售价",ROUND(PRODUCT(R41,AA7:AA40),0),ROUND(PRODUCT(R41,AA7:AA40),1))</f>
        <v>#DIV/0!</v>
      </c>
      <c r="S42" s="3680"/>
      <c r="T42" s="3680" t="e">
        <f>IF(E1="售价",ROUND(PRODUCT(T41,AB7:AB40),0),ROUND(PRODUCT(T41,AB7:AB40),1))</f>
        <v>#DIV/0!</v>
      </c>
      <c r="U42" s="3680"/>
      <c r="V42" s="3680" t="e">
        <f>IF(E1="售价",ROUND(PRODUCT(V41,AC7:AC40),0),ROUND(PRODUCT(V41,AC7:AC40),1))</f>
        <v>#DIV/0!</v>
      </c>
      <c r="W42" s="3680"/>
      <c r="X42" s="618"/>
      <c r="Y42" s="618"/>
      <c r="Z42" s="618"/>
      <c r="AA42" s="618"/>
      <c r="AB42" s="618"/>
      <c r="AC42" s="618"/>
    </row>
    <row r="43" spans="1:29" ht="15.75" thickBot="1">
      <c r="A43" s="378" t="s">
        <v>2155</v>
      </c>
      <c r="B43" s="379"/>
      <c r="C43" s="1090" t="e">
        <f>R43</f>
        <v>#DIV/0!</v>
      </c>
      <c r="D43" s="1090"/>
      <c r="E43" s="1090"/>
      <c r="F43" s="1090"/>
      <c r="G43" s="1090"/>
      <c r="H43" s="1090"/>
      <c r="I43" s="1090"/>
      <c r="J43" s="1090"/>
      <c r="K43" s="641"/>
      <c r="L43" s="2954"/>
      <c r="P43" s="3681" t="str">
        <f>A43</f>
        <v>估价对象XX用房的比较价值（楼面单价，元/平方米）</v>
      </c>
      <c r="Q43" s="3682"/>
      <c r="R43" s="3683" t="e">
        <f>IF(E1="售价",ROUND(IF(D42="简单平均",AVERAGE(R42:V42),R42*F42+T42*H42+V42*J42),0),ROUND(IF(D42="简单平均",AVERAGE(R42:V42),R42*F42+T42*H42+V42*J42),1))</f>
        <v>#DIV/0!</v>
      </c>
      <c r="S43" s="3683"/>
      <c r="T43" s="3683"/>
      <c r="U43" s="3683"/>
      <c r="V43" s="3683"/>
      <c r="W43" s="3683"/>
      <c r="X43" s="618"/>
      <c r="Y43" s="618"/>
      <c r="Z43" s="618"/>
      <c r="AA43" s="618"/>
      <c r="AB43" s="618"/>
      <c r="AC43" s="618"/>
    </row>
    <row r="44" spans="1:29">
      <c r="G44" s="2957"/>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c r="B49" s="2956"/>
      <c r="C49" s="2959"/>
      <c r="K49" s="2958"/>
      <c r="L49" s="2955"/>
    </row>
    <row r="50" spans="1:17">
      <c r="B50" s="2956"/>
      <c r="C50" s="2959"/>
    </row>
    <row r="51" spans="1:17" ht="21.75" thickBot="1">
      <c r="A51" s="620" t="s">
        <v>2137</v>
      </c>
      <c r="B51" s="618"/>
      <c r="C51" s="621"/>
      <c r="D51" s="621"/>
      <c r="E51" s="621"/>
      <c r="F51" s="622"/>
      <c r="G51" s="622"/>
      <c r="H51" s="621"/>
      <c r="I51" s="621"/>
      <c r="J51" s="621"/>
      <c r="K51" s="623"/>
      <c r="L51" s="624"/>
      <c r="M51" s="621"/>
      <c r="N51" s="2960"/>
      <c r="O51" s="2960"/>
      <c r="P51" s="389"/>
      <c r="Q51" s="390"/>
    </row>
    <row r="52" spans="1:17" s="394" customFormat="1" ht="15">
      <c r="A52" s="391" t="s">
        <v>2019</v>
      </c>
      <c r="B52" s="392"/>
      <c r="C52" s="1116" t="str">
        <f>YEAR(C7)&amp;"-"&amp;MONTH(C7)</f>
        <v>2022-4</v>
      </c>
      <c r="D52" s="1117">
        <f>EDATE(C52,-1)</f>
        <v>44621</v>
      </c>
      <c r="E52" s="1118">
        <f t="shared" ref="E52:O52" si="16">EDATE(D52,-1)</f>
        <v>44593</v>
      </c>
      <c r="F52" s="1118">
        <f t="shared" si="16"/>
        <v>44562</v>
      </c>
      <c r="G52" s="1118">
        <f t="shared" si="16"/>
        <v>44531</v>
      </c>
      <c r="H52" s="1118">
        <f t="shared" si="16"/>
        <v>44501</v>
      </c>
      <c r="I52" s="1118">
        <f t="shared" si="16"/>
        <v>44470</v>
      </c>
      <c r="J52" s="1118">
        <f t="shared" si="16"/>
        <v>44440</v>
      </c>
      <c r="K52" s="1118">
        <f t="shared" si="16"/>
        <v>44409</v>
      </c>
      <c r="L52" s="1118">
        <f t="shared" si="16"/>
        <v>44378</v>
      </c>
      <c r="M52" s="1118">
        <f t="shared" si="16"/>
        <v>44348</v>
      </c>
      <c r="N52" s="1118">
        <f t="shared" si="16"/>
        <v>44317</v>
      </c>
      <c r="O52" s="1118">
        <f t="shared" si="16"/>
        <v>44287</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2057</v>
      </c>
      <c r="B54" s="401"/>
      <c r="C54" s="402"/>
      <c r="D54" s="403"/>
      <c r="E54" s="403"/>
      <c r="F54" s="403"/>
      <c r="G54" s="403"/>
      <c r="H54" s="403"/>
      <c r="I54" s="403"/>
      <c r="J54" s="403"/>
      <c r="K54" s="403"/>
      <c r="L54" s="403"/>
      <c r="M54" s="404"/>
      <c r="N54" s="403"/>
      <c r="O54" s="405"/>
      <c r="P54" s="390"/>
      <c r="Q54" s="390"/>
    </row>
    <row r="55" spans="1:17" s="25" customFormat="1" ht="15">
      <c r="A55" s="406" t="s">
        <v>2021</v>
      </c>
      <c r="B55" s="396"/>
      <c r="C55" s="407" t="s">
        <v>2022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2060</v>
      </c>
      <c r="B57" s="413" t="s">
        <v>2025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2028</v>
      </c>
      <c r="C59" s="426" t="s">
        <v>2061</v>
      </c>
      <c r="D59" s="426" t="s">
        <v>2062</v>
      </c>
      <c r="E59" s="426" t="s">
        <v>2063</v>
      </c>
      <c r="F59" s="426" t="s">
        <v>2064</v>
      </c>
      <c r="G59" s="426" t="s">
        <v>2065</v>
      </c>
      <c r="H59" s="426" t="s">
        <v>2066</v>
      </c>
      <c r="I59" s="426" t="s">
        <v>2067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2030</v>
      </c>
      <c r="B70" s="413" t="s">
        <v>2164</v>
      </c>
      <c r="C70" s="461" t="s">
        <v>2069</v>
      </c>
      <c r="D70" s="461" t="s">
        <v>2070</v>
      </c>
      <c r="E70" s="461" t="s">
        <v>2071</v>
      </c>
      <c r="F70" s="461" t="s">
        <v>2072</v>
      </c>
      <c r="G70" s="461" t="s">
        <v>2073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2074</v>
      </c>
      <c r="C72" s="466" t="s">
        <v>2069</v>
      </c>
      <c r="D72" s="466" t="s">
        <v>2070</v>
      </c>
      <c r="E72" s="466" t="s">
        <v>2071</v>
      </c>
      <c r="F72" s="466" t="s">
        <v>2072</v>
      </c>
      <c r="G72" s="466" t="s">
        <v>2073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2075</v>
      </c>
      <c r="C74" s="466" t="s">
        <v>2069</v>
      </c>
      <c r="D74" s="466" t="s">
        <v>2070</v>
      </c>
      <c r="E74" s="466" t="s">
        <v>2071</v>
      </c>
      <c r="F74" s="466" t="s">
        <v>2072</v>
      </c>
      <c r="G74" s="466" t="s">
        <v>2073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2147</v>
      </c>
      <c r="C76" s="426" t="s">
        <v>2076</v>
      </c>
      <c r="D76" s="426" t="s">
        <v>2077</v>
      </c>
      <c r="E76" s="426" t="s">
        <v>2078</v>
      </c>
      <c r="F76" s="426" t="s">
        <v>2079</v>
      </c>
      <c r="G76" s="426" t="s">
        <v>2080</v>
      </c>
      <c r="H76" s="426"/>
      <c r="I76" s="426"/>
      <c r="J76" s="426"/>
      <c r="K76" s="426"/>
      <c r="L76" s="426"/>
      <c r="M76" s="105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2157</v>
      </c>
      <c r="C78" s="466" t="s">
        <v>2069</v>
      </c>
      <c r="D78" s="466" t="s">
        <v>2070</v>
      </c>
      <c r="E78" s="466" t="s">
        <v>2071</v>
      </c>
      <c r="F78" s="466" t="s">
        <v>2072</v>
      </c>
      <c r="G78" s="466" t="s">
        <v>2073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00"/>
      <c r="B87" s="457"/>
      <c r="C87" s="458"/>
      <c r="D87" s="458"/>
      <c r="E87" s="458"/>
      <c r="F87" s="458"/>
      <c r="G87" s="479"/>
      <c r="H87" s="479"/>
      <c r="I87" s="479"/>
      <c r="J87" s="479"/>
      <c r="K87" s="479"/>
      <c r="L87" s="479"/>
      <c r="M87" s="480"/>
      <c r="N87" s="424"/>
      <c r="O87" s="424"/>
      <c r="P87" s="18"/>
      <c r="Q87" s="390"/>
    </row>
    <row r="88" spans="1:17">
      <c r="A88" s="412" t="s">
        <v>2035</v>
      </c>
      <c r="B88" s="413" t="s">
        <v>2084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2090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2091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2165</v>
      </c>
      <c r="C106" s="466" t="s">
        <v>2069</v>
      </c>
      <c r="D106" s="466" t="s">
        <v>2070</v>
      </c>
      <c r="E106" s="466" t="s">
        <v>2071</v>
      </c>
      <c r="F106" s="466" t="s">
        <v>2072</v>
      </c>
      <c r="G106" s="466" t="s">
        <v>2073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G53" sqref="G53"/>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51"/>
      <c r="E1" s="1487"/>
      <c r="F1" s="1152" t="s">
        <v>2004</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元</v>
      </c>
      <c r="D2" s="1488"/>
      <c r="E2" s="885" t="e">
        <f ca="1">SUMIF(INDIRECT("'"&amp;G2&amp;"'"&amp;"!A:A"),"承租人权益价值",INDIRECT("'"&amp;G2&amp;"'"&amp;"!c:c"))</f>
        <v>#REF!</v>
      </c>
      <c r="F2" s="1489" t="str">
        <f>C2</f>
        <v>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2005</v>
      </c>
      <c r="D3" s="292">
        <f>IF(C1="仅计算典型户型",'数据-取费表'!E5,'数据-取费表'!B5)</f>
        <v>73.739999999999995</v>
      </c>
      <c r="E3" s="797" t="s">
        <v>2167</v>
      </c>
      <c r="F3" s="293">
        <f>'数据-取费表'!B42</f>
        <v>1</v>
      </c>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4" t="s">
        <v>2007</v>
      </c>
      <c r="D4" s="3655"/>
      <c r="E4" s="3656" t="s">
        <v>2008</v>
      </c>
      <c r="F4" s="3657"/>
      <c r="G4" s="3654" t="s">
        <v>2009</v>
      </c>
      <c r="H4" s="3655"/>
      <c r="I4" s="3654" t="s">
        <v>2010</v>
      </c>
      <c r="J4" s="3655"/>
      <c r="K4" s="496" t="s">
        <v>2011</v>
      </c>
      <c r="L4" s="2942"/>
      <c r="M4" s="2943"/>
      <c r="N4" s="2943"/>
      <c r="O4" s="2943"/>
      <c r="P4" s="3658" t="s">
        <v>2012</v>
      </c>
      <c r="Q4" s="3659"/>
      <c r="R4" s="3664" t="s">
        <v>2008</v>
      </c>
      <c r="S4" s="3665"/>
      <c r="T4" s="3664" t="s">
        <v>2009</v>
      </c>
      <c r="U4" s="3665"/>
      <c r="V4" s="3670" t="s">
        <v>2010</v>
      </c>
      <c r="W4" s="3670"/>
      <c r="X4" s="1263"/>
      <c r="Y4" s="3664" t="s">
        <v>2012</v>
      </c>
      <c r="Z4" s="3665"/>
      <c r="AA4" s="3651" t="s">
        <v>2008</v>
      </c>
      <c r="AB4" s="3652" t="s">
        <v>2009</v>
      </c>
      <c r="AC4" s="3651" t="s">
        <v>2010</v>
      </c>
    </row>
    <row r="5" spans="1:29" ht="15">
      <c r="A5" s="297"/>
      <c r="B5" s="298"/>
      <c r="C5" s="3647" t="s">
        <v>2013</v>
      </c>
      <c r="D5" s="3648"/>
      <c r="E5" s="3671" t="s">
        <v>2014</v>
      </c>
      <c r="F5" s="3672"/>
      <c r="G5" s="3647" t="s">
        <v>2015</v>
      </c>
      <c r="H5" s="3648"/>
      <c r="I5" s="3647" t="s">
        <v>2016</v>
      </c>
      <c r="J5" s="3648"/>
      <c r="K5" s="496"/>
      <c r="L5" s="2942"/>
      <c r="M5" s="2943"/>
      <c r="N5" s="2943"/>
      <c r="O5" s="2943"/>
      <c r="P5" s="3660"/>
      <c r="Q5" s="3661"/>
      <c r="R5" s="3666"/>
      <c r="S5" s="3667"/>
      <c r="T5" s="3666"/>
      <c r="U5" s="3667"/>
      <c r="V5" s="3670"/>
      <c r="W5" s="3670"/>
      <c r="X5" s="1263"/>
      <c r="Y5" s="3666"/>
      <c r="Z5" s="3667"/>
      <c r="AA5" s="3652"/>
      <c r="AB5" s="3652"/>
      <c r="AC5" s="3652"/>
    </row>
    <row r="6" spans="1:29" ht="15.75" thickBot="1">
      <c r="A6" s="299"/>
      <c r="B6" s="300"/>
      <c r="C6" s="3644" t="s">
        <v>2017</v>
      </c>
      <c r="D6" s="3645"/>
      <c r="E6" s="3642" t="s">
        <v>2017</v>
      </c>
      <c r="F6" s="3643"/>
      <c r="G6" s="3644" t="s">
        <v>2017</v>
      </c>
      <c r="H6" s="3645"/>
      <c r="I6" s="3644" t="s">
        <v>2017</v>
      </c>
      <c r="J6" s="3645"/>
      <c r="K6" s="496" t="s">
        <v>2018</v>
      </c>
      <c r="L6" s="2942"/>
      <c r="M6" s="2943"/>
      <c r="N6" s="2943"/>
      <c r="O6" s="2943"/>
      <c r="P6" s="3662"/>
      <c r="Q6" s="3663"/>
      <c r="R6" s="3666"/>
      <c r="S6" s="3667"/>
      <c r="T6" s="3668"/>
      <c r="U6" s="3669"/>
      <c r="V6" s="3670"/>
      <c r="W6" s="3670"/>
      <c r="X6" s="1263"/>
      <c r="Y6" s="3668"/>
      <c r="Z6" s="3669"/>
      <c r="AA6" s="3653"/>
      <c r="AB6" s="3653"/>
      <c r="AC6" s="3653"/>
    </row>
    <row r="7" spans="1:29" s="25" customFormat="1" ht="15.75" thickBot="1">
      <c r="A7" s="301" t="s">
        <v>2019</v>
      </c>
      <c r="B7" s="302"/>
      <c r="C7" s="303">
        <f>'数据-取费表'!B2</f>
        <v>44675</v>
      </c>
      <c r="D7" s="304">
        <v>100</v>
      </c>
      <c r="E7" s="305"/>
      <c r="F7" s="306">
        <f>SUMIF(48:48,YEAR(E7)&amp;"-"&amp;MONTH(E7),49:49)</f>
        <v>0</v>
      </c>
      <c r="G7" s="305"/>
      <c r="H7" s="304">
        <f>SUMIF(48:48,YEAR(G7)&amp;"-"&amp;MONTH(G7),49:49)</f>
        <v>0</v>
      </c>
      <c r="I7" s="305"/>
      <c r="J7" s="304">
        <f>SUMIF(48:48,YEAR(I7)&amp;"-"&amp;MONTH(I7),49:49)</f>
        <v>0</v>
      </c>
      <c r="K7" s="497"/>
      <c r="L7" s="2944"/>
      <c r="M7" s="2945"/>
      <c r="N7" s="2945"/>
      <c r="O7" s="2945"/>
      <c r="P7" s="3649" t="s">
        <v>2020</v>
      </c>
      <c r="Q7" s="3673"/>
      <c r="R7" s="627" t="s">
        <v>25</v>
      </c>
      <c r="S7" s="628">
        <f t="shared" ref="S7:S14" si="0">F7</f>
        <v>0</v>
      </c>
      <c r="T7" s="627" t="s">
        <v>25</v>
      </c>
      <c r="U7" s="628">
        <f t="shared" ref="U7:U14" si="1">H7</f>
        <v>0</v>
      </c>
      <c r="V7" s="627" t="s">
        <v>25</v>
      </c>
      <c r="W7" s="628">
        <f t="shared" ref="W7:W14" si="2">J7</f>
        <v>0</v>
      </c>
      <c r="X7" s="629"/>
      <c r="Y7" s="3649" t="s">
        <v>2020</v>
      </c>
      <c r="Z7" s="3650"/>
      <c r="AA7" s="630" t="e">
        <f>D7/F7</f>
        <v>#DIV/0!</v>
      </c>
      <c r="AB7" s="630" t="e">
        <f>D7/H7</f>
        <v>#DIV/0!</v>
      </c>
      <c r="AC7" s="630" t="e">
        <f>D7/J7</f>
        <v>#DIV/0!</v>
      </c>
    </row>
    <row r="8" spans="1:29" s="25" customFormat="1" ht="15.75" thickBot="1">
      <c r="A8" s="301" t="s">
        <v>2021</v>
      </c>
      <c r="B8" s="302"/>
      <c r="C8" s="307" t="s">
        <v>2022</v>
      </c>
      <c r="D8" s="304">
        <v>100</v>
      </c>
      <c r="E8" s="307"/>
      <c r="F8" s="306">
        <f>SUMIF(51:51,E8,52:52)-SUMIF(51:51,C8,52:52)+100</f>
        <v>0</v>
      </c>
      <c r="G8" s="307"/>
      <c r="H8" s="304">
        <f>SUMIF(51:51,G8,52:52)-SUMIF(51:51,C8,52:52)+100</f>
        <v>0</v>
      </c>
      <c r="I8" s="307"/>
      <c r="J8" s="304">
        <f>SUMIF(51:51,I8,52:52)-SUMIF(51:51,C8,52:52)+100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36" si="3">D8/F8</f>
        <v>#DIV/0!</v>
      </c>
      <c r="AB8" s="630" t="e">
        <f t="shared" ref="AB8:AB36" si="4">D8/H8</f>
        <v>#DIV/0!</v>
      </c>
      <c r="AC8" s="630" t="e">
        <f t="shared" ref="AC8:AC36" si="5">D8/J8</f>
        <v>#DIV/0!</v>
      </c>
    </row>
    <row r="9" spans="1:29" s="25" customFormat="1">
      <c r="A9" s="21" t="s">
        <v>2024</v>
      </c>
      <c r="B9" s="522" t="s">
        <v>2025</v>
      </c>
      <c r="C9" s="309"/>
      <c r="D9" s="28">
        <v>100</v>
      </c>
      <c r="E9" s="311"/>
      <c r="F9" s="28">
        <f>SUMIF(53:53,E9,54:54)-SUMIF(53:53,C9,54:54)+100</f>
        <v>100</v>
      </c>
      <c r="G9" s="310"/>
      <c r="H9" s="28">
        <f>SUMIF(53:53,G9,54:54)-SUMIF(53:53,C9,54:54)+100</f>
        <v>100</v>
      </c>
      <c r="I9" s="310"/>
      <c r="J9" s="28">
        <f>SUMIF(53:53,I9,54:54)-SUMIF(53:53,C9,54:54)+100</f>
        <v>100</v>
      </c>
      <c r="K9" s="497"/>
      <c r="L9" s="2944"/>
      <c r="M9" s="2945"/>
      <c r="N9" s="2945"/>
      <c r="O9" s="2946"/>
      <c r="P9" s="3646" t="s">
        <v>2026</v>
      </c>
      <c r="Q9" s="1255" t="str">
        <f t="shared" ref="Q9:Q14" si="6">B9</f>
        <v>用途</v>
      </c>
      <c r="R9" s="627" t="s">
        <v>25</v>
      </c>
      <c r="S9" s="628">
        <f t="shared" si="0"/>
        <v>100</v>
      </c>
      <c r="T9" s="627" t="s">
        <v>25</v>
      </c>
      <c r="U9" s="628">
        <f t="shared" si="1"/>
        <v>100</v>
      </c>
      <c r="V9" s="627" t="s">
        <v>25</v>
      </c>
      <c r="W9" s="628">
        <f t="shared" si="2"/>
        <v>100</v>
      </c>
      <c r="X9" s="629"/>
      <c r="Y9" s="3676" t="s">
        <v>2027</v>
      </c>
      <c r="Z9" s="19" t="str">
        <f t="shared" ref="Z9:Z14" si="7">Q9</f>
        <v>用途</v>
      </c>
      <c r="AA9" s="630">
        <f t="shared" si="3"/>
        <v>1</v>
      </c>
      <c r="AB9" s="630">
        <f t="shared" si="4"/>
        <v>1</v>
      </c>
      <c r="AC9" s="630">
        <f t="shared" si="5"/>
        <v>1</v>
      </c>
    </row>
    <row r="10" spans="1:29" s="317" customFormat="1" ht="27">
      <c r="A10" s="523"/>
      <c r="B10" s="524" t="s">
        <v>2028</v>
      </c>
      <c r="C10" s="314"/>
      <c r="D10" s="29">
        <v>100</v>
      </c>
      <c r="E10" s="314"/>
      <c r="F10" s="29">
        <f>SUMIF(55:55,E10,56:56)-SUMIF(55:55,C10,56:56)+100</f>
        <v>100</v>
      </c>
      <c r="G10" s="315"/>
      <c r="H10" s="29">
        <f>SUMIF(55:55,G10,56:56)-SUMIF(55:55,C10,56:56)+100</f>
        <v>100</v>
      </c>
      <c r="I10" s="314"/>
      <c r="J10" s="29">
        <f>SUMIF(55:55,I10,56:56)-SUMIF(55:55,C10,56:56)+100</f>
        <v>100</v>
      </c>
      <c r="K10" s="498"/>
      <c r="L10" s="2947"/>
      <c r="M10" s="2948"/>
      <c r="N10" s="2948"/>
      <c r="O10" s="2949"/>
      <c r="P10" s="3646"/>
      <c r="Q10" s="1255" t="str">
        <f t="shared" si="6"/>
        <v>土地使用年限（年）</v>
      </c>
      <c r="R10" s="627" t="s">
        <v>25</v>
      </c>
      <c r="S10" s="628">
        <f t="shared" si="0"/>
        <v>100</v>
      </c>
      <c r="T10" s="627" t="s">
        <v>25</v>
      </c>
      <c r="U10" s="628">
        <f t="shared" si="1"/>
        <v>100</v>
      </c>
      <c r="V10" s="627" t="s">
        <v>25</v>
      </c>
      <c r="W10" s="628">
        <f t="shared" si="2"/>
        <v>100</v>
      </c>
      <c r="X10" s="629"/>
      <c r="Y10" s="3676"/>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0"/>
      <c r="M11" s="2943"/>
      <c r="N11" s="2943"/>
      <c r="O11" s="2951"/>
      <c r="P11" s="3646"/>
      <c r="Q11" s="1255">
        <f t="shared" si="6"/>
        <v>111</v>
      </c>
      <c r="R11" s="627" t="s">
        <v>25</v>
      </c>
      <c r="S11" s="628">
        <f t="shared" si="0"/>
        <v>100</v>
      </c>
      <c r="T11" s="627" t="s">
        <v>25</v>
      </c>
      <c r="U11" s="628">
        <f t="shared" si="1"/>
        <v>100</v>
      </c>
      <c r="V11" s="627" t="s">
        <v>25</v>
      </c>
      <c r="W11" s="628">
        <f t="shared" si="2"/>
        <v>100</v>
      </c>
      <c r="X11" s="629"/>
      <c r="Y11" s="3676"/>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4"/>
      <c r="M12" s="2945"/>
      <c r="N12" s="2945"/>
      <c r="O12" s="2946"/>
      <c r="P12" s="3646"/>
      <c r="Q12" s="1255">
        <f t="shared" si="6"/>
        <v>111</v>
      </c>
      <c r="R12" s="627" t="s">
        <v>25</v>
      </c>
      <c r="S12" s="628">
        <f t="shared" si="0"/>
        <v>100</v>
      </c>
      <c r="T12" s="627" t="s">
        <v>25</v>
      </c>
      <c r="U12" s="628">
        <f t="shared" si="1"/>
        <v>100</v>
      </c>
      <c r="V12" s="627" t="s">
        <v>25</v>
      </c>
      <c r="W12" s="628">
        <f t="shared" si="2"/>
        <v>100</v>
      </c>
      <c r="X12" s="629"/>
      <c r="Y12" s="3676"/>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2"/>
      <c r="M13" s="2943"/>
      <c r="N13" s="2943"/>
      <c r="O13" s="2951"/>
      <c r="P13" s="3646"/>
      <c r="Q13" s="1255">
        <f t="shared" si="6"/>
        <v>111</v>
      </c>
      <c r="R13" s="627" t="s">
        <v>25</v>
      </c>
      <c r="S13" s="628">
        <f t="shared" si="0"/>
        <v>100</v>
      </c>
      <c r="T13" s="627" t="s">
        <v>25</v>
      </c>
      <c r="U13" s="628">
        <f t="shared" si="1"/>
        <v>100</v>
      </c>
      <c r="V13" s="627" t="s">
        <v>25</v>
      </c>
      <c r="W13" s="628">
        <f t="shared" si="2"/>
        <v>100</v>
      </c>
      <c r="X13" s="629"/>
      <c r="Y13" s="3676"/>
      <c r="Z13" s="19">
        <f t="shared" si="7"/>
        <v>111</v>
      </c>
      <c r="AA13" s="630">
        <f t="shared" si="3"/>
        <v>1</v>
      </c>
      <c r="AB13" s="630">
        <f t="shared" si="4"/>
        <v>1</v>
      </c>
      <c r="AC13" s="630">
        <f t="shared" si="5"/>
        <v>1</v>
      </c>
    </row>
    <row r="14" spans="1:29" ht="85.5">
      <c r="A14" s="294" t="s">
        <v>2030</v>
      </c>
      <c r="B14" s="511" t="s">
        <v>2168</v>
      </c>
      <c r="C14" s="1072" t="str">
        <f>IF(B1="工业",估价对象房地状况!G4,估价对象房地状况!C6)</f>
        <v>估价对象周边道路状况、公共交通通达情况、停车便捷程度，综合评价交通便捷度较好</v>
      </c>
      <c r="D14" s="1066">
        <v>100</v>
      </c>
      <c r="E14" s="331"/>
      <c r="F14" s="330">
        <f>SUMIF(63:63,E15,64:64)-SUMIF(63:63,C15,64:64)+100</f>
        <v>100</v>
      </c>
      <c r="G14" s="331"/>
      <c r="H14" s="330">
        <f>SUMIF(63:63,G15,64:64)-SUMIF(63:63,C15,64:64)+100</f>
        <v>100</v>
      </c>
      <c r="I14" s="331"/>
      <c r="J14" s="330">
        <f>SUMIF(63:63,I15,64:64)-SUMIF(63:63,C15,64:64)+100</f>
        <v>100</v>
      </c>
      <c r="K14" s="500"/>
      <c r="L14" s="2952"/>
      <c r="M14" s="2943"/>
      <c r="N14" s="2943"/>
      <c r="O14" s="2951"/>
      <c r="P14" s="3674" t="s">
        <v>2031</v>
      </c>
      <c r="Q14" s="1262" t="str">
        <f t="shared" si="6"/>
        <v>交通便捷度</v>
      </c>
      <c r="R14" s="631" t="s">
        <v>25</v>
      </c>
      <c r="S14" s="632">
        <f t="shared" si="0"/>
        <v>100</v>
      </c>
      <c r="T14" s="631" t="s">
        <v>25</v>
      </c>
      <c r="U14" s="632">
        <f t="shared" si="1"/>
        <v>100</v>
      </c>
      <c r="V14" s="631" t="s">
        <v>25</v>
      </c>
      <c r="W14" s="632">
        <f t="shared" si="2"/>
        <v>100</v>
      </c>
      <c r="X14" s="1263"/>
      <c r="Y14" s="3674" t="s">
        <v>2031</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2"/>
      <c r="M15" s="2943"/>
      <c r="N15" s="2943"/>
      <c r="O15" s="2951"/>
      <c r="P15" s="3675"/>
      <c r="Q15" s="1262"/>
      <c r="R15" s="631"/>
      <c r="S15" s="632"/>
      <c r="T15" s="631"/>
      <c r="U15" s="632"/>
      <c r="V15" s="631"/>
      <c r="W15" s="632"/>
      <c r="X15" s="1263"/>
      <c r="Y15" s="3675"/>
      <c r="Z15" s="1264"/>
      <c r="AA15" s="1265">
        <v>1</v>
      </c>
      <c r="AB15" s="1265">
        <v>1</v>
      </c>
      <c r="AC15" s="1265">
        <v>1</v>
      </c>
    </row>
    <row r="16" spans="1:29" ht="42.75">
      <c r="A16" s="297"/>
      <c r="B16" s="513" t="s">
        <v>2146</v>
      </c>
      <c r="C16" s="1074" t="str">
        <f>IF(B1="工业",估价对象房地状况!G5,估价对象房地状况!C7)</f>
        <v>估价对象所在区域公共配套设施齐备情况</v>
      </c>
      <c r="D16" s="1068">
        <v>100</v>
      </c>
      <c r="E16" s="341"/>
      <c r="F16" s="339">
        <f>SUMIF(65:65,E17,66:66)-SUMIF(65:65,C17,66:66)+100</f>
        <v>100</v>
      </c>
      <c r="G16" s="341"/>
      <c r="H16" s="344">
        <f>SUMIF(65:65,G17,66:66)-SUMIF(65:65,C17,66:66)+100</f>
        <v>100</v>
      </c>
      <c r="I16" s="341"/>
      <c r="J16" s="344">
        <f>SUMIF(65:65,I17,66:66)-SUMIF(65:65,C17,66:66)+100</f>
        <v>100</v>
      </c>
      <c r="K16" s="500"/>
      <c r="L16" s="2952"/>
      <c r="M16" s="2943"/>
      <c r="N16" s="2943"/>
      <c r="O16" s="2951"/>
      <c r="P16" s="3675"/>
      <c r="Q16" s="1262" t="str">
        <f>B16</f>
        <v>公共配套设施</v>
      </c>
      <c r="R16" s="631" t="s">
        <v>25</v>
      </c>
      <c r="S16" s="632">
        <f>F16</f>
        <v>100</v>
      </c>
      <c r="T16" s="631" t="s">
        <v>25</v>
      </c>
      <c r="U16" s="632">
        <f>H16</f>
        <v>100</v>
      </c>
      <c r="V16" s="631" t="s">
        <v>25</v>
      </c>
      <c r="W16" s="632">
        <f>J16</f>
        <v>100</v>
      </c>
      <c r="X16" s="1263"/>
      <c r="Y16" s="3675"/>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2"/>
      <c r="M17" s="2943"/>
      <c r="N17" s="2943"/>
      <c r="O17" s="2951"/>
      <c r="P17" s="3675"/>
      <c r="Q17" s="1262"/>
      <c r="R17" s="631"/>
      <c r="S17" s="632"/>
      <c r="T17" s="631"/>
      <c r="U17" s="632"/>
      <c r="V17" s="631"/>
      <c r="W17" s="632"/>
      <c r="X17" s="1263"/>
      <c r="Y17" s="3675"/>
      <c r="Z17" s="1264"/>
      <c r="AA17" s="1265">
        <v>1</v>
      </c>
      <c r="AB17" s="1265">
        <v>1</v>
      </c>
      <c r="AC17" s="1265">
        <v>1</v>
      </c>
    </row>
    <row r="18" spans="1:29" ht="28.5">
      <c r="A18" s="297"/>
      <c r="B18" s="515" t="s">
        <v>2147</v>
      </c>
      <c r="C18" s="1074" t="str">
        <f>IF(B1="工业",估价对象房地状况!G6,估价对象房地状况!C8)</f>
        <v>估价对象所在区域基础设施水平</v>
      </c>
      <c r="D18" s="1068">
        <v>100</v>
      </c>
      <c r="E18" s="341"/>
      <c r="F18" s="339">
        <f>SUMIF(67:67,E19,68:68)-SUMIF(67:67,C19,68:68)+100</f>
        <v>100</v>
      </c>
      <c r="G18" s="341"/>
      <c r="H18" s="344">
        <f>SUMIF(67:67,G19,68:68)-SUMIF(67:67,C19,68:68)+100</f>
        <v>100</v>
      </c>
      <c r="I18" s="341"/>
      <c r="J18" s="344">
        <f>SUMIF(67:67,I19,68:68)-SUMIF(67:67,C19,68:68)+100</f>
        <v>100</v>
      </c>
      <c r="K18" s="500"/>
      <c r="L18" s="2952"/>
      <c r="M18" s="2943"/>
      <c r="N18" s="2943"/>
      <c r="O18" s="2951"/>
      <c r="P18" s="3675"/>
      <c r="Q18" s="1262" t="str">
        <f>B18</f>
        <v>基础设施水平</v>
      </c>
      <c r="R18" s="631" t="s">
        <v>25</v>
      </c>
      <c r="S18" s="632">
        <f>F18</f>
        <v>100</v>
      </c>
      <c r="T18" s="631" t="s">
        <v>25</v>
      </c>
      <c r="U18" s="632">
        <f>H18</f>
        <v>100</v>
      </c>
      <c r="V18" s="631" t="s">
        <v>25</v>
      </c>
      <c r="W18" s="632">
        <f>J18</f>
        <v>100</v>
      </c>
      <c r="X18" s="1263"/>
      <c r="Y18" s="3675"/>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2"/>
      <c r="M19" s="2943"/>
      <c r="N19" s="2943"/>
      <c r="O19" s="2951"/>
      <c r="P19" s="3675"/>
      <c r="Q19" s="1262"/>
      <c r="R19" s="631"/>
      <c r="S19" s="632"/>
      <c r="T19" s="631"/>
      <c r="U19" s="632"/>
      <c r="V19" s="631"/>
      <c r="W19" s="632"/>
      <c r="X19" s="1263"/>
      <c r="Y19" s="3675"/>
      <c r="Z19" s="1264"/>
      <c r="AA19" s="1265">
        <v>1</v>
      </c>
      <c r="AB19" s="1265">
        <v>1</v>
      </c>
      <c r="AC19" s="1265">
        <v>1</v>
      </c>
    </row>
    <row r="20" spans="1:29" ht="57">
      <c r="A20" s="297"/>
      <c r="B20" s="513" t="s">
        <v>2169</v>
      </c>
      <c r="C20" s="1074" t="str">
        <f>IF(B1="工业",估价对象房地状况!G7,估价对象房地状况!C9)</f>
        <v>区域自然环境：；人文环境；综合评价环境状况一般</v>
      </c>
      <c r="D20" s="1069">
        <v>100</v>
      </c>
      <c r="E20" s="347"/>
      <c r="F20" s="344">
        <f>SUMIF(69:69,E21,70:70)-SUMIF(69:69,C21,70:70)+100</f>
        <v>100</v>
      </c>
      <c r="G20" s="347"/>
      <c r="H20" s="339">
        <f>SUMIF(69:69,G21,70:70)-SUMIF(69:69,C21,70:70)+100</f>
        <v>100</v>
      </c>
      <c r="I20" s="341"/>
      <c r="J20" s="339">
        <f>SUMIF(69:69,I21,70:70)-SUMIF(69:69,C21,70:70)+100</f>
        <v>100</v>
      </c>
      <c r="K20" s="500"/>
      <c r="L20" s="2952"/>
      <c r="M20" s="2943"/>
      <c r="N20" s="2943"/>
      <c r="O20" s="2951"/>
      <c r="P20" s="3675"/>
      <c r="Q20" s="1262" t="str">
        <f>B20</f>
        <v>自然及人文环境</v>
      </c>
      <c r="R20" s="631" t="s">
        <v>25</v>
      </c>
      <c r="S20" s="632">
        <f>F20</f>
        <v>100</v>
      </c>
      <c r="T20" s="631" t="s">
        <v>25</v>
      </c>
      <c r="U20" s="632">
        <f>H20</f>
        <v>100</v>
      </c>
      <c r="V20" s="631" t="s">
        <v>25</v>
      </c>
      <c r="W20" s="632">
        <f>J20</f>
        <v>100</v>
      </c>
      <c r="X20" s="1263"/>
      <c r="Y20" s="3675"/>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2"/>
      <c r="M21" s="2943"/>
      <c r="N21" s="2943"/>
      <c r="O21" s="2951"/>
      <c r="P21" s="3675"/>
      <c r="Q21" s="1262"/>
      <c r="R21" s="631"/>
      <c r="S21" s="632"/>
      <c r="T21" s="631"/>
      <c r="U21" s="632"/>
      <c r="V21" s="631"/>
      <c r="W21" s="632"/>
      <c r="X21" s="1263"/>
      <c r="Y21" s="3675"/>
      <c r="Z21" s="1264"/>
      <c r="AA21" s="1265">
        <v>1</v>
      </c>
      <c r="AB21" s="1265">
        <v>1</v>
      </c>
      <c r="AC21" s="1265">
        <v>1</v>
      </c>
    </row>
    <row r="22" spans="1:29" ht="15">
      <c r="A22" s="297"/>
      <c r="B22" s="513" t="s">
        <v>2170</v>
      </c>
      <c r="C22" s="516"/>
      <c r="D22" s="1068">
        <v>100</v>
      </c>
      <c r="E22" s="502"/>
      <c r="F22" s="325">
        <f>SUMIF(71:71,E22,72:72)-SUMIF(71:71,C22,72:72)+100</f>
        <v>100</v>
      </c>
      <c r="G22" s="516"/>
      <c r="H22" s="325">
        <f>SUMIF(71:71,G22,72:72)-SUMIF(71:71,C22,72:72)+100</f>
        <v>100</v>
      </c>
      <c r="I22" s="502"/>
      <c r="J22" s="325">
        <f>SUMIF(71:71,I22,72:72)-SUMIF(71:71,C22,72:72)+100</f>
        <v>100</v>
      </c>
      <c r="K22" s="498"/>
      <c r="L22" s="2952"/>
      <c r="M22" s="2943"/>
      <c r="N22" s="2943"/>
      <c r="O22" s="2951"/>
      <c r="P22" s="3675"/>
      <c r="Q22" s="1262" t="str">
        <f>B22</f>
        <v>楼层</v>
      </c>
      <c r="R22" s="631" t="s">
        <v>25</v>
      </c>
      <c r="S22" s="632">
        <f>F22</f>
        <v>100</v>
      </c>
      <c r="T22" s="631" t="s">
        <v>25</v>
      </c>
      <c r="U22" s="632">
        <f>H22</f>
        <v>100</v>
      </c>
      <c r="V22" s="631" t="s">
        <v>25</v>
      </c>
      <c r="W22" s="632">
        <f>J22</f>
        <v>100</v>
      </c>
      <c r="X22" s="1263"/>
      <c r="Y22" s="3675"/>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2"/>
      <c r="M23" s="2943"/>
      <c r="N23" s="2943"/>
      <c r="O23" s="2951"/>
      <c r="P23" s="3675"/>
      <c r="Q23" s="1262">
        <f>B23</f>
        <v>111</v>
      </c>
      <c r="R23" s="631" t="s">
        <v>25</v>
      </c>
      <c r="S23" s="632">
        <f>F23</f>
        <v>100</v>
      </c>
      <c r="T23" s="631" t="s">
        <v>25</v>
      </c>
      <c r="U23" s="632">
        <f>H23</f>
        <v>100</v>
      </c>
      <c r="V23" s="631" t="s">
        <v>25</v>
      </c>
      <c r="W23" s="632">
        <f>J23</f>
        <v>100</v>
      </c>
      <c r="X23" s="1263"/>
      <c r="Y23" s="3675"/>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2"/>
      <c r="M24" s="2943"/>
      <c r="N24" s="2943"/>
      <c r="O24" s="2951"/>
      <c r="P24" s="3675"/>
      <c r="Q24" s="1262">
        <f t="shared" ref="Q24:Q36" si="11">B24</f>
        <v>111</v>
      </c>
      <c r="R24" s="631" t="s">
        <v>25</v>
      </c>
      <c r="S24" s="632">
        <f>F24</f>
        <v>100</v>
      </c>
      <c r="T24" s="631" t="s">
        <v>25</v>
      </c>
      <c r="U24" s="632">
        <f>H24</f>
        <v>100</v>
      </c>
      <c r="V24" s="631" t="s">
        <v>25</v>
      </c>
      <c r="W24" s="632">
        <f>J24</f>
        <v>100</v>
      </c>
      <c r="X24" s="1263"/>
      <c r="Y24" s="3675"/>
      <c r="Z24" s="1264">
        <f>Q24</f>
        <v>111</v>
      </c>
      <c r="AA24" s="1265">
        <f t="shared" si="3"/>
        <v>1</v>
      </c>
      <c r="AB24" s="1265">
        <f t="shared" si="4"/>
        <v>1</v>
      </c>
      <c r="AC24" s="1265">
        <f t="shared" si="5"/>
        <v>1</v>
      </c>
    </row>
    <row r="25" spans="1:29" s="25" customFormat="1" ht="15.75"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4"/>
      <c r="M25" s="2945"/>
      <c r="N25" s="2945"/>
      <c r="O25" s="2946"/>
      <c r="P25" s="3675"/>
      <c r="Q25" s="1255">
        <f t="shared" si="11"/>
        <v>111</v>
      </c>
      <c r="R25" s="627" t="s">
        <v>25</v>
      </c>
      <c r="S25" s="628">
        <f>F25</f>
        <v>100</v>
      </c>
      <c r="T25" s="627" t="s">
        <v>25</v>
      </c>
      <c r="U25" s="628">
        <f>H25</f>
        <v>100</v>
      </c>
      <c r="V25" s="627" t="s">
        <v>25</v>
      </c>
      <c r="W25" s="628">
        <f>J25</f>
        <v>100</v>
      </c>
      <c r="X25" s="629"/>
      <c r="Y25" s="3675"/>
      <c r="Z25" s="19">
        <f>Q25</f>
        <v>111</v>
      </c>
      <c r="AA25" s="1265">
        <f>D25/F25</f>
        <v>1</v>
      </c>
      <c r="AB25" s="1265">
        <f>D25/H25</f>
        <v>1</v>
      </c>
      <c r="AC25" s="1265">
        <f>D25/J25</f>
        <v>1</v>
      </c>
    </row>
    <row r="26" spans="1:29" ht="28.5">
      <c r="A26" s="533" t="s">
        <v>2035</v>
      </c>
      <c r="B26" s="23" t="s">
        <v>2171</v>
      </c>
      <c r="C26" s="1511"/>
      <c r="D26" s="336">
        <v>100</v>
      </c>
      <c r="E26" s="335"/>
      <c r="F26" s="338">
        <f>SUMIF(79:79,E26,80:80)-SUMIF(79:79,C26,80:80)+100</f>
        <v>100</v>
      </c>
      <c r="G26" s="335"/>
      <c r="H26" s="336">
        <f>SUMIF(79:79,G26,80:80)-SUMIF(79:79,C26,80:80)+100</f>
        <v>100</v>
      </c>
      <c r="I26" s="335"/>
      <c r="J26" s="336">
        <f>SUMIF(79:79,I26,80:80)-SUMIF(79:79,C26,80:80)+100</f>
        <v>100</v>
      </c>
      <c r="K26" s="498"/>
      <c r="L26" s="2952"/>
      <c r="M26" s="2943"/>
      <c r="N26" s="2943"/>
      <c r="O26" s="2951"/>
      <c r="P26" s="3677" t="s">
        <v>2037</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78" t="s">
        <v>2037</v>
      </c>
      <c r="Z26" s="1264" t="str">
        <f t="shared" ref="Z26:Z36" si="15">Q26</f>
        <v>配套类型</v>
      </c>
      <c r="AA26" s="1265">
        <f t="shared" si="3"/>
        <v>1</v>
      </c>
      <c r="AB26" s="1265">
        <f t="shared" si="4"/>
        <v>1</v>
      </c>
      <c r="AC26" s="1265">
        <f t="shared" si="5"/>
        <v>1</v>
      </c>
    </row>
    <row r="27" spans="1:29" s="359" customFormat="1" ht="15">
      <c r="A27" s="534"/>
      <c r="B27" s="535" t="s">
        <v>2172</v>
      </c>
      <c r="C27" s="536"/>
      <c r="D27" s="29">
        <v>100</v>
      </c>
      <c r="E27" s="536"/>
      <c r="F27" s="351">
        <f>SUMIF(81:81,E27,82:82)-SUMIF(81:81,C27,82:82)+100</f>
        <v>100</v>
      </c>
      <c r="G27" s="536"/>
      <c r="H27" s="325">
        <f>SUMIF(81:81,G27,82:82)-SUMIF(81:81,C27,82:82)+100</f>
        <v>100</v>
      </c>
      <c r="I27" s="536"/>
      <c r="J27" s="325">
        <f>SUMIF(81:81,I27,82:82)-SUMIF(81:81,C27,82:82)+100</f>
        <v>100</v>
      </c>
      <c r="K27" s="499"/>
      <c r="L27" s="2950"/>
      <c r="M27" s="358"/>
      <c r="N27" s="358"/>
      <c r="O27" s="2953"/>
      <c r="P27" s="3678"/>
      <c r="Q27" s="633" t="str">
        <f t="shared" si="11"/>
        <v>项目停车位配比</v>
      </c>
      <c r="R27" s="634" t="s">
        <v>25</v>
      </c>
      <c r="S27" s="635">
        <f t="shared" si="12"/>
        <v>100</v>
      </c>
      <c r="T27" s="634" t="s">
        <v>25</v>
      </c>
      <c r="U27" s="635">
        <f t="shared" si="13"/>
        <v>100</v>
      </c>
      <c r="V27" s="634" t="s">
        <v>25</v>
      </c>
      <c r="W27" s="635">
        <f t="shared" si="14"/>
        <v>100</v>
      </c>
      <c r="X27" s="636"/>
      <c r="Y27" s="3678"/>
      <c r="Z27" s="637" t="str">
        <f t="shared" si="15"/>
        <v>项目停车位配比</v>
      </c>
      <c r="AA27" s="1265">
        <f t="shared" si="3"/>
        <v>1</v>
      </c>
      <c r="AB27" s="1265">
        <f t="shared" si="4"/>
        <v>1</v>
      </c>
      <c r="AC27" s="1265">
        <f t="shared" si="5"/>
        <v>1</v>
      </c>
    </row>
    <row r="28" spans="1:29" ht="15">
      <c r="A28" s="537"/>
      <c r="B28" s="535" t="s">
        <v>2173</v>
      </c>
      <c r="C28" s="350"/>
      <c r="D28" s="325">
        <v>100</v>
      </c>
      <c r="E28" s="350"/>
      <c r="F28" s="351">
        <f>SUMIF(83:83,E28,84:84)-SUMIF(83:83,C28,84:84)+100</f>
        <v>100</v>
      </c>
      <c r="G28" s="350"/>
      <c r="H28" s="325">
        <f>SUMIF(83:83,G28,84:84)-SUMIF(83:83,C28,84:84)+100</f>
        <v>100</v>
      </c>
      <c r="I28" s="350"/>
      <c r="J28" s="325">
        <f>SUMIF(83:83,I28,84:84)-SUMIF(83:83,C28,84:84)+100</f>
        <v>100</v>
      </c>
      <c r="K28" s="498"/>
      <c r="L28" s="2952"/>
      <c r="M28" s="2943"/>
      <c r="N28" s="2943"/>
      <c r="O28" s="2951"/>
      <c r="P28" s="3678"/>
      <c r="Q28" s="1262" t="str">
        <f t="shared" si="11"/>
        <v>公共部分装修</v>
      </c>
      <c r="R28" s="631" t="s">
        <v>25</v>
      </c>
      <c r="S28" s="632">
        <f t="shared" si="12"/>
        <v>100</v>
      </c>
      <c r="T28" s="631" t="s">
        <v>25</v>
      </c>
      <c r="U28" s="632">
        <f t="shared" si="13"/>
        <v>100</v>
      </c>
      <c r="V28" s="631" t="s">
        <v>25</v>
      </c>
      <c r="W28" s="632">
        <f t="shared" si="14"/>
        <v>100</v>
      </c>
      <c r="X28" s="1263"/>
      <c r="Y28" s="3678"/>
      <c r="Z28" s="1264" t="str">
        <f t="shared" si="15"/>
        <v>公共部分装修</v>
      </c>
      <c r="AA28" s="1265">
        <f t="shared" si="3"/>
        <v>1</v>
      </c>
      <c r="AB28" s="1265">
        <f t="shared" si="4"/>
        <v>1</v>
      </c>
      <c r="AC28" s="1265">
        <f t="shared" si="5"/>
        <v>1</v>
      </c>
    </row>
    <row r="29" spans="1:29" ht="15">
      <c r="A29" s="537"/>
      <c r="B29" s="535" t="s">
        <v>2174</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2"/>
      <c r="M29" s="2943"/>
      <c r="N29" s="2943"/>
      <c r="O29" s="2951"/>
      <c r="P29" s="3678"/>
      <c r="Q29" s="1262" t="str">
        <f t="shared" si="11"/>
        <v>成新率</v>
      </c>
      <c r="R29" s="631" t="s">
        <v>25</v>
      </c>
      <c r="S29" s="632" t="e">
        <f t="shared" si="12"/>
        <v>#N/A</v>
      </c>
      <c r="T29" s="631" t="s">
        <v>25</v>
      </c>
      <c r="U29" s="632" t="e">
        <f t="shared" si="13"/>
        <v>#N/A</v>
      </c>
      <c r="V29" s="631" t="s">
        <v>25</v>
      </c>
      <c r="W29" s="632" t="e">
        <f t="shared" si="14"/>
        <v>#N/A</v>
      </c>
      <c r="X29" s="1263"/>
      <c r="Y29" s="3678"/>
      <c r="Z29" s="1264" t="str">
        <f t="shared" si="15"/>
        <v>成新率</v>
      </c>
      <c r="AA29" s="1265" t="e">
        <f t="shared" si="3"/>
        <v>#N/A</v>
      </c>
      <c r="AB29" s="1265" t="e">
        <f t="shared" si="4"/>
        <v>#N/A</v>
      </c>
      <c r="AC29" s="1265" t="e">
        <f t="shared" si="5"/>
        <v>#N/A</v>
      </c>
    </row>
    <row r="30" spans="1:29" ht="15">
      <c r="A30" s="537"/>
      <c r="B30" s="535" t="s">
        <v>2175</v>
      </c>
      <c r="C30" s="538"/>
      <c r="D30" s="325">
        <v>100</v>
      </c>
      <c r="E30" s="538"/>
      <c r="F30" s="351">
        <f>SUMIF(88:88,E30,89:89)-SUMIF(88:88,C30,89:89)+100</f>
        <v>100</v>
      </c>
      <c r="G30" s="538"/>
      <c r="H30" s="325">
        <f>SUMIF(88:88,G30,89:89)-SUMIF(88:88,C30,89:89)+100</f>
        <v>100</v>
      </c>
      <c r="I30" s="538"/>
      <c r="J30" s="325">
        <f>SUMIF(88:88,I30,89:89)-SUMIF(88:88,C30,89:89)+100</f>
        <v>100</v>
      </c>
      <c r="K30" s="498"/>
      <c r="L30" s="2952"/>
      <c r="M30" s="2943"/>
      <c r="N30" s="2943"/>
      <c r="O30" s="2951"/>
      <c r="P30" s="3678"/>
      <c r="Q30" s="1262" t="str">
        <f t="shared" si="11"/>
        <v>物业等级</v>
      </c>
      <c r="R30" s="631" t="s">
        <v>25</v>
      </c>
      <c r="S30" s="632">
        <f t="shared" si="12"/>
        <v>100</v>
      </c>
      <c r="T30" s="631" t="s">
        <v>25</v>
      </c>
      <c r="U30" s="632">
        <f t="shared" si="13"/>
        <v>100</v>
      </c>
      <c r="V30" s="631" t="s">
        <v>25</v>
      </c>
      <c r="W30" s="632">
        <f t="shared" si="14"/>
        <v>100</v>
      </c>
      <c r="X30" s="1263"/>
      <c r="Y30" s="3678"/>
      <c r="Z30" s="1264" t="str">
        <f t="shared" si="15"/>
        <v>物业等级</v>
      </c>
      <c r="AA30" s="1265">
        <f t="shared" si="3"/>
        <v>1</v>
      </c>
      <c r="AB30" s="1265">
        <f t="shared" si="4"/>
        <v>1</v>
      </c>
      <c r="AC30" s="1265">
        <f t="shared" si="5"/>
        <v>1</v>
      </c>
    </row>
    <row r="31" spans="1:29" s="25" customFormat="1" ht="15">
      <c r="A31" s="539"/>
      <c r="B31" s="535" t="s">
        <v>2176</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4"/>
      <c r="M31" s="2945"/>
      <c r="N31" s="2945"/>
      <c r="O31" s="2946"/>
      <c r="P31" s="3678"/>
      <c r="Q31" s="1255" t="str">
        <f t="shared" si="11"/>
        <v>停车位面积</v>
      </c>
      <c r="R31" s="627" t="s">
        <v>25</v>
      </c>
      <c r="S31" s="628" t="e">
        <f t="shared" si="12"/>
        <v>#N/A</v>
      </c>
      <c r="T31" s="627" t="s">
        <v>25</v>
      </c>
      <c r="U31" s="628" t="e">
        <f t="shared" si="13"/>
        <v>#N/A</v>
      </c>
      <c r="V31" s="627" t="s">
        <v>25</v>
      </c>
      <c r="W31" s="628" t="e">
        <f t="shared" si="14"/>
        <v>#N/A</v>
      </c>
      <c r="X31" s="629"/>
      <c r="Y31" s="3678"/>
      <c r="Z31" s="19" t="str">
        <f t="shared" si="15"/>
        <v>停车位面积</v>
      </c>
      <c r="AA31" s="630" t="e">
        <f t="shared" si="3"/>
        <v>#N/A</v>
      </c>
      <c r="AB31" s="630" t="e">
        <f t="shared" si="4"/>
        <v>#N/A</v>
      </c>
      <c r="AC31" s="630" t="e">
        <f t="shared" si="5"/>
        <v>#N/A</v>
      </c>
    </row>
    <row r="32" spans="1:29" ht="15">
      <c r="A32" s="537"/>
      <c r="B32" s="535" t="s">
        <v>2177</v>
      </c>
      <c r="C32" s="350"/>
      <c r="D32" s="325">
        <v>100</v>
      </c>
      <c r="E32" s="350"/>
      <c r="F32" s="351">
        <f>SUMIF(93:93,E32,94:94)-SUMIF(93:93,C32,94:94)+100</f>
        <v>100</v>
      </c>
      <c r="G32" s="350"/>
      <c r="H32" s="325">
        <f>SUMIF(93:93,G32,94:94)-SUMIF(93:93,C32,94:94)+100</f>
        <v>100</v>
      </c>
      <c r="I32" s="350"/>
      <c r="J32" s="325">
        <f>SUMIF(93:93,I32,94:94)-SUMIF(93:93,C32,94:94)+100</f>
        <v>100</v>
      </c>
      <c r="K32" s="498"/>
      <c r="L32" s="2952"/>
      <c r="M32" s="2943"/>
      <c r="N32" s="2943"/>
      <c r="O32" s="2951"/>
      <c r="P32" s="3678" t="s">
        <v>2037</v>
      </c>
      <c r="Q32" s="1262" t="str">
        <f t="shared" si="11"/>
        <v>车位类型</v>
      </c>
      <c r="R32" s="631" t="s">
        <v>25</v>
      </c>
      <c r="S32" s="632">
        <f t="shared" si="12"/>
        <v>100</v>
      </c>
      <c r="T32" s="631" t="s">
        <v>25</v>
      </c>
      <c r="U32" s="632">
        <f t="shared" si="13"/>
        <v>100</v>
      </c>
      <c r="V32" s="631" t="s">
        <v>25</v>
      </c>
      <c r="W32" s="632">
        <f t="shared" si="14"/>
        <v>100</v>
      </c>
      <c r="X32" s="1263"/>
      <c r="Y32" s="3678" t="s">
        <v>2037</v>
      </c>
      <c r="Z32" s="1264" t="str">
        <f t="shared" si="15"/>
        <v>车位类型</v>
      </c>
      <c r="AA32" s="1265">
        <f t="shared" si="3"/>
        <v>1</v>
      </c>
      <c r="AB32" s="1265">
        <f t="shared" si="4"/>
        <v>1</v>
      </c>
      <c r="AC32" s="1265">
        <f t="shared" si="5"/>
        <v>1</v>
      </c>
    </row>
    <row r="33" spans="1:29" ht="15">
      <c r="A33" s="537"/>
      <c r="B33" s="535" t="s">
        <v>2178</v>
      </c>
      <c r="C33" s="350"/>
      <c r="D33" s="325">
        <v>100</v>
      </c>
      <c r="E33" s="350"/>
      <c r="F33" s="351">
        <f>SUMIF(95:95,E33,96:96)-SUMIF(95:95,C33,96:96)+100</f>
        <v>100</v>
      </c>
      <c r="G33" s="350"/>
      <c r="H33" s="325">
        <f>SUMIF(95:95,G33,96:96)-SUMIF(95:95,C33,96:96)+100</f>
        <v>100</v>
      </c>
      <c r="I33" s="350"/>
      <c r="J33" s="325">
        <f>SUMIF(95:95,I33,96:96)-SUMIF(95:95,C33,96:96)+100</f>
        <v>100</v>
      </c>
      <c r="K33" s="498"/>
      <c r="L33" s="2952"/>
      <c r="M33" s="2943"/>
      <c r="N33" s="2943"/>
      <c r="O33" s="2951"/>
      <c r="P33" s="3678"/>
      <c r="Q33" s="1262" t="str">
        <f t="shared" si="11"/>
        <v>是否直接入户</v>
      </c>
      <c r="R33" s="631" t="s">
        <v>25</v>
      </c>
      <c r="S33" s="632">
        <f t="shared" si="12"/>
        <v>100</v>
      </c>
      <c r="T33" s="631" t="s">
        <v>25</v>
      </c>
      <c r="U33" s="632">
        <f t="shared" si="13"/>
        <v>100</v>
      </c>
      <c r="V33" s="631" t="s">
        <v>25</v>
      </c>
      <c r="W33" s="632">
        <f t="shared" si="14"/>
        <v>100</v>
      </c>
      <c r="X33" s="1263"/>
      <c r="Y33" s="3678"/>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2"/>
      <c r="M34" s="2943"/>
      <c r="N34" s="2943"/>
      <c r="O34" s="2951"/>
      <c r="P34" s="3678"/>
      <c r="Q34" s="1262">
        <f t="shared" si="11"/>
        <v>111</v>
      </c>
      <c r="R34" s="631" t="s">
        <v>25</v>
      </c>
      <c r="S34" s="632">
        <f t="shared" si="12"/>
        <v>100</v>
      </c>
      <c r="T34" s="631" t="s">
        <v>25</v>
      </c>
      <c r="U34" s="632">
        <f t="shared" si="13"/>
        <v>100</v>
      </c>
      <c r="V34" s="631" t="s">
        <v>25</v>
      </c>
      <c r="W34" s="632">
        <f t="shared" si="14"/>
        <v>100</v>
      </c>
      <c r="X34" s="1263"/>
      <c r="Y34" s="3678"/>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0"/>
      <c r="M35" s="358"/>
      <c r="N35" s="358"/>
      <c r="O35" s="2953"/>
      <c r="P35" s="3678"/>
      <c r="Q35" s="633">
        <f t="shared" si="11"/>
        <v>111</v>
      </c>
      <c r="R35" s="634" t="s">
        <v>25</v>
      </c>
      <c r="S35" s="635">
        <f t="shared" si="12"/>
        <v>100</v>
      </c>
      <c r="T35" s="634" t="s">
        <v>25</v>
      </c>
      <c r="U35" s="635">
        <f t="shared" si="13"/>
        <v>100</v>
      </c>
      <c r="V35" s="634" t="s">
        <v>25</v>
      </c>
      <c r="W35" s="635">
        <f t="shared" si="14"/>
        <v>100</v>
      </c>
      <c r="X35" s="636"/>
      <c r="Y35" s="3678"/>
      <c r="Z35" s="637">
        <f t="shared" si="15"/>
        <v>111</v>
      </c>
      <c r="AA35" s="1265">
        <f t="shared" si="3"/>
        <v>1</v>
      </c>
      <c r="AB35" s="1265">
        <f t="shared" si="4"/>
        <v>1</v>
      </c>
      <c r="AC35" s="126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2"/>
      <c r="M36" s="2943"/>
      <c r="N36" s="2943"/>
      <c r="O36" s="2951"/>
      <c r="P36" s="3678"/>
      <c r="Q36" s="1262">
        <f t="shared" si="11"/>
        <v>111</v>
      </c>
      <c r="R36" s="631" t="s">
        <v>25</v>
      </c>
      <c r="S36" s="632">
        <f t="shared" si="12"/>
        <v>100</v>
      </c>
      <c r="T36" s="631" t="s">
        <v>25</v>
      </c>
      <c r="U36" s="632">
        <f t="shared" si="13"/>
        <v>100</v>
      </c>
      <c r="V36" s="631" t="s">
        <v>25</v>
      </c>
      <c r="W36" s="632">
        <f t="shared" si="14"/>
        <v>100</v>
      </c>
      <c r="X36" s="1263"/>
      <c r="Y36" s="3678"/>
      <c r="Z36" s="1264">
        <f t="shared" si="15"/>
        <v>111</v>
      </c>
      <c r="AA36" s="1265">
        <f t="shared" si="3"/>
        <v>1</v>
      </c>
      <c r="AB36" s="1265">
        <f t="shared" si="4"/>
        <v>1</v>
      </c>
      <c r="AC36" s="1265">
        <f t="shared" si="5"/>
        <v>1</v>
      </c>
    </row>
    <row r="37" spans="1:29" ht="15">
      <c r="A37" s="367" t="s">
        <v>2179</v>
      </c>
      <c r="B37" s="798" t="s">
        <v>2180</v>
      </c>
      <c r="C37" s="1082" t="s">
        <v>1</v>
      </c>
      <c r="D37" s="1083"/>
      <c r="E37" s="1084"/>
      <c r="F37" s="1085"/>
      <c r="G37" s="1086"/>
      <c r="H37" s="1087"/>
      <c r="I37" s="1084"/>
      <c r="J37" s="1087"/>
      <c r="K37" s="503"/>
      <c r="L37" s="2954"/>
      <c r="N37" s="2943"/>
      <c r="P37" s="3646" t="str">
        <f>A37</f>
        <v>成交单价</v>
      </c>
      <c r="Q37" s="3646"/>
      <c r="R37" s="3680">
        <f>E37</f>
        <v>0</v>
      </c>
      <c r="S37" s="3680"/>
      <c r="T37" s="3680">
        <f>G37</f>
        <v>0</v>
      </c>
      <c r="U37" s="3680"/>
      <c r="V37" s="3680">
        <f>I37</f>
        <v>0</v>
      </c>
      <c r="W37" s="3680"/>
      <c r="X37" s="618"/>
      <c r="Y37" s="638"/>
      <c r="Z37" s="618"/>
      <c r="AA37" s="618"/>
      <c r="AB37" s="618"/>
      <c r="AC37" s="618"/>
    </row>
    <row r="38" spans="1:29" ht="15.75" thickBot="1">
      <c r="A38" s="374" t="s">
        <v>2181</v>
      </c>
      <c r="B38" s="375" t="str">
        <f>B37</f>
        <v>元/平方米</v>
      </c>
      <c r="C38" s="1088" t="e">
        <f>R39</f>
        <v>#DIV/0!</v>
      </c>
      <c r="D38" s="1725" t="s">
        <v>2503</v>
      </c>
      <c r="E38" s="1089" t="e">
        <f>R38</f>
        <v>#DIV/0!</v>
      </c>
      <c r="F38" s="1727"/>
      <c r="G38" s="1088" t="e">
        <f>T38</f>
        <v>#DIV/0!</v>
      </c>
      <c r="H38" s="1727"/>
      <c r="I38" s="1089" t="e">
        <f>V38</f>
        <v>#DIV/0!</v>
      </c>
      <c r="J38" s="1727"/>
      <c r="K38" s="2429">
        <f>F38+H38+J38</f>
        <v>0</v>
      </c>
      <c r="L38" s="2954"/>
      <c r="P38" s="3646" t="str">
        <f>A38</f>
        <v>比较价值</v>
      </c>
      <c r="Q38" s="3646"/>
      <c r="R38" s="3680" t="e">
        <f>IF(E1="售价",ROUND(PRODUCT(R37,AA7:AA36),0),ROUND(PRODUCT(R37,AA7:AA36),1))</f>
        <v>#DIV/0!</v>
      </c>
      <c r="S38" s="3680"/>
      <c r="T38" s="3680" t="e">
        <f>IF(E1="售价",ROUND(PRODUCT(T37,AB7:AB36),0),ROUND(PRODUCT(T37,AB7:AB36),1))</f>
        <v>#DIV/0!</v>
      </c>
      <c r="U38" s="3680"/>
      <c r="V38" s="3680" t="e">
        <f>IF(E1="售价",ROUND(PRODUCT(V37,AC7:AC36),0),ROUND(PRODUCT(V37,AC7:AC36),1))</f>
        <v>#DIV/0!</v>
      </c>
      <c r="W38" s="3680"/>
      <c r="X38" s="618"/>
      <c r="Y38" s="618"/>
      <c r="Z38" s="618"/>
      <c r="AA38" s="618"/>
      <c r="AB38" s="618"/>
      <c r="AC38" s="618"/>
    </row>
    <row r="39" spans="1:29" ht="15.75" thickBot="1">
      <c r="A39" s="378" t="s">
        <v>2182</v>
      </c>
      <c r="B39" s="379"/>
      <c r="C39" s="1090" t="e">
        <f>R39</f>
        <v>#DIV/0!</v>
      </c>
      <c r="D39" s="1090"/>
      <c r="E39" s="1090"/>
      <c r="F39" s="1090"/>
      <c r="G39" s="1090"/>
      <c r="H39" s="1090"/>
      <c r="I39" s="1090"/>
      <c r="J39" s="1090"/>
      <c r="K39" s="504"/>
      <c r="L39" s="2954"/>
      <c r="P39" s="3681" t="str">
        <f>A39</f>
        <v>估价对象XX用房的比较价值（楼面单价，元/平方米）</v>
      </c>
      <c r="Q39" s="3682"/>
      <c r="R39" s="3683" t="e">
        <f>IF(E1="售价",ROUND(IF(D38="简单平均",AVERAGE(R38:W38),R38*F38+T38*H38+V38*J38),0),ROUND(IF(D38="简单平均",AVERAGE(R38:V38),R38*F38+T38*H38+V38*J38),1))</f>
        <v>#DIV/0!</v>
      </c>
      <c r="S39" s="3683"/>
      <c r="T39" s="3683"/>
      <c r="U39" s="3683"/>
      <c r="V39" s="3683"/>
      <c r="W39" s="3683"/>
      <c r="X39" s="618"/>
      <c r="Y39" s="618"/>
      <c r="Z39" s="618"/>
      <c r="AA39" s="618"/>
      <c r="AB39" s="618"/>
      <c r="AC39" s="618"/>
    </row>
    <row r="40" spans="1:29">
      <c r="G40" s="2957"/>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8"/>
      <c r="L44" s="2955"/>
      <c r="P44" s="619"/>
      <c r="Q44" s="619"/>
      <c r="R44" s="619"/>
      <c r="S44" s="619"/>
      <c r="T44" s="619"/>
      <c r="U44" s="619"/>
      <c r="V44" s="619"/>
      <c r="W44" s="619"/>
      <c r="X44" s="619"/>
      <c r="Y44" s="619"/>
      <c r="Z44" s="619"/>
      <c r="AA44" s="619"/>
      <c r="AB44" s="619"/>
      <c r="AC44" s="619"/>
    </row>
    <row r="45" spans="1:29" s="388" customFormat="1">
      <c r="B45" s="2956"/>
      <c r="C45" s="2959"/>
      <c r="K45" s="2958"/>
      <c r="L45" s="2955"/>
      <c r="P45" s="619"/>
      <c r="Q45" s="619"/>
      <c r="R45" s="619"/>
      <c r="S45" s="619"/>
      <c r="T45" s="619"/>
      <c r="U45" s="619"/>
      <c r="V45" s="619"/>
      <c r="W45" s="619"/>
      <c r="X45" s="619"/>
      <c r="Y45" s="619"/>
      <c r="Z45" s="619"/>
      <c r="AA45" s="619"/>
      <c r="AB45" s="619"/>
      <c r="AC45" s="619"/>
    </row>
    <row r="46" spans="1:29">
      <c r="B46" s="2956"/>
      <c r="C46" s="2959"/>
      <c r="P46" s="618"/>
      <c r="Q46" s="618"/>
      <c r="R46" s="618"/>
      <c r="S46" s="618"/>
      <c r="T46" s="618"/>
      <c r="U46" s="618"/>
      <c r="V46" s="618"/>
      <c r="W46" s="618"/>
      <c r="X46" s="618"/>
      <c r="Y46" s="618"/>
      <c r="Z46" s="618"/>
      <c r="AA46" s="618"/>
      <c r="AB46" s="618"/>
      <c r="AC46" s="618"/>
    </row>
    <row r="47" spans="1:29" ht="21.75" thickBot="1">
      <c r="A47" s="1092" t="s">
        <v>2186</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5">
      <c r="A48" s="391" t="s">
        <v>2187</v>
      </c>
      <c r="B48" s="392"/>
      <c r="C48" s="1116" t="str">
        <f>YEAR(C7)&amp;"-"&amp;MONTH(C7)</f>
        <v>2022-4</v>
      </c>
      <c r="D48" s="1117">
        <f>EDATE(C48,-1)</f>
        <v>44621</v>
      </c>
      <c r="E48" s="1117">
        <f t="shared" ref="E48:O48" si="16">EDATE(D48,-1)</f>
        <v>44593</v>
      </c>
      <c r="F48" s="1117">
        <f t="shared" si="16"/>
        <v>44562</v>
      </c>
      <c r="G48" s="1117">
        <f t="shared" si="16"/>
        <v>44531</v>
      </c>
      <c r="H48" s="1117">
        <f t="shared" si="16"/>
        <v>44501</v>
      </c>
      <c r="I48" s="1117">
        <f t="shared" si="16"/>
        <v>44470</v>
      </c>
      <c r="J48" s="1117">
        <f t="shared" si="16"/>
        <v>44440</v>
      </c>
      <c r="K48" s="1117">
        <f t="shared" si="16"/>
        <v>44409</v>
      </c>
      <c r="L48" s="1117">
        <f t="shared" si="16"/>
        <v>44378</v>
      </c>
      <c r="M48" s="1117">
        <f t="shared" si="16"/>
        <v>44348</v>
      </c>
      <c r="N48" s="1117">
        <f t="shared" si="16"/>
        <v>44317</v>
      </c>
      <c r="O48" s="1117">
        <f t="shared" si="16"/>
        <v>44287</v>
      </c>
      <c r="P48" s="393"/>
    </row>
    <row r="49" spans="1:17" s="25" customFormat="1" ht="15">
      <c r="A49" s="395"/>
      <c r="B49" s="396"/>
      <c r="C49" s="1115">
        <v>100</v>
      </c>
      <c r="D49" s="397"/>
      <c r="E49" s="397"/>
      <c r="F49" s="397"/>
      <c r="G49" s="397"/>
      <c r="H49" s="397"/>
      <c r="I49" s="397"/>
      <c r="J49" s="397"/>
      <c r="K49" s="397"/>
      <c r="L49" s="397"/>
      <c r="M49" s="398"/>
      <c r="N49" s="397"/>
      <c r="O49" s="399"/>
      <c r="P49" s="390"/>
    </row>
    <row r="50" spans="1:17" s="25" customFormat="1" ht="15.75" thickBot="1">
      <c r="A50" s="400" t="s">
        <v>2057</v>
      </c>
      <c r="B50" s="401"/>
      <c r="C50" s="402"/>
      <c r="D50" s="403"/>
      <c r="E50" s="403"/>
      <c r="F50" s="403"/>
      <c r="G50" s="403"/>
      <c r="H50" s="403"/>
      <c r="I50" s="403"/>
      <c r="J50" s="403"/>
      <c r="K50" s="403"/>
      <c r="L50" s="403"/>
      <c r="M50" s="404"/>
      <c r="N50" s="403"/>
      <c r="O50" s="405"/>
      <c r="P50" s="390"/>
      <c r="Q50" s="390"/>
    </row>
    <row r="51" spans="1:17" s="25" customFormat="1" ht="15">
      <c r="A51" s="406" t="s">
        <v>2021</v>
      </c>
      <c r="B51" s="396"/>
      <c r="C51" s="407" t="s">
        <v>2022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2060</v>
      </c>
      <c r="B53" s="413" t="s">
        <v>2025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2028</v>
      </c>
      <c r="C55" s="426" t="s">
        <v>2061</v>
      </c>
      <c r="D55" s="426" t="s">
        <v>2062</v>
      </c>
      <c r="E55" s="426" t="s">
        <v>2063</v>
      </c>
      <c r="F55" s="426" t="s">
        <v>2064</v>
      </c>
      <c r="G55" s="426" t="s">
        <v>2065</v>
      </c>
      <c r="H55" s="426" t="s">
        <v>2066</v>
      </c>
      <c r="I55" s="426" t="s">
        <v>2067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2030</v>
      </c>
      <c r="B63" s="413" t="s">
        <v>2074</v>
      </c>
      <c r="C63" s="461" t="s">
        <v>2069</v>
      </c>
      <c r="D63" s="461" t="s">
        <v>2070</v>
      </c>
      <c r="E63" s="461" t="s">
        <v>2071</v>
      </c>
      <c r="F63" s="461" t="s">
        <v>2072</v>
      </c>
      <c r="G63" s="461" t="s">
        <v>2073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2075</v>
      </c>
      <c r="C65" s="466" t="s">
        <v>2069</v>
      </c>
      <c r="D65" s="466" t="s">
        <v>2070</v>
      </c>
      <c r="E65" s="466" t="s">
        <v>2071</v>
      </c>
      <c r="F65" s="466" t="s">
        <v>2072</v>
      </c>
      <c r="G65" s="466" t="s">
        <v>2073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2147</v>
      </c>
      <c r="C67" s="426" t="s">
        <v>2076</v>
      </c>
      <c r="D67" s="426" t="s">
        <v>2077</v>
      </c>
      <c r="E67" s="426" t="s">
        <v>2078</v>
      </c>
      <c r="F67" s="426" t="s">
        <v>2079</v>
      </c>
      <c r="G67" s="426" t="s">
        <v>2080</v>
      </c>
      <c r="H67" s="426"/>
      <c r="I67" s="426"/>
      <c r="J67" s="426"/>
      <c r="K67" s="426"/>
      <c r="L67" s="426"/>
      <c r="M67" s="105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2081</v>
      </c>
      <c r="C69" s="466" t="s">
        <v>2069</v>
      </c>
      <c r="D69" s="466" t="s">
        <v>2070</v>
      </c>
      <c r="E69" s="466" t="s">
        <v>2071</v>
      </c>
      <c r="F69" s="466" t="s">
        <v>2072</v>
      </c>
      <c r="G69" s="466" t="s">
        <v>2073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2035</v>
      </c>
      <c r="B79" s="413" t="s">
        <v>2189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2190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2191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G53" sqref="G53"/>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60"/>
      <c r="E1" s="1487" t="s">
        <v>2504</v>
      </c>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元</v>
      </c>
      <c r="D2" s="1488"/>
      <c r="E2" s="1159" t="e">
        <f ca="1">SUMIF(INDIRECT("'"&amp;G2&amp;"'"&amp;"!A:A"),"承租人权益价值",INDIRECT("'"&amp;G2&amp;"'"&amp;"!c:c"))</f>
        <v>#REF!</v>
      </c>
      <c r="F2" s="1489" t="str">
        <f>C2</f>
        <v>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2005</v>
      </c>
      <c r="D3" s="292">
        <f>IF(C1="仅计算典型户型",'数据-取费表'!E5,'数据-取费表'!B5)</f>
        <v>73.739999999999995</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4" t="s">
        <v>2007</v>
      </c>
      <c r="D4" s="3655"/>
      <c r="E4" s="3656" t="s">
        <v>2008</v>
      </c>
      <c r="F4" s="3657"/>
      <c r="G4" s="3654" t="s">
        <v>2009</v>
      </c>
      <c r="H4" s="3655"/>
      <c r="I4" s="3654" t="s">
        <v>2010</v>
      </c>
      <c r="J4" s="3655"/>
      <c r="K4" s="496" t="s">
        <v>2011</v>
      </c>
      <c r="L4" s="2942"/>
      <c r="M4" s="2943"/>
      <c r="N4" s="2943"/>
      <c r="O4" s="2943"/>
      <c r="P4" s="3658" t="s">
        <v>2012</v>
      </c>
      <c r="Q4" s="3659"/>
      <c r="R4" s="3664" t="s">
        <v>2008</v>
      </c>
      <c r="S4" s="3665"/>
      <c r="T4" s="3664" t="s">
        <v>2009</v>
      </c>
      <c r="U4" s="3665"/>
      <c r="V4" s="3670" t="s">
        <v>2010</v>
      </c>
      <c r="W4" s="3670"/>
      <c r="X4" s="1263"/>
      <c r="Y4" s="3664" t="s">
        <v>2012</v>
      </c>
      <c r="Z4" s="3665"/>
      <c r="AA4" s="3651" t="s">
        <v>2008</v>
      </c>
      <c r="AB4" s="3652" t="s">
        <v>2009</v>
      </c>
      <c r="AC4" s="3651" t="s">
        <v>2010</v>
      </c>
    </row>
    <row r="5" spans="1:29" ht="15">
      <c r="A5" s="297"/>
      <c r="B5" s="298"/>
      <c r="C5" s="3647" t="s">
        <v>2013</v>
      </c>
      <c r="D5" s="3648"/>
      <c r="E5" s="3671" t="s">
        <v>2014</v>
      </c>
      <c r="F5" s="3672"/>
      <c r="G5" s="3647" t="s">
        <v>2015</v>
      </c>
      <c r="H5" s="3648"/>
      <c r="I5" s="3647" t="s">
        <v>2016</v>
      </c>
      <c r="J5" s="3648"/>
      <c r="K5" s="496"/>
      <c r="L5" s="2942"/>
      <c r="M5" s="2943"/>
      <c r="N5" s="2943"/>
      <c r="O5" s="2943"/>
      <c r="P5" s="3660"/>
      <c r="Q5" s="3661"/>
      <c r="R5" s="3666"/>
      <c r="S5" s="3667"/>
      <c r="T5" s="3666"/>
      <c r="U5" s="3667"/>
      <c r="V5" s="3670"/>
      <c r="W5" s="3670"/>
      <c r="X5" s="1263"/>
      <c r="Y5" s="3666"/>
      <c r="Z5" s="3667"/>
      <c r="AA5" s="3652"/>
      <c r="AB5" s="3652"/>
      <c r="AC5" s="3652"/>
    </row>
    <row r="6" spans="1:29" ht="15.75" thickBot="1">
      <c r="A6" s="299"/>
      <c r="B6" s="300"/>
      <c r="C6" s="3644" t="s">
        <v>2017</v>
      </c>
      <c r="D6" s="3645"/>
      <c r="E6" s="3642" t="s">
        <v>2017</v>
      </c>
      <c r="F6" s="3643"/>
      <c r="G6" s="3644" t="s">
        <v>2017</v>
      </c>
      <c r="H6" s="3645"/>
      <c r="I6" s="3644" t="s">
        <v>2017</v>
      </c>
      <c r="J6" s="3645"/>
      <c r="K6" s="496" t="s">
        <v>2018</v>
      </c>
      <c r="L6" s="2942"/>
      <c r="M6" s="2943"/>
      <c r="N6" s="2943"/>
      <c r="O6" s="2943"/>
      <c r="P6" s="3662"/>
      <c r="Q6" s="3663"/>
      <c r="R6" s="3666"/>
      <c r="S6" s="3667"/>
      <c r="T6" s="3668"/>
      <c r="U6" s="3669"/>
      <c r="V6" s="3670"/>
      <c r="W6" s="3670"/>
      <c r="X6" s="1263"/>
      <c r="Y6" s="3668"/>
      <c r="Z6" s="3669"/>
      <c r="AA6" s="3653"/>
      <c r="AB6" s="3653"/>
      <c r="AC6" s="3653"/>
    </row>
    <row r="7" spans="1:29" s="25" customFormat="1" ht="15.75" thickBot="1">
      <c r="A7" s="301" t="s">
        <v>2019</v>
      </c>
      <c r="B7" s="302"/>
      <c r="C7" s="303">
        <f>'数据-取费表'!B2</f>
        <v>44675</v>
      </c>
      <c r="D7" s="304">
        <v>100</v>
      </c>
      <c r="E7" s="1503"/>
      <c r="F7" s="304">
        <f>SUMIF(46:46,YEAR(E7)&amp;"-"&amp;MONTH(E7),47:47)</f>
        <v>0</v>
      </c>
      <c r="G7" s="305"/>
      <c r="H7" s="304">
        <f>SUMIF(46:46,YEAR(G7)&amp;"-"&amp;MONTH(G7),47:47)</f>
        <v>0</v>
      </c>
      <c r="I7" s="305"/>
      <c r="J7" s="304">
        <f>SUMIF(46:46,YEAR(I7)&amp;"-"&amp;MONTH(I7),47:47)</f>
        <v>0</v>
      </c>
      <c r="K7" s="497"/>
      <c r="L7" s="2944"/>
      <c r="M7" s="2945"/>
      <c r="N7" s="2945"/>
      <c r="O7" s="2945"/>
      <c r="P7" s="3649" t="s">
        <v>2020</v>
      </c>
      <c r="Q7" s="3673"/>
      <c r="R7" s="627" t="s">
        <v>25</v>
      </c>
      <c r="S7" s="628">
        <f t="shared" ref="S7:S14" si="0">F7</f>
        <v>0</v>
      </c>
      <c r="T7" s="627" t="s">
        <v>25</v>
      </c>
      <c r="U7" s="628">
        <f t="shared" ref="U7:U14" si="1">H7</f>
        <v>0</v>
      </c>
      <c r="V7" s="627" t="s">
        <v>25</v>
      </c>
      <c r="W7" s="628">
        <f t="shared" ref="W7:W14" si="2">J7</f>
        <v>0</v>
      </c>
      <c r="X7" s="629"/>
      <c r="Y7" s="3649" t="s">
        <v>2020</v>
      </c>
      <c r="Z7" s="3650"/>
      <c r="AA7" s="630" t="e">
        <f>D7/F7</f>
        <v>#DIV/0!</v>
      </c>
      <c r="AB7" s="630" t="e">
        <f>D7/H7</f>
        <v>#DIV/0!</v>
      </c>
      <c r="AC7" s="630" t="e">
        <f>D7/J7</f>
        <v>#DIV/0!</v>
      </c>
    </row>
    <row r="8" spans="1:29" s="25" customFormat="1" ht="15.75" thickBot="1">
      <c r="A8" s="301" t="s">
        <v>2021</v>
      </c>
      <c r="B8" s="302"/>
      <c r="C8" s="307" t="s">
        <v>2022</v>
      </c>
      <c r="D8" s="304">
        <v>100</v>
      </c>
      <c r="E8" s="307"/>
      <c r="F8" s="306">
        <f>SUMIF(49:49,E8,50:50)-SUMIF(49:49,C8,50:50)+100</f>
        <v>0</v>
      </c>
      <c r="G8" s="307"/>
      <c r="H8" s="304">
        <f>SUMIF(49:49,G8,50:50)-SUMIF(49:49,C8,50:50)+100</f>
        <v>0</v>
      </c>
      <c r="I8" s="307"/>
      <c r="J8" s="304">
        <f>SUMIF(49:49,I8,50:50)-SUMIF(49:49,C8,50:50)+100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34" si="3">D8/F8</f>
        <v>#DIV/0!</v>
      </c>
      <c r="AB8" s="630" t="e">
        <f t="shared" ref="AB8:AB34" si="4">D8/H8</f>
        <v>#DIV/0!</v>
      </c>
      <c r="AC8" s="630" t="e">
        <f t="shared" ref="AC8:AC34" si="5">D8/J8</f>
        <v>#DIV/0!</v>
      </c>
    </row>
    <row r="9" spans="1:29" s="25" customFormat="1">
      <c r="A9" s="308" t="s">
        <v>2024</v>
      </c>
      <c r="B9" s="24" t="s">
        <v>2025</v>
      </c>
      <c r="C9" s="309"/>
      <c r="D9" s="28">
        <v>100</v>
      </c>
      <c r="E9" s="311"/>
      <c r="F9" s="28">
        <f>SUMIF(51:51,E9,52:52)-SUMIF(51:51,C9,52:52)+100</f>
        <v>100</v>
      </c>
      <c r="G9" s="311"/>
      <c r="H9" s="28">
        <f>SUMIF(51:51,G9,52:52)-SUMIF(51:51,C9,52:52)+100</f>
        <v>100</v>
      </c>
      <c r="I9" s="311"/>
      <c r="J9" s="28">
        <f>SUMIF(51:51,I9,52:52)-SUMIF(51:51,C9,52:52)+100</f>
        <v>100</v>
      </c>
      <c r="K9" s="497"/>
      <c r="L9" s="2944"/>
      <c r="M9" s="2945"/>
      <c r="N9" s="2945"/>
      <c r="O9" s="2946"/>
      <c r="P9" s="3646" t="s">
        <v>2026</v>
      </c>
      <c r="Q9" s="1255" t="str">
        <f t="shared" ref="Q9:Q14" si="6">B9</f>
        <v>用途</v>
      </c>
      <c r="R9" s="627" t="s">
        <v>25</v>
      </c>
      <c r="S9" s="628">
        <f t="shared" si="0"/>
        <v>100</v>
      </c>
      <c r="T9" s="627" t="s">
        <v>25</v>
      </c>
      <c r="U9" s="628">
        <f t="shared" si="1"/>
        <v>100</v>
      </c>
      <c r="V9" s="627" t="s">
        <v>25</v>
      </c>
      <c r="W9" s="628">
        <f t="shared" si="2"/>
        <v>100</v>
      </c>
      <c r="X9" s="629"/>
      <c r="Y9" s="3676" t="s">
        <v>2027</v>
      </c>
      <c r="Z9" s="19" t="str">
        <f t="shared" ref="Z9:Z14" si="7">Q9</f>
        <v>用途</v>
      </c>
      <c r="AA9" s="630">
        <f t="shared" si="3"/>
        <v>1</v>
      </c>
      <c r="AB9" s="630">
        <f t="shared" si="4"/>
        <v>1</v>
      </c>
      <c r="AC9" s="630">
        <f t="shared" si="5"/>
        <v>1</v>
      </c>
    </row>
    <row r="10" spans="1:29" s="317" customFormat="1" ht="27">
      <c r="A10" s="312"/>
      <c r="B10" s="313" t="s">
        <v>2028</v>
      </c>
      <c r="C10" s="314"/>
      <c r="D10" s="29">
        <v>100</v>
      </c>
      <c r="E10" s="314"/>
      <c r="F10" s="29">
        <f>SUMIF(53:53,E10,54:54)-SUMIF(53:53,C10,54:54)+100</f>
        <v>100</v>
      </c>
      <c r="G10" s="315"/>
      <c r="H10" s="29">
        <f>SUMIF(53:53,G10,54:54)-SUMIF(53:53,C10,54:54)+100</f>
        <v>100</v>
      </c>
      <c r="I10" s="314"/>
      <c r="J10" s="29">
        <f>SUMIF(53:53,I10,54:54)-SUMIF(53:53,C10,54:54)+100</f>
        <v>100</v>
      </c>
      <c r="K10" s="498"/>
      <c r="L10" s="2947"/>
      <c r="M10" s="2948"/>
      <c r="N10" s="2948"/>
      <c r="O10" s="2949"/>
      <c r="P10" s="3646"/>
      <c r="Q10" s="1255" t="str">
        <f t="shared" si="6"/>
        <v>土地使用年限（年）</v>
      </c>
      <c r="R10" s="627" t="s">
        <v>25</v>
      </c>
      <c r="S10" s="628">
        <f t="shared" si="0"/>
        <v>100</v>
      </c>
      <c r="T10" s="627" t="s">
        <v>25</v>
      </c>
      <c r="U10" s="628">
        <f t="shared" si="1"/>
        <v>100</v>
      </c>
      <c r="V10" s="627" t="s">
        <v>25</v>
      </c>
      <c r="W10" s="628">
        <f t="shared" si="2"/>
        <v>100</v>
      </c>
      <c r="X10" s="629"/>
      <c r="Y10" s="3676"/>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0"/>
      <c r="M11" s="2943"/>
      <c r="N11" s="2943"/>
      <c r="O11" s="2951"/>
      <c r="P11" s="3646"/>
      <c r="Q11" s="1255">
        <f t="shared" si="6"/>
        <v>111</v>
      </c>
      <c r="R11" s="627" t="s">
        <v>25</v>
      </c>
      <c r="S11" s="628">
        <f t="shared" si="0"/>
        <v>100</v>
      </c>
      <c r="T11" s="627" t="s">
        <v>25</v>
      </c>
      <c r="U11" s="628">
        <f t="shared" si="1"/>
        <v>100</v>
      </c>
      <c r="V11" s="627" t="s">
        <v>25</v>
      </c>
      <c r="W11" s="628">
        <f t="shared" si="2"/>
        <v>100</v>
      </c>
      <c r="X11" s="629"/>
      <c r="Y11" s="3676"/>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4"/>
      <c r="M12" s="2945"/>
      <c r="N12" s="2945"/>
      <c r="O12" s="2946"/>
      <c r="P12" s="3646"/>
      <c r="Q12" s="1255">
        <f t="shared" si="6"/>
        <v>111</v>
      </c>
      <c r="R12" s="627" t="s">
        <v>25</v>
      </c>
      <c r="S12" s="628">
        <f t="shared" si="0"/>
        <v>100</v>
      </c>
      <c r="T12" s="627" t="s">
        <v>25</v>
      </c>
      <c r="U12" s="628">
        <f t="shared" si="1"/>
        <v>100</v>
      </c>
      <c r="V12" s="627" t="s">
        <v>25</v>
      </c>
      <c r="W12" s="628">
        <f t="shared" si="2"/>
        <v>100</v>
      </c>
      <c r="X12" s="629"/>
      <c r="Y12" s="3676"/>
      <c r="Z12" s="19">
        <f t="shared" si="7"/>
        <v>111</v>
      </c>
      <c r="AA12" s="630">
        <f>D12/F12</f>
        <v>1</v>
      </c>
      <c r="AB12" s="630">
        <f>D12/H12</f>
        <v>1</v>
      </c>
      <c r="AC12" s="630">
        <f>D12/J12</f>
        <v>1</v>
      </c>
    </row>
    <row r="13" spans="1:29" ht="15.75"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2"/>
      <c r="M13" s="2943"/>
      <c r="N13" s="2943"/>
      <c r="O13" s="2951"/>
      <c r="P13" s="3646"/>
      <c r="Q13" s="1255">
        <f t="shared" si="6"/>
        <v>111</v>
      </c>
      <c r="R13" s="627" t="s">
        <v>25</v>
      </c>
      <c r="S13" s="628">
        <f t="shared" si="0"/>
        <v>100</v>
      </c>
      <c r="T13" s="627" t="s">
        <v>25</v>
      </c>
      <c r="U13" s="628">
        <f t="shared" si="1"/>
        <v>100</v>
      </c>
      <c r="V13" s="627" t="s">
        <v>25</v>
      </c>
      <c r="W13" s="628">
        <f t="shared" si="2"/>
        <v>100</v>
      </c>
      <c r="X13" s="629"/>
      <c r="Y13" s="3676"/>
      <c r="Z13" s="19">
        <f t="shared" si="7"/>
        <v>111</v>
      </c>
      <c r="AA13" s="630">
        <f t="shared" si="3"/>
        <v>1</v>
      </c>
      <c r="AB13" s="630">
        <f t="shared" si="4"/>
        <v>1</v>
      </c>
      <c r="AC13" s="630">
        <f t="shared" si="5"/>
        <v>1</v>
      </c>
    </row>
    <row r="14" spans="1:29" ht="85.5">
      <c r="A14" s="329" t="s">
        <v>2030</v>
      </c>
      <c r="B14" s="22" t="s">
        <v>2168</v>
      </c>
      <c r="C14" s="150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52"/>
      <c r="M14" s="2943"/>
      <c r="N14" s="2943"/>
      <c r="O14" s="2951"/>
      <c r="P14" s="3674" t="s">
        <v>2031</v>
      </c>
      <c r="Q14" s="1262" t="str">
        <f t="shared" si="6"/>
        <v>交通便捷度</v>
      </c>
      <c r="R14" s="631" t="s">
        <v>25</v>
      </c>
      <c r="S14" s="632">
        <f t="shared" si="0"/>
        <v>100</v>
      </c>
      <c r="T14" s="631" t="s">
        <v>25</v>
      </c>
      <c r="U14" s="632">
        <f t="shared" si="1"/>
        <v>100</v>
      </c>
      <c r="V14" s="631" t="s">
        <v>25</v>
      </c>
      <c r="W14" s="632">
        <f t="shared" si="2"/>
        <v>100</v>
      </c>
      <c r="X14" s="1263"/>
      <c r="Y14" s="3674" t="s">
        <v>2031</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2"/>
      <c r="M15" s="2943"/>
      <c r="N15" s="2943"/>
      <c r="O15" s="2951"/>
      <c r="P15" s="3675"/>
      <c r="Q15" s="1262"/>
      <c r="R15" s="631"/>
      <c r="S15" s="632"/>
      <c r="T15" s="631"/>
      <c r="U15" s="632"/>
      <c r="V15" s="631"/>
      <c r="W15" s="632"/>
      <c r="X15" s="1263"/>
      <c r="Y15" s="3675"/>
      <c r="Z15" s="1264"/>
      <c r="AA15" s="1265">
        <v>1</v>
      </c>
      <c r="AB15" s="1265">
        <v>1</v>
      </c>
      <c r="AC15" s="1265">
        <v>1</v>
      </c>
    </row>
    <row r="16" spans="1:29" ht="42.75">
      <c r="A16" s="318"/>
      <c r="B16" s="513" t="s">
        <v>2146</v>
      </c>
      <c r="C16" s="149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52"/>
      <c r="M16" s="2943"/>
      <c r="N16" s="2943"/>
      <c r="O16" s="2951"/>
      <c r="P16" s="3675"/>
      <c r="Q16" s="1262" t="str">
        <f>B16</f>
        <v>公共配套设施</v>
      </c>
      <c r="R16" s="631" t="s">
        <v>25</v>
      </c>
      <c r="S16" s="632">
        <f>F16</f>
        <v>100</v>
      </c>
      <c r="T16" s="631" t="s">
        <v>25</v>
      </c>
      <c r="U16" s="632">
        <f>H16</f>
        <v>100</v>
      </c>
      <c r="V16" s="631" t="s">
        <v>25</v>
      </c>
      <c r="W16" s="632">
        <f>J16</f>
        <v>100</v>
      </c>
      <c r="X16" s="1263"/>
      <c r="Y16" s="3675"/>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2"/>
      <c r="M17" s="2943"/>
      <c r="N17" s="2943"/>
      <c r="O17" s="2951"/>
      <c r="P17" s="3675"/>
      <c r="Q17" s="1262"/>
      <c r="R17" s="631"/>
      <c r="S17" s="632"/>
      <c r="T17" s="631"/>
      <c r="U17" s="632"/>
      <c r="V17" s="631"/>
      <c r="W17" s="632"/>
      <c r="X17" s="1263"/>
      <c r="Y17" s="3675"/>
      <c r="Z17" s="1264"/>
      <c r="AA17" s="1265">
        <v>1</v>
      </c>
      <c r="AB17" s="1265">
        <v>1</v>
      </c>
      <c r="AC17" s="1265">
        <v>1</v>
      </c>
    </row>
    <row r="18" spans="1:29" ht="28.5">
      <c r="A18" s="318"/>
      <c r="B18" s="515" t="s">
        <v>2147</v>
      </c>
      <c r="C18" s="149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52"/>
      <c r="M18" s="2943"/>
      <c r="N18" s="2943"/>
      <c r="O18" s="2951"/>
      <c r="P18" s="3675"/>
      <c r="Q18" s="1262" t="str">
        <f>B18</f>
        <v>基础设施水平</v>
      </c>
      <c r="R18" s="631" t="s">
        <v>25</v>
      </c>
      <c r="S18" s="632">
        <f>F18</f>
        <v>100</v>
      </c>
      <c r="T18" s="631" t="s">
        <v>25</v>
      </c>
      <c r="U18" s="632">
        <f>H18</f>
        <v>100</v>
      </c>
      <c r="V18" s="631" t="s">
        <v>25</v>
      </c>
      <c r="W18" s="632">
        <f>J18</f>
        <v>100</v>
      </c>
      <c r="X18" s="1263"/>
      <c r="Y18" s="3675"/>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2"/>
      <c r="M19" s="2943"/>
      <c r="N19" s="2943"/>
      <c r="O19" s="2951"/>
      <c r="P19" s="3675"/>
      <c r="Q19" s="1262"/>
      <c r="R19" s="631"/>
      <c r="S19" s="632"/>
      <c r="T19" s="631"/>
      <c r="U19" s="632"/>
      <c r="V19" s="631"/>
      <c r="W19" s="632"/>
      <c r="X19" s="1263"/>
      <c r="Y19" s="3675"/>
      <c r="Z19" s="1264"/>
      <c r="AA19" s="1265">
        <v>1</v>
      </c>
      <c r="AB19" s="1265">
        <v>1</v>
      </c>
      <c r="AC19" s="1265">
        <v>1</v>
      </c>
    </row>
    <row r="20" spans="1:29" ht="57">
      <c r="A20" s="318"/>
      <c r="B20" s="340" t="s">
        <v>2169</v>
      </c>
      <c r="C20" s="149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52"/>
      <c r="M20" s="2943"/>
      <c r="N20" s="2943"/>
      <c r="O20" s="2951"/>
      <c r="P20" s="3675"/>
      <c r="Q20" s="1262" t="str">
        <f>B20</f>
        <v>自然及人文环境</v>
      </c>
      <c r="R20" s="631" t="s">
        <v>25</v>
      </c>
      <c r="S20" s="632">
        <f>F20</f>
        <v>100</v>
      </c>
      <c r="T20" s="631" t="s">
        <v>25</v>
      </c>
      <c r="U20" s="632">
        <f>H20</f>
        <v>100</v>
      </c>
      <c r="V20" s="631" t="s">
        <v>25</v>
      </c>
      <c r="W20" s="632">
        <f>J20</f>
        <v>100</v>
      </c>
      <c r="X20" s="1263"/>
      <c r="Y20" s="3675"/>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2"/>
      <c r="M21" s="2943"/>
      <c r="N21" s="2943"/>
      <c r="O21" s="2951"/>
      <c r="P21" s="3675"/>
      <c r="Q21" s="1262"/>
      <c r="R21" s="631"/>
      <c r="S21" s="632"/>
      <c r="T21" s="631"/>
      <c r="U21" s="632"/>
      <c r="V21" s="631"/>
      <c r="W21" s="632"/>
      <c r="X21" s="1263"/>
      <c r="Y21" s="3675"/>
      <c r="Z21" s="1264"/>
      <c r="AA21" s="1265">
        <v>1</v>
      </c>
      <c r="AB21" s="1265">
        <v>1</v>
      </c>
      <c r="AC21" s="1265">
        <v>1</v>
      </c>
    </row>
    <row r="22" spans="1:29" ht="15">
      <c r="A22" s="318"/>
      <c r="B22" s="340" t="s">
        <v>2170</v>
      </c>
      <c r="C22" s="502"/>
      <c r="D22" s="339">
        <v>100</v>
      </c>
      <c r="E22" s="502"/>
      <c r="F22" s="351">
        <f>SUMIF(69:69,E22,70:70)-SUMIF(69:69,C22,70:70)+100</f>
        <v>100</v>
      </c>
      <c r="G22" s="502"/>
      <c r="H22" s="325">
        <f>SUMIF(69:69,G22,70:70)-SUMIF(69:69,C22,70:70)+100</f>
        <v>100</v>
      </c>
      <c r="I22" s="502"/>
      <c r="J22" s="325">
        <f>SUMIF(69:69,I22,70:70)-SUMIF(69:69,C22,70:70)+100</f>
        <v>100</v>
      </c>
      <c r="K22" s="498"/>
      <c r="L22" s="2952"/>
      <c r="M22" s="2943"/>
      <c r="N22" s="2943"/>
      <c r="O22" s="2951"/>
      <c r="P22" s="3675"/>
      <c r="Q22" s="1262" t="str">
        <f>B22</f>
        <v>楼层</v>
      </c>
      <c r="R22" s="631" t="s">
        <v>25</v>
      </c>
      <c r="S22" s="632">
        <f>F22</f>
        <v>100</v>
      </c>
      <c r="T22" s="631" t="s">
        <v>25</v>
      </c>
      <c r="U22" s="632">
        <f>H22</f>
        <v>100</v>
      </c>
      <c r="V22" s="631" t="s">
        <v>25</v>
      </c>
      <c r="W22" s="632">
        <f>J22</f>
        <v>100</v>
      </c>
      <c r="X22" s="1263"/>
      <c r="Y22" s="3675"/>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2"/>
      <c r="M23" s="2943"/>
      <c r="N23" s="2943"/>
      <c r="O23" s="2951"/>
      <c r="P23" s="3675"/>
      <c r="Q23" s="1262">
        <f>B23</f>
        <v>111</v>
      </c>
      <c r="R23" s="631" t="s">
        <v>25</v>
      </c>
      <c r="S23" s="632">
        <f>F23</f>
        <v>100</v>
      </c>
      <c r="T23" s="631" t="s">
        <v>25</v>
      </c>
      <c r="U23" s="632">
        <f>H23</f>
        <v>100</v>
      </c>
      <c r="V23" s="631" t="s">
        <v>25</v>
      </c>
      <c r="W23" s="632">
        <f>J23</f>
        <v>100</v>
      </c>
      <c r="X23" s="1263"/>
      <c r="Y23" s="3675"/>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2"/>
      <c r="M24" s="2943"/>
      <c r="N24" s="2943"/>
      <c r="O24" s="2951"/>
      <c r="P24" s="3675"/>
      <c r="Q24" s="1262">
        <f t="shared" ref="Q24:Q34" si="11">B24</f>
        <v>111</v>
      </c>
      <c r="R24" s="631" t="s">
        <v>25</v>
      </c>
      <c r="S24" s="632">
        <f>F24</f>
        <v>100</v>
      </c>
      <c r="T24" s="631" t="s">
        <v>25</v>
      </c>
      <c r="U24" s="632">
        <f>H24</f>
        <v>100</v>
      </c>
      <c r="V24" s="631" t="s">
        <v>25</v>
      </c>
      <c r="W24" s="632">
        <f>J24</f>
        <v>100</v>
      </c>
      <c r="X24" s="1263"/>
      <c r="Y24" s="3675"/>
      <c r="Z24" s="1264">
        <f>Q24</f>
        <v>111</v>
      </c>
      <c r="AA24" s="1265">
        <f t="shared" si="3"/>
        <v>1</v>
      </c>
      <c r="AB24" s="1265">
        <f t="shared" si="4"/>
        <v>1</v>
      </c>
      <c r="AC24" s="1265">
        <f t="shared" si="5"/>
        <v>1</v>
      </c>
    </row>
    <row r="25" spans="1:29" s="25" customFormat="1" ht="15.75"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4"/>
      <c r="M25" s="2945"/>
      <c r="N25" s="2945"/>
      <c r="O25" s="2946"/>
      <c r="P25" s="3675"/>
      <c r="Q25" s="1255">
        <f t="shared" si="11"/>
        <v>111</v>
      </c>
      <c r="R25" s="627" t="s">
        <v>25</v>
      </c>
      <c r="S25" s="628">
        <f>F25</f>
        <v>100</v>
      </c>
      <c r="T25" s="627" t="s">
        <v>25</v>
      </c>
      <c r="U25" s="628">
        <f>H25</f>
        <v>100</v>
      </c>
      <c r="V25" s="627" t="s">
        <v>25</v>
      </c>
      <c r="W25" s="628">
        <f>J25</f>
        <v>100</v>
      </c>
      <c r="X25" s="629"/>
      <c r="Y25" s="3675"/>
      <c r="Z25" s="19">
        <f>Q25</f>
        <v>111</v>
      </c>
      <c r="AA25" s="1265">
        <f>D25/F25</f>
        <v>1</v>
      </c>
      <c r="AB25" s="1265">
        <f>D25/H25</f>
        <v>1</v>
      </c>
      <c r="AC25" s="1265">
        <f>D25/J25</f>
        <v>1</v>
      </c>
    </row>
    <row r="26" spans="1:29" ht="28.5">
      <c r="A26" s="354" t="s">
        <v>2035</v>
      </c>
      <c r="B26" s="24" t="s">
        <v>2173</v>
      </c>
      <c r="C26" s="1505"/>
      <c r="D26" s="355">
        <v>100</v>
      </c>
      <c r="E26" s="1505"/>
      <c r="F26" s="548">
        <f>SUMIF(77:77,E26,78:78)-SUMIF(77:77,C26,78:78)+100</f>
        <v>100</v>
      </c>
      <c r="G26" s="1505"/>
      <c r="H26" s="355">
        <f>SUMIF(77:77,G26,78:78)-SUMIF(77:77,C26,78:78)+100</f>
        <v>100</v>
      </c>
      <c r="I26" s="1505"/>
      <c r="J26" s="355">
        <f>SUMIF(77:77,I26,78:78)-SUMIF(77:77,C26,78:78)+100</f>
        <v>100</v>
      </c>
      <c r="K26" s="498"/>
      <c r="L26" s="2952"/>
      <c r="M26" s="2943"/>
      <c r="N26" s="2943"/>
      <c r="O26" s="2951"/>
      <c r="P26" s="3677" t="s">
        <v>2037</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78" t="s">
        <v>2037</v>
      </c>
      <c r="Z26" s="1264" t="str">
        <f t="shared" ref="Z26:Z34" si="15">Q26</f>
        <v>公共部分装修</v>
      </c>
      <c r="AA26" s="1265">
        <f t="shared" si="3"/>
        <v>1</v>
      </c>
      <c r="AB26" s="1265">
        <f t="shared" si="4"/>
        <v>1</v>
      </c>
      <c r="AC26" s="1265">
        <f t="shared" si="5"/>
        <v>1</v>
      </c>
    </row>
    <row r="27" spans="1:29" s="359" customFormat="1" ht="15">
      <c r="A27" s="356"/>
      <c r="B27" s="313" t="s">
        <v>2174</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0"/>
      <c r="M27" s="358"/>
      <c r="N27" s="358"/>
      <c r="O27" s="2953"/>
      <c r="P27" s="3678"/>
      <c r="Q27" s="633" t="str">
        <f t="shared" si="11"/>
        <v>成新率</v>
      </c>
      <c r="R27" s="634" t="s">
        <v>25</v>
      </c>
      <c r="S27" s="635" t="e">
        <f t="shared" si="12"/>
        <v>#N/A</v>
      </c>
      <c r="T27" s="634" t="s">
        <v>25</v>
      </c>
      <c r="U27" s="635" t="e">
        <f t="shared" si="13"/>
        <v>#N/A</v>
      </c>
      <c r="V27" s="634" t="s">
        <v>25</v>
      </c>
      <c r="W27" s="635" t="e">
        <f t="shared" si="14"/>
        <v>#N/A</v>
      </c>
      <c r="X27" s="636"/>
      <c r="Y27" s="3678"/>
      <c r="Z27" s="637" t="str">
        <f t="shared" si="15"/>
        <v>成新率</v>
      </c>
      <c r="AA27" s="1265" t="e">
        <f t="shared" si="3"/>
        <v>#N/A</v>
      </c>
      <c r="AB27" s="1265" t="e">
        <f t="shared" si="4"/>
        <v>#N/A</v>
      </c>
      <c r="AC27" s="1265" t="e">
        <f t="shared" si="5"/>
        <v>#N/A</v>
      </c>
    </row>
    <row r="28" spans="1:29" ht="15">
      <c r="A28" s="360"/>
      <c r="B28" s="313" t="s">
        <v>2175</v>
      </c>
      <c r="C28" s="350"/>
      <c r="D28" s="325">
        <v>100</v>
      </c>
      <c r="E28" s="350"/>
      <c r="F28" s="351">
        <f>SUMIF(82:82,E28,83:83)-SUMIF(82:82,C28,83:83)+100</f>
        <v>100</v>
      </c>
      <c r="G28" s="350"/>
      <c r="H28" s="325">
        <f>SUMIF(82:82,G28,83:83)-SUMIF(82:82,C28,83:83)+100</f>
        <v>100</v>
      </c>
      <c r="I28" s="350"/>
      <c r="J28" s="325">
        <f>SUMIF(82:82,I28,83:83)-SUMIF(82:82,C28,83:83)+100</f>
        <v>100</v>
      </c>
      <c r="K28" s="498"/>
      <c r="L28" s="2952"/>
      <c r="M28" s="2943"/>
      <c r="N28" s="2943"/>
      <c r="O28" s="2951"/>
      <c r="P28" s="3678"/>
      <c r="Q28" s="1262" t="str">
        <f t="shared" si="11"/>
        <v>物业等级</v>
      </c>
      <c r="R28" s="631" t="s">
        <v>25</v>
      </c>
      <c r="S28" s="632">
        <f t="shared" si="12"/>
        <v>100</v>
      </c>
      <c r="T28" s="631" t="s">
        <v>25</v>
      </c>
      <c r="U28" s="632">
        <f t="shared" si="13"/>
        <v>100</v>
      </c>
      <c r="V28" s="631" t="s">
        <v>25</v>
      </c>
      <c r="W28" s="632">
        <f t="shared" si="14"/>
        <v>100</v>
      </c>
      <c r="X28" s="1263"/>
      <c r="Y28" s="3678"/>
      <c r="Z28" s="1264" t="str">
        <f t="shared" si="15"/>
        <v>物业等级</v>
      </c>
      <c r="AA28" s="1265">
        <f t="shared" si="3"/>
        <v>1</v>
      </c>
      <c r="AB28" s="1265">
        <f t="shared" si="4"/>
        <v>1</v>
      </c>
      <c r="AC28" s="1265">
        <f t="shared" si="5"/>
        <v>1</v>
      </c>
    </row>
    <row r="29" spans="1:29" ht="15">
      <c r="A29" s="360"/>
      <c r="B29" s="313" t="s">
        <v>2196</v>
      </c>
      <c r="C29" s="538"/>
      <c r="D29" s="325">
        <v>100</v>
      </c>
      <c r="E29" s="538"/>
      <c r="F29" s="351">
        <f>SUMIF(84:84,E29,85:85)-SUMIF(84:84,C29,85:85)+100</f>
        <v>100</v>
      </c>
      <c r="G29" s="538"/>
      <c r="H29" s="325">
        <f>SUMIF(84:84,G29,85:85)-SUMIF(84:84,C29,85:85)+100</f>
        <v>100</v>
      </c>
      <c r="I29" s="538"/>
      <c r="J29" s="325">
        <f>SUMIF(84:84,I29,85:85)-SUMIF(84:84,C29,85:85)+100</f>
        <v>100</v>
      </c>
      <c r="K29" s="498"/>
      <c r="L29" s="2952"/>
      <c r="M29" s="2943"/>
      <c r="N29" s="2943"/>
      <c r="O29" s="2951"/>
      <c r="P29" s="3678"/>
      <c r="Q29" s="1262" t="str">
        <f t="shared" si="11"/>
        <v>有无电梯</v>
      </c>
      <c r="R29" s="631" t="s">
        <v>25</v>
      </c>
      <c r="S29" s="632">
        <f t="shared" si="12"/>
        <v>100</v>
      </c>
      <c r="T29" s="631" t="s">
        <v>25</v>
      </c>
      <c r="U29" s="632">
        <f t="shared" si="13"/>
        <v>100</v>
      </c>
      <c r="V29" s="631" t="s">
        <v>25</v>
      </c>
      <c r="W29" s="632">
        <f t="shared" si="14"/>
        <v>100</v>
      </c>
      <c r="X29" s="1263"/>
      <c r="Y29" s="3678"/>
      <c r="Z29" s="1264" t="str">
        <f t="shared" si="15"/>
        <v>有无电梯</v>
      </c>
      <c r="AA29" s="1265">
        <f t="shared" si="3"/>
        <v>1</v>
      </c>
      <c r="AB29" s="1265">
        <f t="shared" si="4"/>
        <v>1</v>
      </c>
      <c r="AC29" s="1265">
        <f t="shared" si="5"/>
        <v>1</v>
      </c>
    </row>
    <row r="30" spans="1:29" ht="15">
      <c r="A30" s="360"/>
      <c r="B30" s="313" t="s">
        <v>2197</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2"/>
      <c r="M30" s="2943"/>
      <c r="N30" s="2943"/>
      <c r="O30" s="2951"/>
      <c r="P30" s="3678"/>
      <c r="Q30" s="1262" t="str">
        <f t="shared" si="11"/>
        <v>建筑面积</v>
      </c>
      <c r="R30" s="631" t="s">
        <v>25</v>
      </c>
      <c r="S30" s="632" t="e">
        <f t="shared" si="12"/>
        <v>#N/A</v>
      </c>
      <c r="T30" s="631" t="s">
        <v>25</v>
      </c>
      <c r="U30" s="632" t="e">
        <f t="shared" si="13"/>
        <v>#N/A</v>
      </c>
      <c r="V30" s="631" t="s">
        <v>25</v>
      </c>
      <c r="W30" s="632" t="e">
        <f t="shared" si="14"/>
        <v>#N/A</v>
      </c>
      <c r="X30" s="1263"/>
      <c r="Y30" s="3678"/>
      <c r="Z30" s="1264" t="str">
        <f t="shared" si="15"/>
        <v>建筑面积</v>
      </c>
      <c r="AA30" s="1265" t="e">
        <f t="shared" si="3"/>
        <v>#N/A</v>
      </c>
      <c r="AB30" s="1265" t="e">
        <f t="shared" si="4"/>
        <v>#N/A</v>
      </c>
      <c r="AC30" s="1265" t="e">
        <f t="shared" si="5"/>
        <v>#N/A</v>
      </c>
    </row>
    <row r="31" spans="1:29" s="25" customFormat="1" ht="15">
      <c r="A31" s="361"/>
      <c r="B31" s="313" t="s">
        <v>2198</v>
      </c>
      <c r="C31" s="538"/>
      <c r="D31" s="29">
        <v>100</v>
      </c>
      <c r="E31" s="538"/>
      <c r="F31" s="351">
        <f>SUMIF(89:89,E31,90:90)-SUMIF(89:89,C31,90:90)+100</f>
        <v>100</v>
      </c>
      <c r="G31" s="538"/>
      <c r="H31" s="325">
        <f>SUMIF(89:89,G31,90:90)-SUMIF(89:89,C31,90:90)+100</f>
        <v>100</v>
      </c>
      <c r="I31" s="538"/>
      <c r="J31" s="325">
        <f>SUMIF(89:89,I31,90:90)-SUMIF(89:89,C31,90:90)+100</f>
        <v>100</v>
      </c>
      <c r="K31" s="498"/>
      <c r="L31" s="2944"/>
      <c r="M31" s="2945"/>
      <c r="N31" s="2945"/>
      <c r="O31" s="2946"/>
      <c r="P31" s="3678"/>
      <c r="Q31" s="1255" t="str">
        <f t="shared" si="11"/>
        <v>是否封闭</v>
      </c>
      <c r="R31" s="627" t="s">
        <v>25</v>
      </c>
      <c r="S31" s="628">
        <f t="shared" si="12"/>
        <v>100</v>
      </c>
      <c r="T31" s="627" t="s">
        <v>25</v>
      </c>
      <c r="U31" s="628">
        <f t="shared" si="13"/>
        <v>100</v>
      </c>
      <c r="V31" s="627" t="s">
        <v>25</v>
      </c>
      <c r="W31" s="628">
        <f t="shared" si="14"/>
        <v>100</v>
      </c>
      <c r="X31" s="629"/>
      <c r="Y31" s="3678"/>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2"/>
      <c r="M32" s="2943"/>
      <c r="N32" s="2943"/>
      <c r="O32" s="2951"/>
      <c r="P32" s="3678" t="s">
        <v>2037</v>
      </c>
      <c r="Q32" s="1262">
        <f t="shared" si="11"/>
        <v>111</v>
      </c>
      <c r="R32" s="631" t="s">
        <v>25</v>
      </c>
      <c r="S32" s="632">
        <f t="shared" si="12"/>
        <v>100</v>
      </c>
      <c r="T32" s="631" t="s">
        <v>25</v>
      </c>
      <c r="U32" s="632">
        <f t="shared" si="13"/>
        <v>100</v>
      </c>
      <c r="V32" s="631" t="s">
        <v>25</v>
      </c>
      <c r="W32" s="632">
        <f t="shared" si="14"/>
        <v>100</v>
      </c>
      <c r="X32" s="1263"/>
      <c r="Y32" s="3678" t="s">
        <v>2037</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2"/>
      <c r="M33" s="2943"/>
      <c r="N33" s="2943"/>
      <c r="O33" s="2951"/>
      <c r="P33" s="3678"/>
      <c r="Q33" s="1262">
        <f t="shared" si="11"/>
        <v>111</v>
      </c>
      <c r="R33" s="631" t="s">
        <v>25</v>
      </c>
      <c r="S33" s="632">
        <f t="shared" si="12"/>
        <v>100</v>
      </c>
      <c r="T33" s="631" t="s">
        <v>25</v>
      </c>
      <c r="U33" s="632">
        <f t="shared" si="13"/>
        <v>100</v>
      </c>
      <c r="V33" s="631" t="s">
        <v>25</v>
      </c>
      <c r="W33" s="632">
        <f t="shared" si="14"/>
        <v>100</v>
      </c>
      <c r="X33" s="1263"/>
      <c r="Y33" s="3678"/>
      <c r="Z33" s="1264">
        <f t="shared" si="15"/>
        <v>111</v>
      </c>
      <c r="AA33" s="1265">
        <f t="shared" si="3"/>
        <v>1</v>
      </c>
      <c r="AB33" s="1265">
        <f t="shared" si="4"/>
        <v>1</v>
      </c>
      <c r="AC33" s="1265">
        <f t="shared" si="5"/>
        <v>1</v>
      </c>
    </row>
    <row r="34" spans="1:29" ht="15.75"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2"/>
      <c r="M34" s="2943"/>
      <c r="N34" s="2943"/>
      <c r="O34" s="2951"/>
      <c r="P34" s="3678"/>
      <c r="Q34" s="1262">
        <f t="shared" si="11"/>
        <v>111</v>
      </c>
      <c r="R34" s="631" t="s">
        <v>25</v>
      </c>
      <c r="S34" s="632">
        <f t="shared" si="12"/>
        <v>100</v>
      </c>
      <c r="T34" s="631" t="s">
        <v>25</v>
      </c>
      <c r="U34" s="632">
        <f t="shared" si="13"/>
        <v>100</v>
      </c>
      <c r="V34" s="631" t="s">
        <v>25</v>
      </c>
      <c r="W34" s="632">
        <f t="shared" si="14"/>
        <v>100</v>
      </c>
      <c r="X34" s="1263"/>
      <c r="Y34" s="3678"/>
      <c r="Z34" s="1264">
        <f t="shared" si="15"/>
        <v>111</v>
      </c>
      <c r="AA34" s="1265">
        <f t="shared" si="3"/>
        <v>1</v>
      </c>
      <c r="AB34" s="1265">
        <f t="shared" si="4"/>
        <v>1</v>
      </c>
      <c r="AC34" s="1265">
        <f t="shared" si="5"/>
        <v>1</v>
      </c>
    </row>
    <row r="35" spans="1:29" ht="15">
      <c r="A35" s="367" t="s">
        <v>2049</v>
      </c>
      <c r="B35" s="368"/>
      <c r="C35" s="1082" t="s">
        <v>1</v>
      </c>
      <c r="D35" s="1083"/>
      <c r="E35" s="1084"/>
      <c r="F35" s="1085"/>
      <c r="G35" s="1086"/>
      <c r="H35" s="1087"/>
      <c r="I35" s="1084"/>
      <c r="J35" s="1087"/>
      <c r="K35" s="640"/>
      <c r="L35" s="2954"/>
      <c r="N35" s="2943"/>
      <c r="P35" s="3646" t="str">
        <f>A35</f>
        <v>成交单价（元/平方米）</v>
      </c>
      <c r="Q35" s="3646"/>
      <c r="R35" s="3680">
        <f>E35</f>
        <v>0</v>
      </c>
      <c r="S35" s="3680"/>
      <c r="T35" s="3680">
        <f>G35</f>
        <v>0</v>
      </c>
      <c r="U35" s="3680"/>
      <c r="V35" s="3680">
        <f>I35</f>
        <v>0</v>
      </c>
      <c r="W35" s="3680"/>
      <c r="X35" s="618"/>
      <c r="Y35" s="638"/>
      <c r="Z35" s="618"/>
      <c r="AA35" s="618"/>
      <c r="AB35" s="618"/>
      <c r="AC35" s="618"/>
    </row>
    <row r="36" spans="1:29" ht="15.75" thickBot="1">
      <c r="A36" s="374" t="s">
        <v>2132</v>
      </c>
      <c r="B36" s="375"/>
      <c r="C36" s="1088" t="e">
        <f>R37</f>
        <v>#DIV/0!</v>
      </c>
      <c r="D36" s="1725" t="s">
        <v>2503</v>
      </c>
      <c r="E36" s="1089" t="e">
        <f>R36</f>
        <v>#DIV/0!</v>
      </c>
      <c r="F36" s="1727"/>
      <c r="G36" s="1088" t="e">
        <f>T36</f>
        <v>#DIV/0!</v>
      </c>
      <c r="H36" s="1727"/>
      <c r="I36" s="1089" t="e">
        <f>V36</f>
        <v>#DIV/0!</v>
      </c>
      <c r="J36" s="1727"/>
      <c r="K36" s="2429">
        <f>F36+H36+J36</f>
        <v>0</v>
      </c>
      <c r="L36" s="2954"/>
      <c r="N36" s="2943"/>
      <c r="P36" s="3646" t="str">
        <f>A36</f>
        <v>比较价值（元/平方米）</v>
      </c>
      <c r="Q36" s="3646"/>
      <c r="R36" s="3680" t="e">
        <f>IF(E1="售价",ROUND(PRODUCT(R35,AA7:AA34),0),ROUND(PRODUCT(R35,AA7:AA34),1))</f>
        <v>#DIV/0!</v>
      </c>
      <c r="S36" s="3680"/>
      <c r="T36" s="3680" t="e">
        <f>IF(E1="售价",ROUND(PRODUCT(T35,AB7:AB34),0),ROUND(PRODUCT(T35,AB7:AB34),1))</f>
        <v>#DIV/0!</v>
      </c>
      <c r="U36" s="3680"/>
      <c r="V36" s="3680" t="e">
        <f>IF(E1="售价",ROUND(PRODUCT(V35,AC7:AC34),0),ROUND(PRODUCT(V35,AC7:AC34),1))</f>
        <v>#DIV/0!</v>
      </c>
      <c r="W36" s="3680"/>
      <c r="X36" s="618"/>
      <c r="Y36" s="618"/>
      <c r="Z36" s="618"/>
      <c r="AA36" s="618"/>
      <c r="AB36" s="618"/>
      <c r="AC36" s="618"/>
    </row>
    <row r="37" spans="1:29" ht="15.75" thickBot="1">
      <c r="A37" s="378" t="s">
        <v>2155</v>
      </c>
      <c r="B37" s="379"/>
      <c r="C37" s="1090" t="e">
        <f>R37</f>
        <v>#DIV/0!</v>
      </c>
      <c r="D37" s="1090"/>
      <c r="E37" s="1090"/>
      <c r="F37" s="1090"/>
      <c r="G37" s="1090"/>
      <c r="H37" s="1090"/>
      <c r="I37" s="1090"/>
      <c r="J37" s="1090"/>
      <c r="K37" s="641"/>
      <c r="L37" s="2954"/>
      <c r="P37" s="3681" t="str">
        <f>A37</f>
        <v>估价对象XX用房的比较价值（楼面单价，元/平方米）</v>
      </c>
      <c r="Q37" s="3682"/>
      <c r="R37" s="3683" t="e">
        <f>IF(E1="售价",ROUND(IF(D36="简单平均",AVERAGE(R36:W36),R36*F36+T36*H36+V36*J36),0),ROUND(IF(D36="简单平均",AVERAGE(R36:V36),R36*F36+T36*H36+V36*J36),1))</f>
        <v>#DIV/0!</v>
      </c>
      <c r="S37" s="3683"/>
      <c r="T37" s="3683"/>
      <c r="U37" s="3683"/>
      <c r="V37" s="3683"/>
      <c r="W37" s="3683"/>
      <c r="X37" s="618"/>
      <c r="Y37" s="618"/>
      <c r="Z37" s="618"/>
      <c r="AA37" s="618"/>
      <c r="AB37" s="618"/>
      <c r="AC37" s="618"/>
    </row>
    <row r="38" spans="1:29">
      <c r="G38" s="2957"/>
    </row>
    <row r="40" spans="1:29" ht="13.5" customHeight="1">
      <c r="C40" s="383" t="s">
        <v>2134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8"/>
      <c r="L42" s="2955"/>
    </row>
    <row r="43" spans="1:29" s="388" customFormat="1">
      <c r="B43" s="2956"/>
      <c r="C43" s="2959"/>
      <c r="K43" s="2958"/>
      <c r="L43" s="2955"/>
    </row>
    <row r="44" spans="1:29">
      <c r="B44" s="2956"/>
      <c r="C44" s="2959"/>
    </row>
    <row r="45" spans="1:29" ht="21.75" thickBot="1">
      <c r="A45" s="620" t="s">
        <v>2137</v>
      </c>
      <c r="B45" s="618"/>
      <c r="C45" s="621"/>
      <c r="D45" s="621"/>
      <c r="E45" s="621"/>
      <c r="F45" s="622"/>
      <c r="G45" s="622"/>
      <c r="H45" s="621"/>
      <c r="I45" s="621"/>
      <c r="J45" s="621"/>
      <c r="K45" s="623"/>
      <c r="L45" s="624"/>
      <c r="M45" s="621"/>
      <c r="N45" s="2960"/>
      <c r="O45" s="2960"/>
      <c r="P45" s="389"/>
      <c r="Q45" s="390"/>
    </row>
    <row r="46" spans="1:29" s="394" customFormat="1" ht="15">
      <c r="A46" s="391" t="s">
        <v>2019</v>
      </c>
      <c r="B46" s="392"/>
      <c r="C46" s="1116" t="str">
        <f>YEAR(C7)&amp;"-"&amp;MONTH(C7)</f>
        <v>2022-4</v>
      </c>
      <c r="D46" s="1117">
        <f>EDATE(C46,-1)</f>
        <v>44621</v>
      </c>
      <c r="E46" s="1117">
        <f t="shared" ref="E46:O46" si="16">EDATE(D46,-1)</f>
        <v>44593</v>
      </c>
      <c r="F46" s="1117">
        <f t="shared" si="16"/>
        <v>44562</v>
      </c>
      <c r="G46" s="1117">
        <f t="shared" si="16"/>
        <v>44531</v>
      </c>
      <c r="H46" s="1117">
        <f t="shared" si="16"/>
        <v>44501</v>
      </c>
      <c r="I46" s="1117">
        <f t="shared" si="16"/>
        <v>44470</v>
      </c>
      <c r="J46" s="1117">
        <f t="shared" si="16"/>
        <v>44440</v>
      </c>
      <c r="K46" s="1117">
        <f t="shared" si="16"/>
        <v>44409</v>
      </c>
      <c r="L46" s="1117">
        <f t="shared" si="16"/>
        <v>44378</v>
      </c>
      <c r="M46" s="1117">
        <f t="shared" si="16"/>
        <v>44348</v>
      </c>
      <c r="N46" s="1117">
        <f t="shared" si="16"/>
        <v>44317</v>
      </c>
      <c r="O46" s="1117">
        <f t="shared" si="16"/>
        <v>44287</v>
      </c>
      <c r="P46" s="393"/>
    </row>
    <row r="47" spans="1:29" s="25" customFormat="1" ht="15">
      <c r="A47" s="395"/>
      <c r="B47" s="396"/>
      <c r="C47" s="1115">
        <v>100</v>
      </c>
      <c r="D47" s="397"/>
      <c r="E47" s="397"/>
      <c r="F47" s="397"/>
      <c r="G47" s="397"/>
      <c r="H47" s="397"/>
      <c r="I47" s="397"/>
      <c r="J47" s="397"/>
      <c r="K47" s="397"/>
      <c r="L47" s="397"/>
      <c r="M47" s="398"/>
      <c r="N47" s="397"/>
      <c r="O47" s="399"/>
      <c r="P47" s="390"/>
    </row>
    <row r="48" spans="1:29" s="25" customFormat="1" ht="15.75" thickBot="1">
      <c r="A48" s="400" t="s">
        <v>2057</v>
      </c>
      <c r="B48" s="401"/>
      <c r="C48" s="402"/>
      <c r="D48" s="403"/>
      <c r="E48" s="403"/>
      <c r="F48" s="403"/>
      <c r="G48" s="403"/>
      <c r="H48" s="403"/>
      <c r="I48" s="403"/>
      <c r="J48" s="403"/>
      <c r="K48" s="403"/>
      <c r="L48" s="403"/>
      <c r="M48" s="404"/>
      <c r="N48" s="403"/>
      <c r="O48" s="405"/>
      <c r="P48" s="390"/>
      <c r="Q48" s="390"/>
    </row>
    <row r="49" spans="1:17" s="25" customFormat="1" ht="15">
      <c r="A49" s="406" t="s">
        <v>2021</v>
      </c>
      <c r="B49" s="396"/>
      <c r="C49" s="407" t="s">
        <v>2022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2060</v>
      </c>
      <c r="B51" s="413" t="s">
        <v>2025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2028</v>
      </c>
      <c r="C53" s="426" t="s">
        <v>2061</v>
      </c>
      <c r="D53" s="426" t="s">
        <v>2062</v>
      </c>
      <c r="E53" s="426" t="s">
        <v>2063</v>
      </c>
      <c r="F53" s="426" t="s">
        <v>2064</v>
      </c>
      <c r="G53" s="426" t="s">
        <v>2065</v>
      </c>
      <c r="H53" s="426" t="s">
        <v>2066</v>
      </c>
      <c r="I53" s="426" t="s">
        <v>2067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2030</v>
      </c>
      <c r="B61" s="413" t="s">
        <v>2074</v>
      </c>
      <c r="C61" s="461" t="s">
        <v>2069</v>
      </c>
      <c r="D61" s="461" t="s">
        <v>2070</v>
      </c>
      <c r="E61" s="461" t="s">
        <v>2071</v>
      </c>
      <c r="F61" s="461" t="s">
        <v>2072</v>
      </c>
      <c r="G61" s="461" t="s">
        <v>2073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2075</v>
      </c>
      <c r="C63" s="466" t="s">
        <v>2069</v>
      </c>
      <c r="D63" s="466" t="s">
        <v>2070</v>
      </c>
      <c r="E63" s="466" t="s">
        <v>2071</v>
      </c>
      <c r="F63" s="466" t="s">
        <v>2072</v>
      </c>
      <c r="G63" s="466" t="s">
        <v>2073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2147</v>
      </c>
      <c r="C65" s="426" t="s">
        <v>2076</v>
      </c>
      <c r="D65" s="426" t="s">
        <v>2077</v>
      </c>
      <c r="E65" s="426" t="s">
        <v>2078</v>
      </c>
      <c r="F65" s="426" t="s">
        <v>2079</v>
      </c>
      <c r="G65" s="426" t="s">
        <v>2080</v>
      </c>
      <c r="H65" s="426"/>
      <c r="I65" s="426"/>
      <c r="J65" s="426"/>
      <c r="K65" s="426"/>
      <c r="L65" s="426"/>
      <c r="M65" s="105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2081</v>
      </c>
      <c r="C67" s="466" t="s">
        <v>2069</v>
      </c>
      <c r="D67" s="466" t="s">
        <v>2070</v>
      </c>
      <c r="E67" s="466" t="s">
        <v>2071</v>
      </c>
      <c r="F67" s="466" t="s">
        <v>2072</v>
      </c>
      <c r="G67" s="466" t="s">
        <v>2073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2035</v>
      </c>
      <c r="B77" s="413" t="s">
        <v>2088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2191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2200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2201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G53" sqref="G53"/>
    </sheetView>
  </sheetViews>
  <sheetFormatPr defaultColWidth="9" defaultRowHeight="14.25"/>
  <cols>
    <col min="1" max="1" width="11.87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30" s="1888" customFormat="1" ht="28.5" customHeight="1">
      <c r="A1" s="1879" t="s">
        <v>2202</v>
      </c>
      <c r="B1" s="1880"/>
      <c r="C1" s="1881" t="s">
        <v>2203</v>
      </c>
      <c r="D1" s="1880"/>
      <c r="E1" s="1880"/>
      <c r="F1" s="1882" t="s">
        <v>2004</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2204</v>
      </c>
      <c r="D2" s="2929"/>
      <c r="E2" s="2929"/>
      <c r="F2" s="2928"/>
      <c r="G2" s="2929"/>
      <c r="H2" s="2929"/>
      <c r="I2" s="2929"/>
      <c r="J2" s="2929"/>
      <c r="K2" s="2930"/>
      <c r="L2" s="2931"/>
      <c r="M2" s="2929"/>
      <c r="N2" s="2929"/>
      <c r="O2" s="2929"/>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2205</v>
      </c>
      <c r="D3" s="2929"/>
      <c r="E3" s="2929"/>
      <c r="F3" s="2928"/>
      <c r="G3" s="2929"/>
      <c r="H3" s="2929"/>
      <c r="I3" s="2929"/>
      <c r="J3" s="2929"/>
      <c r="K3" s="2930"/>
      <c r="L3" s="2931"/>
      <c r="M3" s="2929"/>
      <c r="N3" s="2929"/>
      <c r="O3" s="2929"/>
      <c r="P3" s="1885"/>
      <c r="Q3" s="1885"/>
      <c r="R3" s="1885"/>
      <c r="S3" s="1885"/>
      <c r="T3" s="1885"/>
      <c r="U3" s="1885"/>
      <c r="V3" s="1885"/>
      <c r="W3" s="1885"/>
      <c r="X3" s="1885"/>
      <c r="Y3" s="1885"/>
      <c r="Z3" s="1885"/>
      <c r="AA3" s="1885"/>
      <c r="AB3" s="1892"/>
      <c r="AC3" s="1893"/>
    </row>
    <row r="4" spans="1:30" ht="15">
      <c r="A4" s="1591" t="s">
        <v>2006</v>
      </c>
      <c r="B4" s="1592"/>
      <c r="C4" s="3576" t="s">
        <v>2007</v>
      </c>
      <c r="D4" s="3577"/>
      <c r="E4" s="3578" t="s">
        <v>2008</v>
      </c>
      <c r="F4" s="3579"/>
      <c r="G4" s="3576" t="s">
        <v>2009</v>
      </c>
      <c r="H4" s="3577"/>
      <c r="I4" s="3576" t="s">
        <v>2010</v>
      </c>
      <c r="J4" s="3577"/>
      <c r="K4" s="1894" t="s">
        <v>2011</v>
      </c>
      <c r="L4" s="2914"/>
      <c r="M4" s="2915"/>
      <c r="N4" s="2915"/>
      <c r="O4" s="2915"/>
      <c r="P4" s="3580" t="s">
        <v>2012</v>
      </c>
      <c r="Q4" s="3581"/>
      <c r="R4" s="3586" t="s">
        <v>2008</v>
      </c>
      <c r="S4" s="3587"/>
      <c r="T4" s="3586" t="s">
        <v>2009</v>
      </c>
      <c r="U4" s="3587"/>
      <c r="V4" s="3592" t="s">
        <v>2010</v>
      </c>
      <c r="W4" s="3592"/>
      <c r="X4" s="1594"/>
      <c r="Y4" s="3586" t="s">
        <v>2012</v>
      </c>
      <c r="Z4" s="3587"/>
      <c r="AA4" s="3573" t="s">
        <v>2008</v>
      </c>
      <c r="AB4" s="3574" t="s">
        <v>2009</v>
      </c>
      <c r="AC4" s="3573" t="s">
        <v>2010</v>
      </c>
    </row>
    <row r="5" spans="1:30" ht="15">
      <c r="A5" s="1596"/>
      <c r="B5" s="1597"/>
      <c r="C5" s="3633" t="s">
        <v>2013</v>
      </c>
      <c r="D5" s="3570"/>
      <c r="E5" s="3632" t="s">
        <v>2014</v>
      </c>
      <c r="F5" s="3594"/>
      <c r="G5" s="3633" t="s">
        <v>2015</v>
      </c>
      <c r="H5" s="3570"/>
      <c r="I5" s="3633" t="s">
        <v>2016</v>
      </c>
      <c r="J5" s="3570"/>
      <c r="K5" s="1894"/>
      <c r="L5" s="2914"/>
      <c r="M5" s="2915"/>
      <c r="N5" s="2915"/>
      <c r="O5" s="2915"/>
      <c r="P5" s="3582"/>
      <c r="Q5" s="3583"/>
      <c r="R5" s="3588"/>
      <c r="S5" s="3589"/>
      <c r="T5" s="3588"/>
      <c r="U5" s="3589"/>
      <c r="V5" s="3592"/>
      <c r="W5" s="3592"/>
      <c r="X5" s="1594"/>
      <c r="Y5" s="3588"/>
      <c r="Z5" s="3589"/>
      <c r="AA5" s="3574"/>
      <c r="AB5" s="3574"/>
      <c r="AC5" s="3574"/>
    </row>
    <row r="6" spans="1:30" ht="15.75" thickBot="1">
      <c r="A6" s="1599"/>
      <c r="B6" s="1600"/>
      <c r="C6" s="3566" t="s">
        <v>2017</v>
      </c>
      <c r="D6" s="3567"/>
      <c r="E6" s="3564" t="s">
        <v>2017</v>
      </c>
      <c r="F6" s="3565"/>
      <c r="G6" s="3566" t="s">
        <v>2017</v>
      </c>
      <c r="H6" s="3567"/>
      <c r="I6" s="3566" t="s">
        <v>2017</v>
      </c>
      <c r="J6" s="3567"/>
      <c r="K6" s="1894" t="s">
        <v>2018</v>
      </c>
      <c r="L6" s="2914"/>
      <c r="M6" s="2915"/>
      <c r="N6" s="2915"/>
      <c r="O6" s="2915"/>
      <c r="P6" s="3584"/>
      <c r="Q6" s="3585"/>
      <c r="R6" s="3588"/>
      <c r="S6" s="3589"/>
      <c r="T6" s="3590"/>
      <c r="U6" s="3591"/>
      <c r="V6" s="3592"/>
      <c r="W6" s="3592"/>
      <c r="X6" s="1594"/>
      <c r="Y6" s="3590"/>
      <c r="Z6" s="3591"/>
      <c r="AA6" s="3575"/>
      <c r="AB6" s="3575"/>
      <c r="AC6" s="3575"/>
    </row>
    <row r="7" spans="1:30" s="1613" customFormat="1" ht="15.75" thickBot="1">
      <c r="A7" s="1601" t="s">
        <v>2019</v>
      </c>
      <c r="B7" s="1602"/>
      <c r="C7" s="1603">
        <f>'数据-取费表'!B2</f>
        <v>44675</v>
      </c>
      <c r="D7" s="1604">
        <v>100</v>
      </c>
      <c r="E7" s="1605"/>
      <c r="F7" s="1606">
        <f>SUMIF(69:69,YEAR(E7)&amp;"-"&amp;INT((MONTH(E7)+2)/3),70:70)</f>
        <v>0</v>
      </c>
      <c r="G7" s="1895"/>
      <c r="H7" s="1604">
        <f>SUMIF(69:69,YEAR(G7)&amp;"-"&amp;INT((MONTH(G7)+2)/3),70:70)</f>
        <v>0</v>
      </c>
      <c r="I7" s="1895"/>
      <c r="J7" s="1604">
        <f>SUMIF(69:69,YEAR(I7)&amp;"-"&amp;INT((MONTH(I7)+2)/3),70:70)</f>
        <v>0</v>
      </c>
      <c r="K7" s="1896"/>
      <c r="L7" s="2914"/>
      <c r="M7" s="2887"/>
      <c r="N7" s="2887"/>
      <c r="O7" s="2887"/>
      <c r="P7" s="3571" t="s">
        <v>2020</v>
      </c>
      <c r="Q7" s="3595"/>
      <c r="R7" s="1609" t="s">
        <v>25</v>
      </c>
      <c r="S7" s="1610">
        <f t="shared" ref="S7:S15" si="0">F7</f>
        <v>0</v>
      </c>
      <c r="T7" s="1609" t="s">
        <v>25</v>
      </c>
      <c r="U7" s="1610">
        <f t="shared" ref="U7:U15" si="1">H7</f>
        <v>0</v>
      </c>
      <c r="V7" s="1609" t="s">
        <v>25</v>
      </c>
      <c r="W7" s="1610">
        <f t="shared" ref="W7:W15" si="2">J7</f>
        <v>0</v>
      </c>
      <c r="X7" s="1611"/>
      <c r="Y7" s="3571" t="s">
        <v>2020</v>
      </c>
      <c r="Z7" s="3572"/>
      <c r="AA7" s="1612" t="e">
        <f>D7/F7</f>
        <v>#DIV/0!</v>
      </c>
      <c r="AB7" s="1612" t="e">
        <f>D7/H7</f>
        <v>#DIV/0!</v>
      </c>
      <c r="AC7" s="1612" t="e">
        <f>D7/J7</f>
        <v>#DIV/0!</v>
      </c>
    </row>
    <row r="8" spans="1:30" s="1613" customFormat="1" ht="15.75" thickBot="1">
      <c r="A8" s="1601" t="s">
        <v>2021</v>
      </c>
      <c r="B8" s="1602"/>
      <c r="C8" s="1614" t="s">
        <v>2206</v>
      </c>
      <c r="D8" s="1604">
        <v>100</v>
      </c>
      <c r="E8" s="1614"/>
      <c r="F8" s="1606">
        <f>SUMIF(72:72,E8,73:73)-SUMIF(72:72,C8,73:73)+100</f>
        <v>0</v>
      </c>
      <c r="G8" s="1614"/>
      <c r="H8" s="1604">
        <f>SUMIF(72:72,G8,73:73)-SUMIF(72:72,C8,73:73)+100</f>
        <v>0</v>
      </c>
      <c r="I8" s="1614"/>
      <c r="J8" s="1604">
        <f>SUMIF(72:72,I8,73:73)-SUMIF(72:72,C8,73:73)+100</f>
        <v>0</v>
      </c>
      <c r="K8" s="1896"/>
      <c r="L8" s="2914"/>
      <c r="M8" s="2887"/>
      <c r="N8" s="2887"/>
      <c r="O8" s="2887"/>
      <c r="P8" s="3571" t="s">
        <v>2023</v>
      </c>
      <c r="Q8" s="3572"/>
      <c r="R8" s="1609" t="s">
        <v>25</v>
      </c>
      <c r="S8" s="1610">
        <f t="shared" si="0"/>
        <v>0</v>
      </c>
      <c r="T8" s="1609" t="s">
        <v>25</v>
      </c>
      <c r="U8" s="1610">
        <f t="shared" si="1"/>
        <v>0</v>
      </c>
      <c r="V8" s="1609" t="s">
        <v>25</v>
      </c>
      <c r="W8" s="1610">
        <f t="shared" si="2"/>
        <v>0</v>
      </c>
      <c r="X8" s="1611"/>
      <c r="Y8" s="3571" t="s">
        <v>2023</v>
      </c>
      <c r="Z8" s="3572"/>
      <c r="AA8" s="1612" t="e">
        <f t="shared" ref="AA8:AA45" si="3">D8/F8</f>
        <v>#DIV/0!</v>
      </c>
      <c r="AB8" s="1612" t="e">
        <f t="shared" ref="AB8:AB45" si="4">D8/H8</f>
        <v>#DIV/0!</v>
      </c>
      <c r="AC8" s="1612" t="e">
        <f t="shared" ref="AC8:AC45" si="5">D8/J8</f>
        <v>#DIV/0!</v>
      </c>
    </row>
    <row r="9" spans="1:30" s="1613" customFormat="1">
      <c r="A9" s="1564" t="s">
        <v>2024</v>
      </c>
      <c r="B9" s="1616" t="s">
        <v>2025</v>
      </c>
      <c r="C9" s="1897"/>
      <c r="D9" s="1618">
        <v>100</v>
      </c>
      <c r="E9" s="1897"/>
      <c r="F9" s="1618">
        <f>SUMIF(74:74,E9,75:75)-SUMIF(74:74,C9,75:75)+100</f>
        <v>100</v>
      </c>
      <c r="G9" s="1897"/>
      <c r="H9" s="1618">
        <f>SUMIF(74:74,G9,75:75)-SUMIF(74:74,C9,75:75)+100</f>
        <v>100</v>
      </c>
      <c r="I9" s="1897"/>
      <c r="J9" s="1618">
        <f>SUMIF(74:74,I9,75:75)-SUMIF(74:74,C9,75:75)+100</f>
        <v>100</v>
      </c>
      <c r="K9" s="1896"/>
      <c r="L9" s="2914"/>
      <c r="M9" s="2887"/>
      <c r="N9" s="2887"/>
      <c r="O9" s="2961"/>
      <c r="P9" s="3568" t="s">
        <v>2026</v>
      </c>
      <c r="Q9" s="1563" t="str">
        <f t="shared" ref="Q9:Q15" si="6">B9</f>
        <v>用途</v>
      </c>
      <c r="R9" s="1609" t="s">
        <v>25</v>
      </c>
      <c r="S9" s="1610">
        <f t="shared" si="0"/>
        <v>100</v>
      </c>
      <c r="T9" s="1609" t="s">
        <v>25</v>
      </c>
      <c r="U9" s="1610">
        <f t="shared" si="1"/>
        <v>100</v>
      </c>
      <c r="V9" s="1609" t="s">
        <v>25</v>
      </c>
      <c r="W9" s="1610">
        <f t="shared" si="2"/>
        <v>100</v>
      </c>
      <c r="X9" s="1611"/>
      <c r="Y9" s="3494" t="s">
        <v>2027</v>
      </c>
      <c r="Z9" s="1622" t="str">
        <f t="shared" ref="Z9:Z15" si="7">Q9</f>
        <v>用途</v>
      </c>
      <c r="AA9" s="1612">
        <f t="shared" si="3"/>
        <v>1</v>
      </c>
      <c r="AB9" s="1612">
        <f t="shared" si="4"/>
        <v>1</v>
      </c>
      <c r="AC9" s="1612">
        <f t="shared" si="5"/>
        <v>1</v>
      </c>
    </row>
    <row r="10" spans="1:30" s="1630" customFormat="1" ht="27">
      <c r="A10" s="1623"/>
      <c r="B10" s="1624" t="s">
        <v>2028</v>
      </c>
      <c r="C10" s="1636"/>
      <c r="D10" s="1626">
        <v>100</v>
      </c>
      <c r="E10" s="1688"/>
      <c r="F10" s="1626">
        <f>ROUND(100/'数据-取费表'!B14,0)</f>
        <v>105</v>
      </c>
      <c r="G10" s="1686"/>
      <c r="H10" s="1626">
        <f>ROUND(100/'数据-取费表'!B14,0)</f>
        <v>105</v>
      </c>
      <c r="I10" s="1686"/>
      <c r="J10" s="1626">
        <f>ROUND(100/'数据-取费表'!B14,0)</f>
        <v>105</v>
      </c>
      <c r="K10" s="1898"/>
      <c r="L10" s="2916"/>
      <c r="M10" s="2917"/>
      <c r="N10" s="2917"/>
      <c r="O10" s="2962"/>
      <c r="P10" s="3568"/>
      <c r="Q10" s="1563" t="str">
        <f t="shared" si="6"/>
        <v>土地使用年限（年）</v>
      </c>
      <c r="R10" s="1609" t="s">
        <v>25</v>
      </c>
      <c r="S10" s="1610">
        <f t="shared" si="0"/>
        <v>105</v>
      </c>
      <c r="T10" s="1609" t="s">
        <v>25</v>
      </c>
      <c r="U10" s="1610">
        <f t="shared" si="1"/>
        <v>105</v>
      </c>
      <c r="V10" s="1609" t="s">
        <v>25</v>
      </c>
      <c r="W10" s="1610">
        <f t="shared" si="2"/>
        <v>105</v>
      </c>
      <c r="X10" s="1611"/>
      <c r="Y10" s="3494"/>
      <c r="Z10" s="1622" t="str">
        <f t="shared" si="7"/>
        <v>土地使用年限（年）</v>
      </c>
      <c r="AA10" s="1612">
        <f t="shared" si="3"/>
        <v>0.95238095238095233</v>
      </c>
      <c r="AB10" s="1612">
        <f t="shared" si="4"/>
        <v>0.95238095238095233</v>
      </c>
      <c r="AC10" s="1612">
        <f t="shared" si="5"/>
        <v>0.95238095238095233</v>
      </c>
    </row>
    <row r="11" spans="1:30" ht="15">
      <c r="A11" s="1631"/>
      <c r="B11" s="1624" t="s">
        <v>2029</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8"/>
      <c r="M11" s="2915"/>
      <c r="N11" s="2915"/>
      <c r="O11" s="2963"/>
      <c r="P11" s="3568"/>
      <c r="Q11" s="1563" t="str">
        <f t="shared" si="6"/>
        <v>容积率</v>
      </c>
      <c r="R11" s="1609" t="s">
        <v>25</v>
      </c>
      <c r="S11" s="1610" t="e">
        <f t="shared" si="0"/>
        <v>#N/A</v>
      </c>
      <c r="T11" s="1609" t="s">
        <v>25</v>
      </c>
      <c r="U11" s="1610" t="e">
        <f t="shared" si="1"/>
        <v>#N/A</v>
      </c>
      <c r="V11" s="1609" t="s">
        <v>25</v>
      </c>
      <c r="W11" s="1610" t="e">
        <f t="shared" si="2"/>
        <v>#N/A</v>
      </c>
      <c r="X11" s="1611"/>
      <c r="Y11" s="3494"/>
      <c r="Z11" s="1622" t="str">
        <f t="shared" si="7"/>
        <v>容积率</v>
      </c>
      <c r="AA11" s="1612" t="e">
        <f t="shared" si="3"/>
        <v>#N/A</v>
      </c>
      <c r="AB11" s="1612" t="e">
        <f t="shared" si="4"/>
        <v>#N/A</v>
      </c>
      <c r="AC11" s="1612" t="e">
        <f t="shared" si="5"/>
        <v>#N/A</v>
      </c>
    </row>
    <row r="12" spans="1:30" s="1613" customFormat="1" ht="15">
      <c r="A12" s="1634"/>
      <c r="B12" s="1635" t="s">
        <v>2207</v>
      </c>
      <c r="C12" s="1636"/>
      <c r="D12" s="1637">
        <v>100</v>
      </c>
      <c r="E12" s="1688"/>
      <c r="F12" s="1626">
        <f>SUMIF(81:81,E12,82:82)-SUMIF(81:81,C12,82:82)+100</f>
        <v>100</v>
      </c>
      <c r="G12" s="1686"/>
      <c r="H12" s="1626">
        <f>SUMIF(81:81,G12,82:82)-SUMIF(81:81,C12,82:82)+100</f>
        <v>100</v>
      </c>
      <c r="I12" s="1688"/>
      <c r="J12" s="1626">
        <f>SUMIF(81:81,I12,82:82)-SUMIF(81:81,C12,82:82)+100</f>
        <v>100</v>
      </c>
      <c r="K12" s="1898"/>
      <c r="L12" s="2914"/>
      <c r="M12" s="2887"/>
      <c r="N12" s="2887"/>
      <c r="O12" s="2961"/>
      <c r="P12" s="3568"/>
      <c r="Q12" s="1563" t="str">
        <f t="shared" si="6"/>
        <v>配建</v>
      </c>
      <c r="R12" s="1609" t="s">
        <v>25</v>
      </c>
      <c r="S12" s="1610">
        <f t="shared" si="0"/>
        <v>100</v>
      </c>
      <c r="T12" s="1609" t="s">
        <v>25</v>
      </c>
      <c r="U12" s="1610">
        <f t="shared" si="1"/>
        <v>100</v>
      </c>
      <c r="V12" s="1609" t="s">
        <v>25</v>
      </c>
      <c r="W12" s="1610">
        <f t="shared" si="2"/>
        <v>100</v>
      </c>
      <c r="X12" s="1611"/>
      <c r="Y12" s="3494"/>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19"/>
      <c r="M13" s="2915"/>
      <c r="N13" s="2915"/>
      <c r="O13" s="2963"/>
      <c r="P13" s="3568"/>
      <c r="Q13" s="1563">
        <f t="shared" si="6"/>
        <v>111</v>
      </c>
      <c r="R13" s="1609" t="s">
        <v>25</v>
      </c>
      <c r="S13" s="1610">
        <f t="shared" si="0"/>
        <v>100</v>
      </c>
      <c r="T13" s="1609" t="s">
        <v>25</v>
      </c>
      <c r="U13" s="1610">
        <f t="shared" si="1"/>
        <v>100</v>
      </c>
      <c r="V13" s="1609" t="s">
        <v>25</v>
      </c>
      <c r="W13" s="1610">
        <f t="shared" si="2"/>
        <v>100</v>
      </c>
      <c r="X13" s="1611"/>
      <c r="Y13" s="3494"/>
      <c r="Z13" s="1622">
        <f t="shared" si="7"/>
        <v>111</v>
      </c>
      <c r="AA13" s="1612">
        <f>D13/F13</f>
        <v>1</v>
      </c>
      <c r="AB13" s="1612">
        <f>D13/H13</f>
        <v>1</v>
      </c>
      <c r="AC13" s="1612">
        <f>D13/J13</f>
        <v>1</v>
      </c>
    </row>
    <row r="14" spans="1:30" ht="15.75"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19"/>
      <c r="M14" s="2915"/>
      <c r="N14" s="2915"/>
      <c r="O14" s="2963"/>
      <c r="P14" s="3568"/>
      <c r="Q14" s="1563">
        <f t="shared" si="6"/>
        <v>111</v>
      </c>
      <c r="R14" s="1609" t="s">
        <v>25</v>
      </c>
      <c r="S14" s="1610">
        <f t="shared" si="0"/>
        <v>100</v>
      </c>
      <c r="T14" s="1609" t="s">
        <v>25</v>
      </c>
      <c r="U14" s="1610">
        <f t="shared" si="1"/>
        <v>100</v>
      </c>
      <c r="V14" s="1609" t="s">
        <v>25</v>
      </c>
      <c r="W14" s="1610">
        <f t="shared" si="2"/>
        <v>100</v>
      </c>
      <c r="X14" s="1611"/>
      <c r="Y14" s="3494"/>
      <c r="Z14" s="1622">
        <f t="shared" si="7"/>
        <v>111</v>
      </c>
      <c r="AA14" s="1612">
        <f>D14/F14</f>
        <v>1</v>
      </c>
      <c r="AB14" s="1612">
        <f>D14/H14</f>
        <v>1</v>
      </c>
      <c r="AC14" s="1612">
        <f>D14/J14</f>
        <v>1</v>
      </c>
    </row>
    <row r="15" spans="1:30" ht="99.75">
      <c r="A15" s="1591" t="s">
        <v>2030</v>
      </c>
      <c r="B15" s="1901" t="s">
        <v>1464</v>
      </c>
      <c r="C15" s="1902" t="str">
        <f>估价对象房地状况!C15</f>
        <v>估价对象周边居住用地比例、居住小区规模和社区发展完善程度，综合评价居住社区成熟度一般</v>
      </c>
      <c r="D15" s="1649">
        <v>100</v>
      </c>
      <c r="E15" s="1650"/>
      <c r="F15" s="1649">
        <f>SUMIF(87:87,E16,88:88)-SUMIF(87:87,C16,88:88)+100</f>
        <v>100</v>
      </c>
      <c r="G15" s="1650"/>
      <c r="H15" s="1649">
        <f>SUMIF(87:87,G16,88:88)-SUMIF(87:87,C16,88:88)+100</f>
        <v>100</v>
      </c>
      <c r="I15" s="1652"/>
      <c r="J15" s="1649">
        <f>SUMIF(87:87,I16,88:88)-SUMIF(87:87,C16,88:88)+100</f>
        <v>100</v>
      </c>
      <c r="K15" s="1899"/>
      <c r="L15" s="2919"/>
      <c r="M15" s="2915"/>
      <c r="N15" s="2915"/>
      <c r="O15" s="2963"/>
      <c r="P15" s="3596" t="s">
        <v>2031</v>
      </c>
      <c r="Q15" s="1544" t="str">
        <f t="shared" si="6"/>
        <v>居住社区成熟度</v>
      </c>
      <c r="R15" s="1654" t="s">
        <v>25</v>
      </c>
      <c r="S15" s="1655">
        <f t="shared" si="0"/>
        <v>100</v>
      </c>
      <c r="T15" s="1654" t="s">
        <v>25</v>
      </c>
      <c r="U15" s="1655">
        <f t="shared" si="1"/>
        <v>100</v>
      </c>
      <c r="V15" s="1654" t="s">
        <v>25</v>
      </c>
      <c r="W15" s="1655">
        <f t="shared" si="2"/>
        <v>100</v>
      </c>
      <c r="X15" s="1594"/>
      <c r="Y15" s="3596" t="s">
        <v>2031</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19"/>
      <c r="M16" s="2915"/>
      <c r="N16" s="2915"/>
      <c r="O16" s="2963"/>
      <c r="P16" s="3597"/>
      <c r="Q16" s="1544"/>
      <c r="R16" s="1654"/>
      <c r="S16" s="1655"/>
      <c r="T16" s="1654"/>
      <c r="U16" s="1655"/>
      <c r="V16" s="1654"/>
      <c r="W16" s="1655"/>
      <c r="X16" s="1594"/>
      <c r="Y16" s="3597"/>
      <c r="Z16" s="1656"/>
      <c r="AA16" s="1657">
        <v>1</v>
      </c>
      <c r="AB16" s="1657">
        <v>1</v>
      </c>
      <c r="AC16" s="1657">
        <v>1</v>
      </c>
    </row>
    <row r="17" spans="1:29" ht="71.25">
      <c r="A17" s="1596"/>
      <c r="B17" s="1905" t="s">
        <v>2116</v>
      </c>
      <c r="C17" s="1906" t="str">
        <f>估价对象房地状况!C16</f>
        <v>估价对象位于XX商圈，周边商业氛围成熟，人流量大，商业繁华度好</v>
      </c>
      <c r="D17" s="1664">
        <v>100</v>
      </c>
      <c r="E17" s="1668"/>
      <c r="F17" s="1664">
        <f>SUMIF(89:89,E18,90:90)-SUMIF(89:89,C18,90:90)+100</f>
        <v>100</v>
      </c>
      <c r="G17" s="1668"/>
      <c r="H17" s="1671">
        <f>SUMIF(89:89,G18,90:90)-SUMIF(89:89,C18,90:90)+100</f>
        <v>100</v>
      </c>
      <c r="I17" s="1670"/>
      <c r="J17" s="1671">
        <f>SUMIF(89:89,I18,90:90)-SUMIF(89:89,C18,90:90)+100</f>
        <v>100</v>
      </c>
      <c r="K17" s="1899"/>
      <c r="L17" s="2919"/>
      <c r="M17" s="2915"/>
      <c r="N17" s="2915"/>
      <c r="O17" s="2963"/>
      <c r="P17" s="3597"/>
      <c r="Q17" s="1544" t="str">
        <f>B17</f>
        <v>商业繁华度</v>
      </c>
      <c r="R17" s="1654" t="s">
        <v>25</v>
      </c>
      <c r="S17" s="1655">
        <f>F17</f>
        <v>100</v>
      </c>
      <c r="T17" s="1654" t="s">
        <v>25</v>
      </c>
      <c r="U17" s="1655">
        <f>H17</f>
        <v>100</v>
      </c>
      <c r="V17" s="1654" t="s">
        <v>25</v>
      </c>
      <c r="W17" s="1655">
        <f>J17</f>
        <v>100</v>
      </c>
      <c r="X17" s="1594"/>
      <c r="Y17" s="3597"/>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19"/>
      <c r="M18" s="2915"/>
      <c r="N18" s="2915"/>
      <c r="O18" s="2963"/>
      <c r="P18" s="3597"/>
      <c r="Q18" s="1544"/>
      <c r="R18" s="1654"/>
      <c r="S18" s="1655"/>
      <c r="T18" s="1654"/>
      <c r="U18" s="1655"/>
      <c r="V18" s="1654"/>
      <c r="W18" s="1655"/>
      <c r="X18" s="1594"/>
      <c r="Y18" s="3597"/>
      <c r="Z18" s="1656"/>
      <c r="AA18" s="1657">
        <v>1</v>
      </c>
      <c r="AB18" s="1657">
        <v>1</v>
      </c>
      <c r="AC18" s="1657">
        <v>1</v>
      </c>
    </row>
    <row r="19" spans="1:29" ht="71.25">
      <c r="A19" s="1596"/>
      <c r="B19" s="1905" t="s">
        <v>2145</v>
      </c>
      <c r="C19" s="1906" t="str">
        <f>估价对象房地状况!C17</f>
        <v>估价对象位于XX商圈，周边办公楼项目较多，入驻率高，办公集聚程度较好</v>
      </c>
      <c r="D19" s="1671">
        <v>100</v>
      </c>
      <c r="E19" s="1676"/>
      <c r="F19" s="1671">
        <f>SUMIF(91:91,E20,92:92)-SUMIF(91:91,C20,92:92)+100</f>
        <v>100</v>
      </c>
      <c r="G19" s="1676"/>
      <c r="H19" s="1664">
        <f>SUMIF(91:91,G20,92:92)-SUMIF(91:91,C20,92:92)+100</f>
        <v>100</v>
      </c>
      <c r="I19" s="1678"/>
      <c r="J19" s="1664">
        <f>SUMIF(91:91,I20,92:92)-SUMIF(91:91,C20,92:92)+100</f>
        <v>100</v>
      </c>
      <c r="K19" s="1899"/>
      <c r="L19" s="2919"/>
      <c r="M19" s="2915"/>
      <c r="N19" s="2915"/>
      <c r="O19" s="2963"/>
      <c r="P19" s="3597"/>
      <c r="Q19" s="1544" t="str">
        <f>B19</f>
        <v>办公集聚程度</v>
      </c>
      <c r="R19" s="1654" t="s">
        <v>25</v>
      </c>
      <c r="S19" s="1655">
        <f>F19</f>
        <v>100</v>
      </c>
      <c r="T19" s="1654" t="s">
        <v>25</v>
      </c>
      <c r="U19" s="1655">
        <f>H19</f>
        <v>100</v>
      </c>
      <c r="V19" s="1654" t="s">
        <v>25</v>
      </c>
      <c r="W19" s="1655">
        <f>J19</f>
        <v>100</v>
      </c>
      <c r="X19" s="1594"/>
      <c r="Y19" s="3597"/>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19"/>
      <c r="M20" s="2915"/>
      <c r="N20" s="2915"/>
      <c r="O20" s="2963"/>
      <c r="P20" s="3597"/>
      <c r="Q20" s="1544"/>
      <c r="R20" s="1654"/>
      <c r="S20" s="1655"/>
      <c r="T20" s="1654"/>
      <c r="U20" s="1655"/>
      <c r="V20" s="1654"/>
      <c r="W20" s="1655"/>
      <c r="X20" s="1594"/>
      <c r="Y20" s="3597"/>
      <c r="Z20" s="1656"/>
      <c r="AA20" s="1657">
        <v>1</v>
      </c>
      <c r="AB20" s="1657">
        <v>1</v>
      </c>
      <c r="AC20" s="1657">
        <v>1</v>
      </c>
    </row>
    <row r="21" spans="1:29" ht="85.5">
      <c r="A21" s="1596"/>
      <c r="B21" s="1905" t="s">
        <v>2168</v>
      </c>
      <c r="C21" s="1909" t="str">
        <f>估价对象房地状况!C18</f>
        <v>估价对象周边道路状况、公共交通通达情况、停车便捷程度，综合评价交通便捷度较好</v>
      </c>
      <c r="D21" s="1664">
        <v>100</v>
      </c>
      <c r="E21" s="1668"/>
      <c r="F21" s="1671">
        <f>SUMIF(93:93,E22,94:94)-SUMIF(93:93,C22,94:94)+100</f>
        <v>100</v>
      </c>
      <c r="G21" s="1668"/>
      <c r="H21" s="1664">
        <f>SUMIF(93:93,G22,94:94)-SUMIF(93:93,C22,94:94)+100</f>
        <v>100</v>
      </c>
      <c r="I21" s="1670"/>
      <c r="J21" s="1664">
        <f>SUMIF(93:93,I22,94:94)-SUMIF(93:93,C22,94:94)+100</f>
        <v>100</v>
      </c>
      <c r="K21" s="1899"/>
      <c r="L21" s="2919"/>
      <c r="M21" s="2915"/>
      <c r="N21" s="2915"/>
      <c r="O21" s="2963"/>
      <c r="P21" s="3597"/>
      <c r="Q21" s="1544" t="str">
        <f>B21</f>
        <v>交通便捷度</v>
      </c>
      <c r="R21" s="1654" t="s">
        <v>25</v>
      </c>
      <c r="S21" s="1655">
        <f>F21</f>
        <v>100</v>
      </c>
      <c r="T21" s="1654" t="s">
        <v>25</v>
      </c>
      <c r="U21" s="1655">
        <f>H21</f>
        <v>100</v>
      </c>
      <c r="V21" s="1654" t="s">
        <v>25</v>
      </c>
      <c r="W21" s="1655">
        <f>J21</f>
        <v>100</v>
      </c>
      <c r="X21" s="1594"/>
      <c r="Y21" s="3597"/>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19"/>
      <c r="M22" s="2915"/>
      <c r="N22" s="2915"/>
      <c r="O22" s="2963"/>
      <c r="P22" s="3597"/>
      <c r="Q22" s="1544"/>
      <c r="R22" s="1654"/>
      <c r="S22" s="1655"/>
      <c r="T22" s="1654"/>
      <c r="U22" s="1655"/>
      <c r="V22" s="1654"/>
      <c r="W22" s="1655"/>
      <c r="X22" s="1594"/>
      <c r="Y22" s="3597"/>
      <c r="Z22" s="1656"/>
      <c r="AA22" s="1657">
        <v>1</v>
      </c>
      <c r="AB22" s="1657">
        <v>1</v>
      </c>
      <c r="AC22" s="1657">
        <v>1</v>
      </c>
    </row>
    <row r="23" spans="1:29" ht="15">
      <c r="A23" s="1596"/>
      <c r="B23" s="1386" t="s">
        <v>2208</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19"/>
      <c r="M23" s="2915"/>
      <c r="N23" s="2915"/>
      <c r="O23" s="2963"/>
      <c r="P23" s="3597"/>
      <c r="Q23" s="1544" t="str">
        <f t="shared" ref="Q23:Q37" si="8">B23</f>
        <v>区域土地利用方向</v>
      </c>
      <c r="R23" s="1654" t="s">
        <v>25</v>
      </c>
      <c r="S23" s="1655">
        <f>F23</f>
        <v>100</v>
      </c>
      <c r="T23" s="1654" t="s">
        <v>25</v>
      </c>
      <c r="U23" s="1655">
        <f>H23</f>
        <v>100</v>
      </c>
      <c r="V23" s="1654" t="s">
        <v>25</v>
      </c>
      <c r="W23" s="1655">
        <f>J23</f>
        <v>100</v>
      </c>
      <c r="X23" s="1594"/>
      <c r="Y23" s="3597"/>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19"/>
      <c r="M24" s="2915"/>
      <c r="N24" s="2915"/>
      <c r="O24" s="2963"/>
      <c r="P24" s="3597"/>
      <c r="Q24" s="1544"/>
      <c r="R24" s="1654"/>
      <c r="S24" s="1655"/>
      <c r="T24" s="1654"/>
      <c r="U24" s="1655"/>
      <c r="V24" s="1654"/>
      <c r="W24" s="1655"/>
      <c r="X24" s="1594"/>
      <c r="Y24" s="3597"/>
      <c r="Z24" s="1656"/>
      <c r="AA24" s="1657"/>
      <c r="AB24" s="1657"/>
      <c r="AC24" s="1657"/>
    </row>
    <row r="25" spans="1:29" ht="57">
      <c r="A25" s="1596"/>
      <c r="B25" s="1910" t="s">
        <v>2209</v>
      </c>
      <c r="C25" s="1906" t="str">
        <f>估价对象房地状况!C20</f>
        <v>区域自然环境：；人文环境；综合评价环境状况一般</v>
      </c>
      <c r="D25" s="1664">
        <v>100</v>
      </c>
      <c r="E25" s="1668"/>
      <c r="F25" s="1664">
        <f>SUMIF(97:97,E26,98:98)-SUMIF(97:97,C26,98:98)+100</f>
        <v>100</v>
      </c>
      <c r="G25" s="1668"/>
      <c r="H25" s="1664">
        <f>SUMIF(97:97,G26,98:98)-SUMIF(97:97,C26,98:98)+100</f>
        <v>100</v>
      </c>
      <c r="I25" s="1670"/>
      <c r="J25" s="1664">
        <f>SUMIF(97:97,I26,98:98)-SUMIF(97:97,C26,98:98)+100</f>
        <v>100</v>
      </c>
      <c r="K25" s="1899"/>
      <c r="L25" s="2919"/>
      <c r="M25" s="2915"/>
      <c r="N25" s="2915"/>
      <c r="O25" s="2963"/>
      <c r="P25" s="3597"/>
      <c r="Q25" s="1544" t="str">
        <f t="shared" si="8"/>
        <v>自然及人文环境状况</v>
      </c>
      <c r="R25" s="1654" t="s">
        <v>25</v>
      </c>
      <c r="S25" s="1655">
        <f>F25</f>
        <v>100</v>
      </c>
      <c r="T25" s="1654" t="s">
        <v>25</v>
      </c>
      <c r="U25" s="1655">
        <f>H25</f>
        <v>100</v>
      </c>
      <c r="V25" s="1654" t="s">
        <v>25</v>
      </c>
      <c r="W25" s="1655">
        <f>J25</f>
        <v>100</v>
      </c>
      <c r="X25" s="1594"/>
      <c r="Y25" s="3597"/>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19"/>
      <c r="M26" s="2915"/>
      <c r="N26" s="2915"/>
      <c r="O26" s="2963"/>
      <c r="P26" s="3597"/>
      <c r="Q26" s="1544"/>
      <c r="R26" s="1654"/>
      <c r="S26" s="1655"/>
      <c r="T26" s="1654"/>
      <c r="U26" s="1655"/>
      <c r="V26" s="1654"/>
      <c r="W26" s="1655"/>
      <c r="X26" s="1594"/>
      <c r="Y26" s="3597"/>
      <c r="Z26" s="1656"/>
      <c r="AA26" s="1657">
        <v>1</v>
      </c>
      <c r="AB26" s="1657">
        <v>1</v>
      </c>
      <c r="AC26" s="1657">
        <v>1</v>
      </c>
    </row>
    <row r="27" spans="1:29" ht="42.75">
      <c r="A27" s="1596"/>
      <c r="B27" s="1910" t="s">
        <v>2117</v>
      </c>
      <c r="C27" s="1909" t="str">
        <f>估价对象房地状况!C21</f>
        <v>估价对象所在区域公共配套设施齐备情况</v>
      </c>
      <c r="D27" s="1664">
        <v>100</v>
      </c>
      <c r="E27" s="1668"/>
      <c r="F27" s="1664">
        <f>SUMIF(99:99,E28,100:100)-SUMIF(99:99,C28,100:100)+100</f>
        <v>100</v>
      </c>
      <c r="G27" s="1668"/>
      <c r="H27" s="1664">
        <f>SUMIF(99:99,G28,100:100)-SUMIF(99:99,C28,100:100)+100</f>
        <v>100</v>
      </c>
      <c r="I27" s="1670"/>
      <c r="J27" s="1664">
        <f>SUMIF(99:99,I28,100:100)-SUMIF(99:99,C28,100:100)+100</f>
        <v>100</v>
      </c>
      <c r="K27" s="1914"/>
      <c r="L27" s="2919"/>
      <c r="M27" s="2915"/>
      <c r="N27" s="2915"/>
      <c r="O27" s="2963"/>
      <c r="P27" s="3597"/>
      <c r="Q27" s="1563" t="str">
        <f t="shared" ref="Q27" si="9">B27</f>
        <v>公共配套设施</v>
      </c>
      <c r="R27" s="1609" t="s">
        <v>25</v>
      </c>
      <c r="S27" s="1610">
        <f>F27</f>
        <v>100</v>
      </c>
      <c r="T27" s="1609" t="s">
        <v>25</v>
      </c>
      <c r="U27" s="1610">
        <f>H27</f>
        <v>100</v>
      </c>
      <c r="V27" s="1609" t="s">
        <v>25</v>
      </c>
      <c r="W27" s="1610">
        <f>J27</f>
        <v>100</v>
      </c>
      <c r="X27" s="1594"/>
      <c r="Y27" s="3597"/>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19"/>
      <c r="M28" s="2915"/>
      <c r="N28" s="2915"/>
      <c r="O28" s="2963"/>
      <c r="P28" s="3597"/>
      <c r="Q28" s="1544"/>
      <c r="R28" s="1654"/>
      <c r="S28" s="1655"/>
      <c r="T28" s="1654"/>
      <c r="U28" s="1655"/>
      <c r="V28" s="1654"/>
      <c r="W28" s="1655"/>
      <c r="X28" s="1594"/>
      <c r="Y28" s="3597"/>
      <c r="Z28" s="1622"/>
      <c r="AA28" s="1657">
        <v>1</v>
      </c>
      <c r="AB28" s="1657">
        <v>1</v>
      </c>
      <c r="AC28" s="1657">
        <v>1</v>
      </c>
    </row>
    <row r="29" spans="1:29" s="1613" customFormat="1" ht="28.5">
      <c r="A29" s="1916"/>
      <c r="B29" s="1910" t="s">
        <v>2118</v>
      </c>
      <c r="C29" s="1917" t="str">
        <f>估价对象房地状况!C22</f>
        <v>估价对象所在区域基础设施水平</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4"/>
      <c r="M29" s="2887"/>
      <c r="N29" s="2887"/>
      <c r="O29" s="2961"/>
      <c r="P29" s="3597"/>
      <c r="Q29" s="1563" t="str">
        <f t="shared" si="8"/>
        <v>基础设施水平</v>
      </c>
      <c r="R29" s="1609" t="s">
        <v>25</v>
      </c>
      <c r="S29" s="1610">
        <f>F29</f>
        <v>100</v>
      </c>
      <c r="T29" s="1609" t="s">
        <v>25</v>
      </c>
      <c r="U29" s="1610">
        <f>H29</f>
        <v>100</v>
      </c>
      <c r="V29" s="1609" t="s">
        <v>25</v>
      </c>
      <c r="W29" s="1610">
        <f>J29</f>
        <v>100</v>
      </c>
      <c r="X29" s="1611"/>
      <c r="Y29" s="3597"/>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4"/>
      <c r="M30" s="2887"/>
      <c r="N30" s="2887"/>
      <c r="O30" s="2961"/>
      <c r="P30" s="3597"/>
      <c r="Q30" s="1563"/>
      <c r="R30" s="1609"/>
      <c r="S30" s="1610"/>
      <c r="T30" s="1609"/>
      <c r="U30" s="1610"/>
      <c r="V30" s="1609"/>
      <c r="W30" s="1610"/>
      <c r="X30" s="1611"/>
      <c r="Y30" s="3597"/>
      <c r="Z30" s="1622"/>
      <c r="AA30" s="1657">
        <v>1</v>
      </c>
      <c r="AB30" s="1657">
        <v>1</v>
      </c>
      <c r="AC30" s="1657">
        <v>1</v>
      </c>
    </row>
    <row r="31" spans="1:29" ht="15">
      <c r="A31" s="1596"/>
      <c r="B31" s="1907" t="s">
        <v>2119</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19"/>
      <c r="M31" s="2915"/>
      <c r="N31" s="2915"/>
      <c r="O31" s="2963"/>
      <c r="P31" s="3597"/>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597"/>
      <c r="Z31" s="1656" t="str">
        <f t="shared" ref="Z31:Z45" si="13">Q31</f>
        <v>临街状况</v>
      </c>
      <c r="AA31" s="1657">
        <f t="shared" si="3"/>
        <v>1</v>
      </c>
      <c r="AB31" s="1657">
        <f t="shared" si="4"/>
        <v>1</v>
      </c>
      <c r="AC31" s="1657">
        <f t="shared" si="5"/>
        <v>1</v>
      </c>
    </row>
    <row r="32" spans="1:29" ht="27">
      <c r="A32" s="1596"/>
      <c r="B32" s="1910" t="s">
        <v>2149</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19"/>
      <c r="M32" s="2915"/>
      <c r="N32" s="2915"/>
      <c r="O32" s="2963"/>
      <c r="P32" s="3597"/>
      <c r="Q32" s="1544" t="str">
        <f t="shared" si="8"/>
        <v>毗邻道路的类型与等级</v>
      </c>
      <c r="R32" s="1654" t="s">
        <v>25</v>
      </c>
      <c r="S32" s="1655">
        <f t="shared" si="10"/>
        <v>100</v>
      </c>
      <c r="T32" s="1654" t="s">
        <v>25</v>
      </c>
      <c r="U32" s="1655">
        <f t="shared" si="11"/>
        <v>100</v>
      </c>
      <c r="V32" s="1654" t="s">
        <v>25</v>
      </c>
      <c r="W32" s="1655">
        <f t="shared" si="12"/>
        <v>100</v>
      </c>
      <c r="X32" s="1594"/>
      <c r="Y32" s="3597"/>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19"/>
      <c r="M33" s="2915"/>
      <c r="N33" s="2915"/>
      <c r="O33" s="2963"/>
      <c r="P33" s="3597"/>
      <c r="Q33" s="1544"/>
      <c r="R33" s="1654"/>
      <c r="S33" s="1655"/>
      <c r="T33" s="1654"/>
      <c r="U33" s="1655"/>
      <c r="V33" s="1654"/>
      <c r="W33" s="1655"/>
      <c r="X33" s="1594"/>
      <c r="Y33" s="3597"/>
      <c r="Z33" s="1656"/>
      <c r="AA33" s="1657">
        <v>1</v>
      </c>
      <c r="AB33" s="1657">
        <v>1</v>
      </c>
      <c r="AC33" s="1657">
        <v>1</v>
      </c>
    </row>
    <row r="34" spans="1:29" ht="15">
      <c r="A34" s="1596"/>
      <c r="B34" s="1919" t="s">
        <v>2210</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19"/>
      <c r="M34" s="2915"/>
      <c r="N34" s="2915"/>
      <c r="O34" s="2963"/>
      <c r="P34" s="3597"/>
      <c r="Q34" s="1544" t="str">
        <f t="shared" si="8"/>
        <v>土地级别</v>
      </c>
      <c r="R34" s="1654" t="s">
        <v>25</v>
      </c>
      <c r="S34" s="1655">
        <f t="shared" si="10"/>
        <v>100</v>
      </c>
      <c r="T34" s="1654" t="s">
        <v>25</v>
      </c>
      <c r="U34" s="1655">
        <f t="shared" si="11"/>
        <v>100</v>
      </c>
      <c r="V34" s="1654" t="s">
        <v>25</v>
      </c>
      <c r="W34" s="1655">
        <f t="shared" si="12"/>
        <v>100</v>
      </c>
      <c r="X34" s="1594"/>
      <c r="Y34" s="3597"/>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19"/>
      <c r="M35" s="2915"/>
      <c r="N35" s="2915"/>
      <c r="O35" s="2963"/>
      <c r="P35" s="3597"/>
      <c r="Q35" s="1544">
        <f t="shared" si="8"/>
        <v>111</v>
      </c>
      <c r="R35" s="1654" t="s">
        <v>25</v>
      </c>
      <c r="S35" s="1655">
        <f t="shared" si="10"/>
        <v>100</v>
      </c>
      <c r="T35" s="1654" t="s">
        <v>25</v>
      </c>
      <c r="U35" s="1655">
        <f t="shared" si="11"/>
        <v>100</v>
      </c>
      <c r="V35" s="1654" t="s">
        <v>25</v>
      </c>
      <c r="W35" s="1655">
        <f t="shared" si="12"/>
        <v>100</v>
      </c>
      <c r="X35" s="1594"/>
      <c r="Y35" s="3597"/>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19"/>
      <c r="M36" s="2915"/>
      <c r="N36" s="2915"/>
      <c r="O36" s="2963"/>
      <c r="P36" s="3598" t="s">
        <v>2037</v>
      </c>
      <c r="Q36" s="1544">
        <f t="shared" si="8"/>
        <v>111</v>
      </c>
      <c r="R36" s="1654" t="s">
        <v>25</v>
      </c>
      <c r="S36" s="1655">
        <f t="shared" si="10"/>
        <v>100</v>
      </c>
      <c r="T36" s="1654" t="s">
        <v>25</v>
      </c>
      <c r="U36" s="1655">
        <f t="shared" si="11"/>
        <v>100</v>
      </c>
      <c r="V36" s="1654" t="s">
        <v>25</v>
      </c>
      <c r="W36" s="1655">
        <f t="shared" si="12"/>
        <v>100</v>
      </c>
      <c r="X36" s="1594"/>
      <c r="Y36" s="3599" t="s">
        <v>2037</v>
      </c>
      <c r="Z36" s="1656">
        <f t="shared" si="13"/>
        <v>111</v>
      </c>
      <c r="AA36" s="1657">
        <f t="shared" si="3"/>
        <v>1</v>
      </c>
      <c r="AB36" s="1657">
        <f t="shared" si="4"/>
        <v>1</v>
      </c>
      <c r="AC36" s="1657">
        <f t="shared" si="5"/>
        <v>1</v>
      </c>
    </row>
    <row r="37" spans="1:29" s="1700" customFormat="1" ht="15.75"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8"/>
      <c r="M37" s="1988"/>
      <c r="N37" s="1988"/>
      <c r="O37" s="2964"/>
      <c r="P37" s="3599"/>
      <c r="Q37" s="1544">
        <f t="shared" si="8"/>
        <v>111</v>
      </c>
      <c r="R37" s="1696" t="s">
        <v>25</v>
      </c>
      <c r="S37" s="1697">
        <f t="shared" si="10"/>
        <v>100</v>
      </c>
      <c r="T37" s="1696" t="s">
        <v>25</v>
      </c>
      <c r="U37" s="1697">
        <f t="shared" si="11"/>
        <v>100</v>
      </c>
      <c r="V37" s="1696" t="s">
        <v>25</v>
      </c>
      <c r="W37" s="1697">
        <f t="shared" si="12"/>
        <v>100</v>
      </c>
      <c r="X37" s="1698"/>
      <c r="Y37" s="3599"/>
      <c r="Z37" s="1699">
        <f t="shared" si="13"/>
        <v>111</v>
      </c>
      <c r="AA37" s="1657">
        <f t="shared" si="3"/>
        <v>1</v>
      </c>
      <c r="AB37" s="1657">
        <f t="shared" si="4"/>
        <v>1</v>
      </c>
      <c r="AC37" s="1657">
        <f t="shared" si="5"/>
        <v>1</v>
      </c>
    </row>
    <row r="38" spans="1:29" ht="15">
      <c r="A38" s="1591" t="s">
        <v>2035</v>
      </c>
      <c r="B38" s="1672" t="s">
        <v>2211</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19"/>
      <c r="M38" s="2915"/>
      <c r="N38" s="2915"/>
      <c r="O38" s="2963"/>
      <c r="P38" s="3599"/>
      <c r="Q38" s="1544" t="str">
        <f>B38</f>
        <v>宗地面积</v>
      </c>
      <c r="R38" s="1654" t="s">
        <v>25</v>
      </c>
      <c r="S38" s="1655" t="e">
        <f t="shared" si="10"/>
        <v>#N/A</v>
      </c>
      <c r="T38" s="1654" t="s">
        <v>25</v>
      </c>
      <c r="U38" s="1655" t="e">
        <f t="shared" si="11"/>
        <v>#N/A</v>
      </c>
      <c r="V38" s="1654" t="s">
        <v>25</v>
      </c>
      <c r="W38" s="1655" t="e">
        <f t="shared" si="12"/>
        <v>#N/A</v>
      </c>
      <c r="X38" s="1594"/>
      <c r="Y38" s="3599"/>
      <c r="Z38" s="1656" t="str">
        <f t="shared" si="13"/>
        <v>宗地面积</v>
      </c>
      <c r="AA38" s="1657" t="e">
        <f t="shared" si="3"/>
        <v>#N/A</v>
      </c>
      <c r="AB38" s="1657" t="e">
        <f t="shared" si="4"/>
        <v>#N/A</v>
      </c>
      <c r="AC38" s="1657" t="e">
        <f t="shared" si="5"/>
        <v>#N/A</v>
      </c>
    </row>
    <row r="39" spans="1:29" ht="15">
      <c r="A39" s="1701"/>
      <c r="B39" s="1624" t="s">
        <v>2212</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19"/>
      <c r="M39" s="2915"/>
      <c r="N39" s="2915"/>
      <c r="O39" s="2963"/>
      <c r="P39" s="3599"/>
      <c r="Q39" s="1544" t="str">
        <f t="shared" ref="Q39:Q45" si="14">B39</f>
        <v>宗地形状</v>
      </c>
      <c r="R39" s="1654" t="s">
        <v>25</v>
      </c>
      <c r="S39" s="1655">
        <f t="shared" si="10"/>
        <v>100</v>
      </c>
      <c r="T39" s="1654" t="s">
        <v>25</v>
      </c>
      <c r="U39" s="1655">
        <f t="shared" si="11"/>
        <v>100</v>
      </c>
      <c r="V39" s="1654" t="s">
        <v>25</v>
      </c>
      <c r="W39" s="1655">
        <f t="shared" si="12"/>
        <v>100</v>
      </c>
      <c r="X39" s="1594"/>
      <c r="Y39" s="3599"/>
      <c r="Z39" s="1656" t="str">
        <f t="shared" si="13"/>
        <v>宗地形状</v>
      </c>
      <c r="AA39" s="1657">
        <f t="shared" si="3"/>
        <v>1</v>
      </c>
      <c r="AB39" s="1657">
        <f t="shared" si="4"/>
        <v>1</v>
      </c>
      <c r="AC39" s="1657">
        <f t="shared" si="5"/>
        <v>1</v>
      </c>
    </row>
    <row r="40" spans="1:29" ht="15">
      <c r="A40" s="1701"/>
      <c r="B40" s="1624" t="s">
        <v>2213</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19"/>
      <c r="M40" s="2915"/>
      <c r="N40" s="2915"/>
      <c r="O40" s="2963"/>
      <c r="P40" s="3599"/>
      <c r="Q40" s="1544" t="str">
        <f t="shared" si="14"/>
        <v>临街宽度及深度</v>
      </c>
      <c r="R40" s="1654" t="s">
        <v>25</v>
      </c>
      <c r="S40" s="1655">
        <f t="shared" si="10"/>
        <v>100</v>
      </c>
      <c r="T40" s="1654" t="s">
        <v>25</v>
      </c>
      <c r="U40" s="1655">
        <f t="shared" si="11"/>
        <v>100</v>
      </c>
      <c r="V40" s="1654" t="s">
        <v>25</v>
      </c>
      <c r="W40" s="1655">
        <f t="shared" si="12"/>
        <v>100</v>
      </c>
      <c r="X40" s="1594"/>
      <c r="Y40" s="3599"/>
      <c r="Z40" s="1656" t="str">
        <f t="shared" si="13"/>
        <v>临街宽度及深度</v>
      </c>
      <c r="AA40" s="1657">
        <f t="shared" si="3"/>
        <v>1</v>
      </c>
      <c r="AB40" s="1657">
        <f t="shared" si="4"/>
        <v>1</v>
      </c>
      <c r="AC40" s="1657">
        <f t="shared" si="5"/>
        <v>1</v>
      </c>
    </row>
    <row r="41" spans="1:29" s="1613" customFormat="1" ht="15">
      <c r="A41" s="1704"/>
      <c r="B41" s="1624" t="s">
        <v>2214</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4"/>
      <c r="M41" s="2887"/>
      <c r="N41" s="2887"/>
      <c r="O41" s="2961"/>
      <c r="P41" s="3599"/>
      <c r="Q41" s="1544" t="str">
        <f t="shared" si="14"/>
        <v>宗地开发程度</v>
      </c>
      <c r="R41" s="1609" t="s">
        <v>25</v>
      </c>
      <c r="S41" s="1610">
        <f t="shared" si="10"/>
        <v>100</v>
      </c>
      <c r="T41" s="1609" t="s">
        <v>25</v>
      </c>
      <c r="U41" s="1610">
        <f t="shared" si="11"/>
        <v>100</v>
      </c>
      <c r="V41" s="1609" t="s">
        <v>25</v>
      </c>
      <c r="W41" s="1610">
        <f t="shared" si="12"/>
        <v>100</v>
      </c>
      <c r="X41" s="1611"/>
      <c r="Y41" s="3599"/>
      <c r="Z41" s="1622" t="str">
        <f t="shared" si="13"/>
        <v>宗地开发程度</v>
      </c>
      <c r="AA41" s="1612">
        <f t="shared" si="3"/>
        <v>1</v>
      </c>
      <c r="AB41" s="1612">
        <f t="shared" si="4"/>
        <v>1</v>
      </c>
      <c r="AC41" s="1612">
        <f t="shared" si="5"/>
        <v>1</v>
      </c>
    </row>
    <row r="42" spans="1:29" ht="15">
      <c r="A42" s="1701"/>
      <c r="B42" s="1624" t="s">
        <v>2215</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19"/>
      <c r="M42" s="2915"/>
      <c r="N42" s="2915"/>
      <c r="O42" s="2963"/>
      <c r="P42" s="3599" t="s">
        <v>2037</v>
      </c>
      <c r="Q42" s="1544" t="str">
        <f t="shared" si="14"/>
        <v>工程地质条件</v>
      </c>
      <c r="R42" s="1654" t="s">
        <v>25</v>
      </c>
      <c r="S42" s="1655">
        <f t="shared" si="10"/>
        <v>100</v>
      </c>
      <c r="T42" s="1654" t="s">
        <v>25</v>
      </c>
      <c r="U42" s="1655">
        <f t="shared" si="11"/>
        <v>100</v>
      </c>
      <c r="V42" s="1654" t="s">
        <v>25</v>
      </c>
      <c r="W42" s="1655">
        <f t="shared" si="12"/>
        <v>100</v>
      </c>
      <c r="X42" s="1594"/>
      <c r="Y42" s="3599" t="s">
        <v>2037</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19"/>
      <c r="M43" s="2915"/>
      <c r="N43" s="2915"/>
      <c r="O43" s="2963"/>
      <c r="P43" s="3599"/>
      <c r="Q43" s="1544">
        <f t="shared" si="14"/>
        <v>111</v>
      </c>
      <c r="R43" s="1654" t="s">
        <v>25</v>
      </c>
      <c r="S43" s="1655">
        <f t="shared" si="10"/>
        <v>100</v>
      </c>
      <c r="T43" s="1654" t="s">
        <v>25</v>
      </c>
      <c r="U43" s="1655">
        <f t="shared" si="11"/>
        <v>100</v>
      </c>
      <c r="V43" s="1654" t="s">
        <v>25</v>
      </c>
      <c r="W43" s="1655">
        <f t="shared" si="12"/>
        <v>100</v>
      </c>
      <c r="X43" s="1594"/>
      <c r="Y43" s="3599"/>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19"/>
      <c r="M44" s="2915"/>
      <c r="N44" s="2915"/>
      <c r="O44" s="2963"/>
      <c r="P44" s="3599"/>
      <c r="Q44" s="1544">
        <f t="shared" si="14"/>
        <v>111</v>
      </c>
      <c r="R44" s="1654" t="s">
        <v>25</v>
      </c>
      <c r="S44" s="1655">
        <f t="shared" si="10"/>
        <v>100</v>
      </c>
      <c r="T44" s="1654" t="s">
        <v>25</v>
      </c>
      <c r="U44" s="1655">
        <f t="shared" si="11"/>
        <v>100</v>
      </c>
      <c r="V44" s="1654" t="s">
        <v>25</v>
      </c>
      <c r="W44" s="1655">
        <f t="shared" si="12"/>
        <v>100</v>
      </c>
      <c r="X44" s="1594"/>
      <c r="Y44" s="3599"/>
      <c r="Z44" s="1656">
        <f t="shared" si="13"/>
        <v>111</v>
      </c>
      <c r="AA44" s="1657">
        <f t="shared" si="3"/>
        <v>1</v>
      </c>
      <c r="AB44" s="1657">
        <f t="shared" si="4"/>
        <v>1</v>
      </c>
      <c r="AC44" s="1657">
        <f t="shared" si="5"/>
        <v>1</v>
      </c>
    </row>
    <row r="45" spans="1:29" s="1700" customFormat="1" ht="15.75" thickBot="1">
      <c r="A45" s="1693"/>
      <c r="B45" s="1932">
        <v>111</v>
      </c>
      <c r="C45" s="1933"/>
      <c r="D45" s="3064">
        <v>100</v>
      </c>
      <c r="E45" s="1900"/>
      <c r="F45" s="1644">
        <f>SUMIF(130:130,E45,131:131)-SUMIF(130:130,C45,131:131)+100</f>
        <v>100</v>
      </c>
      <c r="G45" s="1900"/>
      <c r="H45" s="1644">
        <f>SUMIF(130:130,G45,131:131)-SUMIF(130:130,C45,131:131)+100</f>
        <v>100</v>
      </c>
      <c r="I45" s="1900"/>
      <c r="J45" s="1644">
        <f>SUMIF(130:130,I45,131:131)-SUMIF(130:130,C45,131:131)+100</f>
        <v>100</v>
      </c>
      <c r="K45" s="1934"/>
      <c r="L45" s="2918"/>
      <c r="M45" s="1988"/>
      <c r="N45" s="1988"/>
      <c r="O45" s="2964"/>
      <c r="P45" s="3599"/>
      <c r="Q45" s="1544">
        <f t="shared" si="14"/>
        <v>111</v>
      </c>
      <c r="R45" s="1696" t="s">
        <v>25</v>
      </c>
      <c r="S45" s="1697">
        <f t="shared" si="10"/>
        <v>100</v>
      </c>
      <c r="T45" s="1696" t="s">
        <v>25</v>
      </c>
      <c r="U45" s="1697">
        <f t="shared" si="11"/>
        <v>100</v>
      </c>
      <c r="V45" s="1696" t="s">
        <v>25</v>
      </c>
      <c r="W45" s="1697">
        <f t="shared" si="12"/>
        <v>100</v>
      </c>
      <c r="X45" s="1698"/>
      <c r="Y45" s="3599"/>
      <c r="Z45" s="1699">
        <f t="shared" si="13"/>
        <v>111</v>
      </c>
      <c r="AA45" s="1657">
        <f t="shared" si="3"/>
        <v>1</v>
      </c>
      <c r="AB45" s="1657">
        <f t="shared" si="4"/>
        <v>1</v>
      </c>
      <c r="AC45" s="1657">
        <f t="shared" si="5"/>
        <v>1</v>
      </c>
    </row>
    <row r="46" spans="1:29" ht="15">
      <c r="A46" s="1710" t="s">
        <v>2179</v>
      </c>
      <c r="B46" s="1935" t="s">
        <v>2216</v>
      </c>
      <c r="C46" s="1936" t="s">
        <v>1</v>
      </c>
      <c r="D46" s="1937"/>
      <c r="E46" s="1938"/>
      <c r="F46" s="1939"/>
      <c r="G46" s="1940"/>
      <c r="H46" s="1941"/>
      <c r="I46" s="1938"/>
      <c r="J46" s="1941"/>
      <c r="K46" s="1942"/>
      <c r="L46" s="2920"/>
      <c r="N46" s="2915"/>
      <c r="P46" s="3568" t="str">
        <f>A46</f>
        <v>成交单价</v>
      </c>
      <c r="Q46" s="3568"/>
      <c r="R46" s="3592">
        <f>E46</f>
        <v>0</v>
      </c>
      <c r="S46" s="3592"/>
      <c r="T46" s="3592">
        <f>G46</f>
        <v>0</v>
      </c>
      <c r="U46" s="3592"/>
      <c r="V46" s="3592">
        <f>I46</f>
        <v>0</v>
      </c>
      <c r="W46" s="3592"/>
      <c r="X46" s="1720"/>
      <c r="Y46" s="1721"/>
      <c r="Z46" s="1720"/>
      <c r="AA46" s="1720"/>
      <c r="AB46" s="1720"/>
      <c r="AC46" s="1720"/>
    </row>
    <row r="47" spans="1:29" ht="15.75" thickBot="1">
      <c r="A47" s="1722" t="s">
        <v>2132</v>
      </c>
      <c r="B47" s="1943"/>
      <c r="C47" s="1944" t="e">
        <f>R48</f>
        <v>#DIV/0!</v>
      </c>
      <c r="D47" s="1725" t="s">
        <v>2503</v>
      </c>
      <c r="E47" s="1944" t="e">
        <f>R47</f>
        <v>#DIV/0!</v>
      </c>
      <c r="F47" s="1727"/>
      <c r="G47" s="1945" t="e">
        <f>T47</f>
        <v>#DIV/0!</v>
      </c>
      <c r="H47" s="1727"/>
      <c r="I47" s="1944" t="e">
        <f>V47</f>
        <v>#DIV/0!</v>
      </c>
      <c r="J47" s="1727"/>
      <c r="K47" s="2429">
        <f>F47+H47+J47</f>
        <v>0</v>
      </c>
      <c r="L47" s="2920"/>
      <c r="P47" s="3568" t="str">
        <f>A47</f>
        <v>比较价值（元/平方米）</v>
      </c>
      <c r="Q47" s="3568"/>
      <c r="R47" s="3684" t="e">
        <f>ROUND(PRODUCT(R46,AA7:AA45),0)</f>
        <v>#DIV/0!</v>
      </c>
      <c r="S47" s="3684"/>
      <c r="T47" s="3684" t="e">
        <f>ROUND(PRODUCT(T46,AB7:AB45),0)</f>
        <v>#DIV/0!</v>
      </c>
      <c r="U47" s="3684"/>
      <c r="V47" s="3684" t="e">
        <f>ROUND(PRODUCT(V46,AC7:AC45),0)</f>
        <v>#DIV/0!</v>
      </c>
      <c r="W47" s="3684"/>
      <c r="X47" s="1720"/>
      <c r="Y47" s="1720"/>
      <c r="Z47" s="1720"/>
      <c r="AA47" s="1720"/>
      <c r="AB47" s="1720"/>
      <c r="AC47" s="1720"/>
    </row>
    <row r="48" spans="1:29" ht="15.75" thickBot="1">
      <c r="A48" s="1728" t="s">
        <v>2155</v>
      </c>
      <c r="B48" s="1729"/>
      <c r="C48" s="1946" t="e">
        <f>R48</f>
        <v>#DIV/0!</v>
      </c>
      <c r="D48" s="1946"/>
      <c r="E48" s="1946"/>
      <c r="F48" s="1946"/>
      <c r="G48" s="1946"/>
      <c r="H48" s="1946"/>
      <c r="I48" s="1946"/>
      <c r="J48" s="1946"/>
      <c r="K48" s="1947"/>
      <c r="L48" s="2920"/>
      <c r="P48" s="3602" t="str">
        <f>A48</f>
        <v>估价对象XX用房的比较价值（楼面单价，元/平方米）</v>
      </c>
      <c r="Q48" s="3603"/>
      <c r="R48" s="3685" t="e">
        <f>ROUND(IF(D47="简单平均",AVERAGE(R47:W47),R47*F47+T47*H47+V47*J47),0)</f>
        <v>#DIV/0!</v>
      </c>
      <c r="S48" s="3685"/>
      <c r="T48" s="3685"/>
      <c r="U48" s="3685"/>
      <c r="V48" s="3685"/>
      <c r="W48" s="3685"/>
      <c r="X48" s="1720"/>
      <c r="Y48" s="1720"/>
      <c r="Z48" s="1720"/>
      <c r="AA48" s="1720"/>
      <c r="AB48" s="1720"/>
      <c r="AC48" s="1720"/>
    </row>
    <row r="49" spans="1:14">
      <c r="G49" s="2924"/>
    </row>
    <row r="51" spans="1:14" ht="13.5" customHeight="1">
      <c r="C51" s="383" t="s">
        <v>2134</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2135</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2136</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7"/>
      <c r="L53" s="2921"/>
    </row>
    <row r="54" spans="1:14" s="1742" customFormat="1" ht="15" thickBot="1">
      <c r="B54" s="2925"/>
      <c r="C54" s="2926"/>
      <c r="K54" s="2927"/>
      <c r="L54" s="2921"/>
    </row>
    <row r="55" spans="1:14" ht="27">
      <c r="A55" s="564" t="s">
        <v>2217</v>
      </c>
      <c r="B55" s="1948" t="s">
        <v>2218</v>
      </c>
      <c r="C55" s="1949" t="s">
        <v>2219</v>
      </c>
      <c r="D55" s="1950" t="s">
        <v>2220</v>
      </c>
      <c r="E55" s="1951" t="s">
        <v>2221</v>
      </c>
      <c r="F55" s="1952" t="s">
        <v>2222</v>
      </c>
      <c r="G55" s="1847" t="s">
        <v>2223</v>
      </c>
      <c r="H55" s="1847" t="str">
        <f>项目基本情况!G8</f>
        <v>XX</v>
      </c>
      <c r="I55" s="1522" t="s">
        <v>2224</v>
      </c>
      <c r="J55" s="1953"/>
      <c r="K55" s="1734"/>
    </row>
    <row r="56" spans="1:14" s="1960" customFormat="1">
      <c r="A56" s="1954" t="s">
        <v>2225</v>
      </c>
      <c r="B56" s="1955" t="e">
        <f>C48</f>
        <v>#DIV/0!</v>
      </c>
      <c r="C56" s="280">
        <v>1</v>
      </c>
      <c r="D56" s="1956">
        <v>1</v>
      </c>
      <c r="E56" s="1957">
        <v>120</v>
      </c>
      <c r="F56" s="1958" t="e">
        <f t="shared" ref="F56:F64" si="15">ROUND(B56*E56,0)</f>
        <v>#DIV/0!</v>
      </c>
      <c r="G56" s="1959">
        <v>1</v>
      </c>
      <c r="H56" s="1959">
        <v>1</v>
      </c>
      <c r="I56" s="1742"/>
      <c r="J56" s="1742"/>
      <c r="K56" s="2927"/>
      <c r="L56" s="2921"/>
      <c r="M56" s="1742"/>
      <c r="N56" s="1742"/>
    </row>
    <row r="57" spans="1:14" s="1960" customFormat="1">
      <c r="A57" s="1961" t="s">
        <v>2226</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2227</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7"/>
      <c r="L58" s="2921"/>
      <c r="M58" s="1742"/>
      <c r="N58" s="1742"/>
    </row>
    <row r="59" spans="1:14" s="1960" customFormat="1">
      <c r="A59" s="1961" t="s">
        <v>2228</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2229</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2230</v>
      </c>
      <c r="B61" s="1962" t="e">
        <f t="shared" si="16"/>
        <v>#DIV/0!</v>
      </c>
      <c r="C61" s="50">
        <f t="shared" si="17"/>
        <v>0</v>
      </c>
      <c r="D61" s="1963">
        <v>0.25</v>
      </c>
      <c r="E61" s="1957">
        <v>0</v>
      </c>
      <c r="F61" s="1958" t="e">
        <f t="shared" si="15"/>
        <v>#DIV/0!</v>
      </c>
      <c r="G61" s="1959">
        <f>SUMIF(修正!A57:A68,项目基本情况!F9,修正!F57:F68)</f>
        <v>0</v>
      </c>
      <c r="H61" s="1964"/>
      <c r="I61" s="1742"/>
      <c r="J61" s="1742"/>
      <c r="K61" s="2927"/>
      <c r="L61" s="2921"/>
      <c r="M61" s="1742"/>
      <c r="N61" s="1742"/>
    </row>
    <row r="62" spans="1:14" s="1960" customFormat="1">
      <c r="A62" s="1961" t="s">
        <v>2231</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2232</v>
      </c>
      <c r="B63" s="1962" t="e">
        <f t="shared" si="16"/>
        <v>#DIV/0!</v>
      </c>
      <c r="C63" s="50">
        <f t="shared" si="17"/>
        <v>0</v>
      </c>
      <c r="D63" s="1963">
        <v>0.25</v>
      </c>
      <c r="E63" s="1957">
        <v>0</v>
      </c>
      <c r="F63" s="1958" t="e">
        <f t="shared" si="15"/>
        <v>#DIV/0!</v>
      </c>
      <c r="G63" s="1959">
        <f>G62</f>
        <v>0</v>
      </c>
      <c r="H63" s="1964"/>
      <c r="I63" s="1742"/>
      <c r="J63" s="1742"/>
      <c r="K63" s="2927"/>
      <c r="L63" s="2921"/>
      <c r="M63" s="1742"/>
      <c r="N63" s="1742"/>
    </row>
    <row r="64" spans="1:14" s="1960" customFormat="1">
      <c r="A64" s="1961" t="s">
        <v>2233</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ht="13.5" thickBot="1">
      <c r="A65" s="1965" t="s">
        <v>2234</v>
      </c>
      <c r="B65" s="1966" t="s">
        <v>39</v>
      </c>
      <c r="C65" s="1966" t="s">
        <v>40</v>
      </c>
      <c r="D65" s="1966" t="s">
        <v>36</v>
      </c>
      <c r="E65" s="1966">
        <f>SUM(E56:E64)</f>
        <v>120</v>
      </c>
      <c r="F65" s="1967" t="e">
        <f>SUM(F56:F64)</f>
        <v>#DIV/0!</v>
      </c>
      <c r="G65" s="1968"/>
      <c r="H65" s="1968"/>
      <c r="I65" s="2965"/>
      <c r="J65" s="2965"/>
      <c r="K65" s="2965"/>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2022-4-1</v>
      </c>
      <c r="D67" s="1969">
        <f>EDATE(C67,-3)</f>
        <v>44562</v>
      </c>
      <c r="E67" s="1969">
        <f t="shared" ref="E67:O67" si="18">EDATE(D67,-3)</f>
        <v>44470</v>
      </c>
      <c r="F67" s="1969">
        <f t="shared" si="18"/>
        <v>44378</v>
      </c>
      <c r="G67" s="1969">
        <f t="shared" si="18"/>
        <v>44287</v>
      </c>
      <c r="H67" s="1969">
        <f t="shared" si="18"/>
        <v>44197</v>
      </c>
      <c r="I67" s="1969">
        <f t="shared" si="18"/>
        <v>44105</v>
      </c>
      <c r="J67" s="1969">
        <f t="shared" si="18"/>
        <v>44013</v>
      </c>
      <c r="K67" s="1969">
        <f t="shared" si="18"/>
        <v>43922</v>
      </c>
      <c r="L67" s="1969">
        <f t="shared" si="18"/>
        <v>43831</v>
      </c>
      <c r="M67" s="1969">
        <f t="shared" si="18"/>
        <v>43739</v>
      </c>
      <c r="N67" s="1969">
        <f t="shared" si="18"/>
        <v>43647</v>
      </c>
      <c r="O67" s="1969">
        <f t="shared" si="18"/>
        <v>43556</v>
      </c>
    </row>
    <row r="68" spans="1:17" ht="21.75" thickBot="1">
      <c r="A68" s="1745" t="s">
        <v>2137</v>
      </c>
      <c r="B68" s="1720"/>
      <c r="C68" s="1746"/>
      <c r="D68" s="1746"/>
      <c r="E68" s="1746"/>
      <c r="F68" s="1746"/>
      <c r="G68" s="1746"/>
      <c r="H68" s="1746"/>
      <c r="I68" s="1971"/>
      <c r="J68" s="1971"/>
      <c r="K68" s="1972"/>
      <c r="L68" s="1973"/>
      <c r="M68" s="1971"/>
      <c r="N68" s="1971"/>
      <c r="O68" s="1971"/>
      <c r="P68" s="1974"/>
      <c r="Q68" s="1750"/>
    </row>
    <row r="69" spans="1:17" s="1979" customFormat="1" ht="15">
      <c r="A69" s="1975" t="s">
        <v>2235</v>
      </c>
      <c r="B69" s="1976"/>
      <c r="C69" s="1977" t="str">
        <f>YEAR(C67)&amp;"-"&amp;ROUNDUP(MONTH(C67)/3,0)</f>
        <v>2022-2</v>
      </c>
      <c r="D69" s="1977" t="str">
        <f>YEAR(D67)&amp;"-"&amp;ROUNDUP(MONTH(D67)/3,0)</f>
        <v>2022-1</v>
      </c>
      <c r="E69" s="1977" t="str">
        <f t="shared" ref="E69:O69" si="19">YEAR(E67)&amp;"-"&amp;ROUNDUP(MONTH(E67)/3,0)</f>
        <v>2021-4</v>
      </c>
      <c r="F69" s="1977" t="str">
        <f t="shared" si="19"/>
        <v>2021-3</v>
      </c>
      <c r="G69" s="1977" t="str">
        <f t="shared" si="19"/>
        <v>2021-2</v>
      </c>
      <c r="H69" s="1977" t="str">
        <f t="shared" si="19"/>
        <v>2021-1</v>
      </c>
      <c r="I69" s="1977" t="str">
        <f t="shared" si="19"/>
        <v>2020-4</v>
      </c>
      <c r="J69" s="1977" t="str">
        <f t="shared" si="19"/>
        <v>2020-3</v>
      </c>
      <c r="K69" s="1977" t="str">
        <f t="shared" si="19"/>
        <v>2020-2</v>
      </c>
      <c r="L69" s="1977" t="str">
        <f t="shared" si="19"/>
        <v>2020-1</v>
      </c>
      <c r="M69" s="1977" t="str">
        <f t="shared" si="19"/>
        <v>2019-4</v>
      </c>
      <c r="N69" s="1977" t="str">
        <f t="shared" si="19"/>
        <v>2019-3</v>
      </c>
      <c r="O69" s="1977" t="str">
        <f t="shared" si="19"/>
        <v>2019-2</v>
      </c>
      <c r="P69" s="1978"/>
    </row>
    <row r="70" spans="1:17" s="1613" customFormat="1" ht="29.25" customHeight="1">
      <c r="A70" s="1980" t="s">
        <v>2236</v>
      </c>
      <c r="B70" s="1981" t="str">
        <f>"北京市平均增长率"&amp;TEXT(SUMIF(基准地价修正!N21:N25,A70,基准地价修正!P21:P25),"0.00%")</f>
        <v>北京市平均增长率1.00%</v>
      </c>
      <c r="C70" s="1834">
        <v>100</v>
      </c>
      <c r="D70" s="1830"/>
      <c r="E70" s="1830"/>
      <c r="F70" s="1830"/>
      <c r="G70" s="1830"/>
      <c r="H70" s="1830"/>
      <c r="I70" s="1830"/>
      <c r="J70" s="1830"/>
      <c r="K70" s="1830"/>
      <c r="L70" s="1830"/>
      <c r="M70" s="1982"/>
      <c r="N70" s="1830"/>
      <c r="O70" s="1983"/>
      <c r="P70" s="1750"/>
    </row>
    <row r="71" spans="1:17" s="1613" customFormat="1" ht="15.75" thickBot="1">
      <c r="A71" s="1763" t="s">
        <v>2057</v>
      </c>
      <c r="B71" s="1764"/>
      <c r="C71" s="1765"/>
      <c r="D71" s="1766"/>
      <c r="E71" s="1766"/>
      <c r="F71" s="1766"/>
      <c r="G71" s="1766"/>
      <c r="H71" s="1766"/>
      <c r="I71" s="1766"/>
      <c r="J71" s="1766"/>
      <c r="K71" s="1766"/>
      <c r="L71" s="1766"/>
      <c r="M71" s="1767"/>
      <c r="N71" s="1766"/>
      <c r="O71" s="1984"/>
      <c r="P71" s="1750"/>
      <c r="Q71" s="1750"/>
    </row>
    <row r="72" spans="1:17" s="1613" customFormat="1" ht="15">
      <c r="A72" s="1768" t="s">
        <v>2021</v>
      </c>
      <c r="B72" s="1758"/>
      <c r="C72" s="1769" t="s">
        <v>2022</v>
      </c>
      <c r="D72" s="409"/>
      <c r="E72" s="409"/>
      <c r="F72" s="409"/>
      <c r="G72" s="409"/>
      <c r="H72" s="409"/>
      <c r="I72" s="409"/>
      <c r="J72" s="409"/>
      <c r="K72" s="409"/>
      <c r="L72" s="409"/>
      <c r="M72" s="1770"/>
      <c r="N72" s="2932"/>
      <c r="O72" s="2932"/>
      <c r="P72" s="1985"/>
      <c r="Q72" s="1750"/>
    </row>
    <row r="73" spans="1:17" s="1613" customFormat="1" ht="15.75" thickBot="1">
      <c r="A73" s="1768"/>
      <c r="B73" s="1758"/>
      <c r="C73" s="1759">
        <v>100</v>
      </c>
      <c r="D73" s="1760"/>
      <c r="E73" s="1760"/>
      <c r="F73" s="1760"/>
      <c r="G73" s="1760"/>
      <c r="H73" s="1760"/>
      <c r="I73" s="1760"/>
      <c r="J73" s="1760"/>
      <c r="K73" s="1760"/>
      <c r="L73" s="1760"/>
      <c r="M73" s="1774"/>
      <c r="N73" s="2932"/>
      <c r="O73" s="2932"/>
      <c r="P73" s="1750"/>
      <c r="Q73" s="1750"/>
    </row>
    <row r="74" spans="1:17">
      <c r="A74" s="1775" t="s">
        <v>2060</v>
      </c>
      <c r="B74" s="1776" t="s">
        <v>2025</v>
      </c>
      <c r="C74" s="1778"/>
      <c r="D74" s="1778"/>
      <c r="E74" s="1778"/>
      <c r="F74" s="1778"/>
      <c r="G74" s="1778"/>
      <c r="H74" s="1778"/>
      <c r="I74" s="1778"/>
      <c r="J74" s="1778"/>
      <c r="K74" s="417"/>
      <c r="L74" s="417"/>
      <c r="M74" s="1779"/>
      <c r="N74" s="2933"/>
      <c r="O74" s="2933"/>
      <c r="P74" s="1986"/>
      <c r="Q74" s="1750"/>
    </row>
    <row r="75" spans="1:17" ht="15.75" thickBot="1">
      <c r="A75" s="1782"/>
      <c r="B75" s="1783"/>
      <c r="C75" s="1784"/>
      <c r="D75" s="1784"/>
      <c r="E75" s="1784"/>
      <c r="F75" s="1784"/>
      <c r="G75" s="1784"/>
      <c r="H75" s="1784"/>
      <c r="I75" s="1784"/>
      <c r="J75" s="1784"/>
      <c r="K75" s="1784"/>
      <c r="L75" s="1784"/>
      <c r="M75" s="1785"/>
      <c r="N75" s="2934"/>
      <c r="O75" s="2934"/>
      <c r="P75" s="1986"/>
      <c r="Q75" s="1750"/>
    </row>
    <row r="76" spans="1:17" ht="27.75" thickTop="1">
      <c r="A76" s="1782"/>
      <c r="B76" s="1787" t="s">
        <v>2028</v>
      </c>
      <c r="C76" s="1788"/>
      <c r="D76" s="1788"/>
      <c r="E76" s="1788"/>
      <c r="F76" s="1788"/>
      <c r="G76" s="1788"/>
      <c r="H76" s="1788"/>
      <c r="I76" s="1788"/>
      <c r="J76" s="1788"/>
      <c r="K76" s="428"/>
      <c r="L76" s="428"/>
      <c r="M76" s="1789"/>
      <c r="N76" s="2933"/>
      <c r="O76" s="2933"/>
      <c r="P76" s="1986"/>
      <c r="Q76" s="1750"/>
    </row>
    <row r="77" spans="1:17" ht="15.75" thickBot="1">
      <c r="A77" s="1782"/>
      <c r="B77" s="1790"/>
      <c r="C77" s="1791"/>
      <c r="D77" s="1791"/>
      <c r="E77" s="1791"/>
      <c r="F77" s="1791"/>
      <c r="G77" s="1791"/>
      <c r="H77" s="1791"/>
      <c r="I77" s="1791"/>
      <c r="J77" s="1791"/>
      <c r="K77" s="1791"/>
      <c r="L77" s="1791"/>
      <c r="M77" s="1792"/>
      <c r="N77" s="2934"/>
      <c r="O77" s="2934"/>
      <c r="P77" s="1986"/>
      <c r="Q77" s="1750"/>
    </row>
    <row r="78" spans="1:17" ht="15.75" thickTop="1">
      <c r="A78" s="1782"/>
      <c r="B78" s="1793" t="s">
        <v>2029</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4"/>
      <c r="O78" s="2934"/>
      <c r="P78" s="1986"/>
      <c r="Q78" s="1750"/>
    </row>
    <row r="79" spans="1:17" ht="15">
      <c r="A79" s="1782"/>
      <c r="B79" s="1795"/>
      <c r="C79" s="1796"/>
      <c r="D79" s="1796"/>
      <c r="E79" s="1796"/>
      <c r="F79" s="1796"/>
      <c r="G79" s="1796"/>
      <c r="H79" s="1796"/>
      <c r="I79" s="1796"/>
      <c r="J79" s="1796"/>
      <c r="K79" s="438"/>
      <c r="L79" s="438"/>
      <c r="M79" s="1797"/>
      <c r="N79" s="2933"/>
      <c r="O79" s="2933"/>
      <c r="P79" s="1986"/>
      <c r="Q79" s="1750"/>
    </row>
    <row r="80" spans="1:17" ht="15.75"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4"/>
      <c r="O80" s="2934"/>
      <c r="P80" s="1986"/>
      <c r="Q80" s="1750"/>
    </row>
    <row r="81" spans="1:17" s="1700" customFormat="1" ht="15.75" thickTop="1">
      <c r="A81" s="1798"/>
      <c r="B81" s="1787" t="str">
        <f>B12</f>
        <v>配建</v>
      </c>
      <c r="C81" s="468"/>
      <c r="D81" s="468"/>
      <c r="E81" s="468"/>
      <c r="F81" s="468"/>
      <c r="G81" s="468"/>
      <c r="H81" s="443"/>
      <c r="I81" s="443"/>
      <c r="J81" s="443"/>
      <c r="K81" s="443"/>
      <c r="L81" s="443"/>
      <c r="M81" s="1799"/>
      <c r="N81" s="2935"/>
      <c r="O81" s="2935"/>
      <c r="P81" s="1987"/>
      <c r="Q81" s="1802"/>
    </row>
    <row r="82" spans="1:17" s="1700" customFormat="1" ht="15.75" thickBot="1">
      <c r="A82" s="1798"/>
      <c r="B82" s="1790"/>
      <c r="C82" s="1803"/>
      <c r="D82" s="1784"/>
      <c r="E82" s="1784"/>
      <c r="F82" s="1784"/>
      <c r="G82" s="1784"/>
      <c r="H82" s="1784"/>
      <c r="I82" s="1784"/>
      <c r="J82" s="1784"/>
      <c r="K82" s="1784"/>
      <c r="L82" s="1784"/>
      <c r="M82" s="1785"/>
      <c r="N82" s="2934"/>
      <c r="O82" s="2934"/>
      <c r="P82" s="1987"/>
      <c r="Q82" s="1802"/>
    </row>
    <row r="83" spans="1:17" s="1700" customFormat="1" ht="15.75" thickTop="1">
      <c r="A83" s="1798"/>
      <c r="B83" s="1787">
        <f>B13</f>
        <v>111</v>
      </c>
      <c r="C83" s="468"/>
      <c r="D83" s="468"/>
      <c r="E83" s="468"/>
      <c r="F83" s="468"/>
      <c r="G83" s="468"/>
      <c r="H83" s="443"/>
      <c r="I83" s="443"/>
      <c r="J83" s="443"/>
      <c r="K83" s="443"/>
      <c r="L83" s="443"/>
      <c r="M83" s="1799"/>
      <c r="N83" s="2935"/>
      <c r="O83" s="2935"/>
      <c r="P83" s="1988"/>
      <c r="Q83" s="1805"/>
    </row>
    <row r="84" spans="1:17" s="1700" customFormat="1" ht="15.75" thickBot="1">
      <c r="A84" s="1798"/>
      <c r="B84" s="1790"/>
      <c r="C84" s="1803"/>
      <c r="D84" s="1803"/>
      <c r="E84" s="1803"/>
      <c r="F84" s="1803"/>
      <c r="G84" s="1803"/>
      <c r="H84" s="1806"/>
      <c r="I84" s="1806"/>
      <c r="J84" s="1806"/>
      <c r="K84" s="1806"/>
      <c r="L84" s="1806"/>
      <c r="M84" s="1807"/>
      <c r="N84" s="2935"/>
      <c r="O84" s="2935"/>
      <c r="P84" s="1987"/>
      <c r="Q84" s="1802"/>
    </row>
    <row r="85" spans="1:17" s="1700" customFormat="1" ht="15.75" thickTop="1">
      <c r="A85" s="1798"/>
      <c r="B85" s="1793">
        <f>B14</f>
        <v>111</v>
      </c>
      <c r="C85" s="409"/>
      <c r="D85" s="409"/>
      <c r="E85" s="409"/>
      <c r="F85" s="409"/>
      <c r="G85" s="409"/>
      <c r="H85" s="453"/>
      <c r="I85" s="453"/>
      <c r="J85" s="453"/>
      <c r="K85" s="453"/>
      <c r="L85" s="453"/>
      <c r="M85" s="1808"/>
      <c r="N85" s="2935"/>
      <c r="O85" s="2935"/>
      <c r="P85" s="1987"/>
      <c r="Q85" s="1802"/>
    </row>
    <row r="86" spans="1:17" s="1700" customFormat="1" ht="15.75" thickBot="1">
      <c r="A86" s="1809"/>
      <c r="B86" s="1810"/>
      <c r="C86" s="1811"/>
      <c r="D86" s="1811"/>
      <c r="E86" s="1811"/>
      <c r="F86" s="1811"/>
      <c r="G86" s="1811"/>
      <c r="H86" s="1812"/>
      <c r="I86" s="1812"/>
      <c r="J86" s="1812"/>
      <c r="K86" s="1812"/>
      <c r="L86" s="1812"/>
      <c r="M86" s="1813"/>
      <c r="N86" s="2935"/>
      <c r="O86" s="2935"/>
      <c r="P86" s="1987"/>
      <c r="Q86" s="1802"/>
    </row>
    <row r="87" spans="1:17">
      <c r="A87" s="1775" t="s">
        <v>2030</v>
      </c>
      <c r="B87" s="1776" t="s">
        <v>2068</v>
      </c>
      <c r="C87" s="1814" t="s">
        <v>2069</v>
      </c>
      <c r="D87" s="1814" t="s">
        <v>2070</v>
      </c>
      <c r="E87" s="1814" t="s">
        <v>2071</v>
      </c>
      <c r="F87" s="1814" t="s">
        <v>2072</v>
      </c>
      <c r="G87" s="1814" t="s">
        <v>2073</v>
      </c>
      <c r="H87" s="1777"/>
      <c r="I87" s="1777"/>
      <c r="J87" s="1777"/>
      <c r="K87" s="463"/>
      <c r="L87" s="463"/>
      <c r="M87" s="1815"/>
      <c r="N87" s="2933"/>
      <c r="O87" s="2933"/>
      <c r="P87" s="1986"/>
      <c r="Q87" s="1750"/>
    </row>
    <row r="88" spans="1:17" ht="15.75" thickBot="1">
      <c r="A88" s="1782"/>
      <c r="B88" s="1790"/>
      <c r="C88" s="1791">
        <v>100</v>
      </c>
      <c r="D88" s="1791">
        <f>C88-$K15</f>
        <v>100</v>
      </c>
      <c r="E88" s="1791">
        <f>D88-$K15</f>
        <v>100</v>
      </c>
      <c r="F88" s="1791">
        <f>E88-$K15</f>
        <v>100</v>
      </c>
      <c r="G88" s="1791">
        <f>F88-$K15</f>
        <v>100</v>
      </c>
      <c r="H88" s="1791"/>
      <c r="I88" s="1791"/>
      <c r="J88" s="1791"/>
      <c r="K88" s="1791"/>
      <c r="L88" s="1791"/>
      <c r="M88" s="1792"/>
      <c r="N88" s="2934"/>
      <c r="O88" s="2934"/>
      <c r="P88" s="1986"/>
      <c r="Q88" s="1750"/>
    </row>
    <row r="89" spans="1:17" ht="15.75" thickTop="1">
      <c r="A89" s="1782"/>
      <c r="B89" s="1787" t="s">
        <v>2237</v>
      </c>
      <c r="C89" s="579" t="s">
        <v>2069</v>
      </c>
      <c r="D89" s="579" t="s">
        <v>2070</v>
      </c>
      <c r="E89" s="579" t="s">
        <v>2071</v>
      </c>
      <c r="F89" s="579" t="s">
        <v>2072</v>
      </c>
      <c r="G89" s="579" t="s">
        <v>2073</v>
      </c>
      <c r="H89" s="1788"/>
      <c r="I89" s="1788"/>
      <c r="J89" s="1788"/>
      <c r="K89" s="428"/>
      <c r="L89" s="428"/>
      <c r="M89" s="1789"/>
      <c r="N89" s="2933"/>
      <c r="O89" s="2933"/>
      <c r="P89" s="1986"/>
      <c r="Q89" s="1750"/>
    </row>
    <row r="90" spans="1:17" ht="15.75" thickBot="1">
      <c r="A90" s="1782"/>
      <c r="B90" s="1790"/>
      <c r="C90" s="1791">
        <v>100</v>
      </c>
      <c r="D90" s="1791">
        <f>C90-$K17</f>
        <v>100</v>
      </c>
      <c r="E90" s="1791">
        <f>D90-$K17</f>
        <v>100</v>
      </c>
      <c r="F90" s="1791">
        <f>E90-$K17</f>
        <v>100</v>
      </c>
      <c r="G90" s="1791">
        <f>F90-$K17</f>
        <v>100</v>
      </c>
      <c r="H90" s="1791"/>
      <c r="I90" s="1791"/>
      <c r="J90" s="1791"/>
      <c r="K90" s="1791"/>
      <c r="L90" s="1791"/>
      <c r="M90" s="1792"/>
      <c r="N90" s="2934"/>
      <c r="O90" s="2934"/>
      <c r="P90" s="1986"/>
      <c r="Q90" s="1750"/>
    </row>
    <row r="91" spans="1:17" ht="15.75" thickTop="1">
      <c r="A91" s="1782"/>
      <c r="B91" s="1787" t="s">
        <v>2156</v>
      </c>
      <c r="C91" s="579" t="s">
        <v>2069</v>
      </c>
      <c r="D91" s="579" t="s">
        <v>2070</v>
      </c>
      <c r="E91" s="579" t="s">
        <v>2071</v>
      </c>
      <c r="F91" s="579" t="s">
        <v>2072</v>
      </c>
      <c r="G91" s="579" t="s">
        <v>2073</v>
      </c>
      <c r="H91" s="1788"/>
      <c r="I91" s="1788"/>
      <c r="J91" s="1788"/>
      <c r="K91" s="428"/>
      <c r="L91" s="428"/>
      <c r="M91" s="1789"/>
      <c r="N91" s="2933"/>
      <c r="O91" s="2933"/>
      <c r="P91" s="1986"/>
      <c r="Q91" s="1750"/>
    </row>
    <row r="92" spans="1:17" ht="15.75" thickBot="1">
      <c r="A92" s="1782"/>
      <c r="B92" s="1790"/>
      <c r="C92" s="1791">
        <v>100</v>
      </c>
      <c r="D92" s="1791">
        <f>C92-$K19</f>
        <v>100</v>
      </c>
      <c r="E92" s="1791">
        <f>D92-$K19</f>
        <v>100</v>
      </c>
      <c r="F92" s="1791">
        <f>E92-$K19</f>
        <v>100</v>
      </c>
      <c r="G92" s="1791">
        <f>F92-$K19</f>
        <v>100</v>
      </c>
      <c r="H92" s="1791"/>
      <c r="I92" s="1791"/>
      <c r="J92" s="1791"/>
      <c r="K92" s="1791"/>
      <c r="L92" s="1791"/>
      <c r="M92" s="1792"/>
      <c r="N92" s="2934"/>
      <c r="O92" s="2934"/>
      <c r="P92" s="1986"/>
      <c r="Q92" s="1750"/>
    </row>
    <row r="93" spans="1:17" ht="15.75" thickTop="1">
      <c r="A93" s="1782"/>
      <c r="B93" s="1787" t="s">
        <v>2074</v>
      </c>
      <c r="C93" s="579" t="s">
        <v>2069</v>
      </c>
      <c r="D93" s="579" t="s">
        <v>2070</v>
      </c>
      <c r="E93" s="579" t="s">
        <v>2071</v>
      </c>
      <c r="F93" s="579" t="s">
        <v>2072</v>
      </c>
      <c r="G93" s="579" t="s">
        <v>2073</v>
      </c>
      <c r="H93" s="1788"/>
      <c r="I93" s="1788"/>
      <c r="J93" s="1788"/>
      <c r="K93" s="428"/>
      <c r="L93" s="428"/>
      <c r="M93" s="1789"/>
      <c r="N93" s="2933"/>
      <c r="O93" s="2933"/>
      <c r="P93" s="1986"/>
      <c r="Q93" s="1750"/>
    </row>
    <row r="94" spans="1:17" ht="15.75" thickBot="1">
      <c r="A94" s="1782"/>
      <c r="B94" s="1790"/>
      <c r="C94" s="1791">
        <v>100</v>
      </c>
      <c r="D94" s="1791">
        <f>C94-$K21</f>
        <v>100</v>
      </c>
      <c r="E94" s="1791">
        <f>D94-$K21</f>
        <v>100</v>
      </c>
      <c r="F94" s="1791">
        <f>E94-$K21</f>
        <v>100</v>
      </c>
      <c r="G94" s="1791">
        <f>F94-$K21</f>
        <v>100</v>
      </c>
      <c r="H94" s="1791"/>
      <c r="I94" s="1791"/>
      <c r="J94" s="1791"/>
      <c r="K94" s="1791"/>
      <c r="L94" s="1791"/>
      <c r="M94" s="1792"/>
      <c r="N94" s="2934"/>
      <c r="O94" s="2934"/>
      <c r="P94" s="1986"/>
      <c r="Q94" s="1750"/>
    </row>
    <row r="95" spans="1:17" s="1613" customFormat="1" ht="15.75" thickTop="1">
      <c r="A95" s="1818"/>
      <c r="B95" s="1787" t="s">
        <v>2238</v>
      </c>
      <c r="C95" s="579" t="s">
        <v>2069</v>
      </c>
      <c r="D95" s="579" t="s">
        <v>2070</v>
      </c>
      <c r="E95" s="579" t="s">
        <v>2071</v>
      </c>
      <c r="F95" s="579" t="s">
        <v>2072</v>
      </c>
      <c r="G95" s="579" t="s">
        <v>2073</v>
      </c>
      <c r="H95" s="579"/>
      <c r="I95" s="579"/>
      <c r="J95" s="579"/>
      <c r="K95" s="579"/>
      <c r="L95" s="579"/>
      <c r="M95" s="1989"/>
      <c r="N95" s="2932"/>
      <c r="O95" s="2932"/>
      <c r="P95" s="1986"/>
      <c r="Q95" s="1750"/>
    </row>
    <row r="96" spans="1:17" s="1613" customFormat="1" ht="15.75" thickBot="1">
      <c r="A96" s="1818"/>
      <c r="B96" s="1790"/>
      <c r="C96" s="1820">
        <v>100</v>
      </c>
      <c r="D96" s="1791">
        <f>C96-$K23</f>
        <v>100</v>
      </c>
      <c r="E96" s="1791">
        <f>D96-$K23</f>
        <v>100</v>
      </c>
      <c r="F96" s="1791">
        <f>E96-$K23</f>
        <v>100</v>
      </c>
      <c r="G96" s="1791">
        <f>F96-$K23</f>
        <v>100</v>
      </c>
      <c r="H96" s="1791"/>
      <c r="I96" s="1791"/>
      <c r="J96" s="1791"/>
      <c r="K96" s="1791"/>
      <c r="L96" s="1791"/>
      <c r="M96" s="1792"/>
      <c r="N96" s="2934"/>
      <c r="O96" s="2934"/>
      <c r="P96" s="1986"/>
      <c r="Q96" s="1750"/>
    </row>
    <row r="97" spans="1:17" s="1613" customFormat="1" ht="27.75" thickTop="1">
      <c r="A97" s="1818"/>
      <c r="B97" s="1787" t="s">
        <v>2239</v>
      </c>
      <c r="C97" s="1814" t="s">
        <v>2069</v>
      </c>
      <c r="D97" s="1814" t="s">
        <v>2070</v>
      </c>
      <c r="E97" s="1814" t="s">
        <v>2071</v>
      </c>
      <c r="F97" s="1814" t="s">
        <v>2072</v>
      </c>
      <c r="G97" s="1814" t="s">
        <v>2073</v>
      </c>
      <c r="H97" s="579"/>
      <c r="I97" s="579"/>
      <c r="J97" s="579"/>
      <c r="K97" s="579"/>
      <c r="L97" s="579"/>
      <c r="M97" s="1989"/>
      <c r="N97" s="2932"/>
      <c r="O97" s="2932"/>
      <c r="P97" s="1986"/>
      <c r="Q97" s="1750"/>
    </row>
    <row r="98" spans="1:17" s="1613" customFormat="1" ht="15.75" thickBot="1">
      <c r="A98" s="1818"/>
      <c r="B98" s="1790"/>
      <c r="C98" s="1791">
        <v>100</v>
      </c>
      <c r="D98" s="1791">
        <f>C98-$K25</f>
        <v>100</v>
      </c>
      <c r="E98" s="1791">
        <f>D98-$K25</f>
        <v>100</v>
      </c>
      <c r="F98" s="1791">
        <f>E98-$K25</f>
        <v>100</v>
      </c>
      <c r="G98" s="1791">
        <f>F98-$K25</f>
        <v>100</v>
      </c>
      <c r="H98" s="1791"/>
      <c r="I98" s="1791"/>
      <c r="J98" s="1791"/>
      <c r="K98" s="1791"/>
      <c r="L98" s="1791"/>
      <c r="M98" s="1792"/>
      <c r="N98" s="2934"/>
      <c r="O98" s="2934"/>
      <c r="P98" s="1986"/>
      <c r="Q98" s="1750"/>
    </row>
    <row r="99" spans="1:17" s="1613" customFormat="1" ht="15.75" thickTop="1">
      <c r="A99" s="1818"/>
      <c r="B99" s="1793" t="s">
        <v>2117</v>
      </c>
      <c r="C99" s="1814" t="s">
        <v>2069</v>
      </c>
      <c r="D99" s="1814" t="s">
        <v>2070</v>
      </c>
      <c r="E99" s="1814" t="s">
        <v>2071</v>
      </c>
      <c r="F99" s="1814" t="s">
        <v>2072</v>
      </c>
      <c r="G99" s="1814" t="s">
        <v>2073</v>
      </c>
      <c r="H99" s="1788"/>
      <c r="I99" s="1788"/>
      <c r="J99" s="1788"/>
      <c r="K99" s="1788"/>
      <c r="L99" s="1788"/>
      <c r="M99" s="1816"/>
      <c r="N99" s="2934"/>
      <c r="O99" s="2934"/>
      <c r="P99" s="1986"/>
      <c r="Q99" s="1750"/>
    </row>
    <row r="100" spans="1:17" s="1613" customFormat="1" ht="15.75"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4"/>
      <c r="O100" s="2934"/>
      <c r="P100" s="1986"/>
      <c r="Q100" s="1750"/>
    </row>
    <row r="101" spans="1:17" s="1700" customFormat="1" ht="15.75" thickTop="1">
      <c r="A101" s="1798"/>
      <c r="B101" s="1787" t="s">
        <v>2118</v>
      </c>
      <c r="C101" s="1788" t="s">
        <v>2076</v>
      </c>
      <c r="D101" s="1788" t="s">
        <v>2077</v>
      </c>
      <c r="E101" s="1788" t="s">
        <v>2078</v>
      </c>
      <c r="F101" s="1788" t="s">
        <v>2079</v>
      </c>
      <c r="G101" s="1788" t="s">
        <v>2080</v>
      </c>
      <c r="H101" s="489"/>
      <c r="I101" s="489"/>
      <c r="J101" s="489"/>
      <c r="K101" s="489"/>
      <c r="L101" s="489"/>
      <c r="M101" s="1833"/>
      <c r="N101" s="2935"/>
      <c r="O101" s="2935"/>
      <c r="P101" s="1987"/>
      <c r="Q101" s="1802"/>
    </row>
    <row r="102" spans="1:17" s="1700" customFormat="1" ht="15.75"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5"/>
      <c r="O102" s="2935"/>
      <c r="P102" s="1987"/>
      <c r="Q102" s="1802"/>
    </row>
    <row r="103" spans="1:17" ht="15.75" thickTop="1">
      <c r="A103" s="1782"/>
      <c r="B103" s="1787" t="str">
        <f>B31</f>
        <v>临街状况</v>
      </c>
      <c r="C103" s="1788" t="s">
        <v>2240</v>
      </c>
      <c r="D103" s="1788" t="s">
        <v>2241</v>
      </c>
      <c r="E103" s="1788" t="s">
        <v>2242</v>
      </c>
      <c r="F103" s="1788" t="s">
        <v>2243</v>
      </c>
      <c r="G103" s="1788"/>
      <c r="H103" s="1788"/>
      <c r="I103" s="1788"/>
      <c r="J103" s="1788"/>
      <c r="K103" s="428"/>
      <c r="L103" s="428"/>
      <c r="M103" s="1789"/>
      <c r="N103" s="2933"/>
      <c r="O103" s="2933"/>
      <c r="P103" s="1986"/>
      <c r="Q103" s="1750"/>
    </row>
    <row r="104" spans="1:17" ht="15.75"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4"/>
      <c r="O104" s="2934"/>
      <c r="P104" s="1986"/>
      <c r="Q104" s="1750"/>
    </row>
    <row r="105" spans="1:17" ht="27.75" thickTop="1">
      <c r="A105" s="1782"/>
      <c r="B105" s="1787" t="s">
        <v>2149</v>
      </c>
      <c r="C105" s="468"/>
      <c r="D105" s="468"/>
      <c r="E105" s="468"/>
      <c r="F105" s="468"/>
      <c r="G105" s="468"/>
      <c r="H105" s="1506"/>
      <c r="I105" s="1506"/>
      <c r="J105" s="1506"/>
      <c r="K105" s="473"/>
      <c r="L105" s="473"/>
      <c r="M105" s="1822"/>
      <c r="N105" s="2933"/>
      <c r="O105" s="2933"/>
      <c r="P105" s="1986"/>
      <c r="Q105" s="1750"/>
    </row>
    <row r="106" spans="1:17" ht="15.75"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4"/>
      <c r="O106" s="2934"/>
      <c r="P106" s="1986"/>
      <c r="Q106" s="1750"/>
    </row>
    <row r="107" spans="1:17" ht="15.75" thickTop="1">
      <c r="A107" s="1782"/>
      <c r="B107" s="1787" t="s">
        <v>2210</v>
      </c>
      <c r="C107" s="1506"/>
      <c r="D107" s="1506"/>
      <c r="E107" s="1506"/>
      <c r="F107" s="1506"/>
      <c r="G107" s="1506"/>
      <c r="H107" s="1506"/>
      <c r="I107" s="1506"/>
      <c r="J107" s="1506"/>
      <c r="K107" s="473"/>
      <c r="L107" s="473"/>
      <c r="M107" s="1822"/>
      <c r="N107" s="2933"/>
      <c r="O107" s="2933"/>
      <c r="P107" s="1986"/>
      <c r="Q107" s="1750"/>
    </row>
    <row r="108" spans="1:17" ht="15.75"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4"/>
      <c r="O108" s="2934"/>
      <c r="P108" s="1986"/>
      <c r="Q108" s="1750"/>
    </row>
    <row r="109" spans="1:17" ht="15.75" thickTop="1">
      <c r="A109" s="1782"/>
      <c r="B109" s="1793">
        <f>B35</f>
        <v>111</v>
      </c>
      <c r="C109" s="468"/>
      <c r="D109" s="468"/>
      <c r="E109" s="468"/>
      <c r="F109" s="468"/>
      <c r="G109" s="1823"/>
      <c r="H109" s="1823"/>
      <c r="I109" s="1823"/>
      <c r="J109" s="1823"/>
      <c r="K109" s="477"/>
      <c r="L109" s="477"/>
      <c r="M109" s="1824"/>
      <c r="N109" s="2933"/>
      <c r="O109" s="2933"/>
      <c r="P109" s="1986"/>
      <c r="Q109" s="1750"/>
    </row>
    <row r="110" spans="1:17" ht="15.75" thickBot="1">
      <c r="A110" s="1782"/>
      <c r="B110" s="1810"/>
      <c r="C110" s="1803"/>
      <c r="D110" s="1803"/>
      <c r="E110" s="1803"/>
      <c r="F110" s="1803"/>
      <c r="G110" s="1826"/>
      <c r="H110" s="1826"/>
      <c r="I110" s="1826"/>
      <c r="J110" s="1826"/>
      <c r="K110" s="1826"/>
      <c r="L110" s="1826"/>
      <c r="M110" s="1827"/>
      <c r="N110" s="2934"/>
      <c r="O110" s="2934"/>
      <c r="P110" s="1986"/>
      <c r="Q110" s="1750"/>
    </row>
    <row r="111" spans="1:17" ht="15" thickTop="1">
      <c r="A111" s="1923"/>
      <c r="B111" s="1787">
        <f>B36</f>
        <v>111</v>
      </c>
      <c r="C111" s="409"/>
      <c r="D111" s="409"/>
      <c r="E111" s="409"/>
      <c r="F111" s="409"/>
      <c r="G111" s="1506"/>
      <c r="H111" s="1506"/>
      <c r="I111" s="1506"/>
      <c r="J111" s="1506"/>
      <c r="K111" s="473"/>
      <c r="L111" s="473"/>
      <c r="M111" s="1822"/>
      <c r="N111" s="2933"/>
      <c r="O111" s="2933"/>
      <c r="P111" s="1986"/>
      <c r="Q111" s="1750"/>
    </row>
    <row r="112" spans="1:17" ht="15.75" thickBot="1">
      <c r="A112" s="1782"/>
      <c r="B112" s="1790"/>
      <c r="C112" s="1811"/>
      <c r="D112" s="1811"/>
      <c r="E112" s="1811"/>
      <c r="F112" s="1811"/>
      <c r="G112" s="1784"/>
      <c r="H112" s="1784"/>
      <c r="I112" s="1784"/>
      <c r="J112" s="1784"/>
      <c r="K112" s="1784"/>
      <c r="L112" s="1784"/>
      <c r="M112" s="1785"/>
      <c r="N112" s="2934"/>
      <c r="O112" s="2934"/>
      <c r="P112" s="1986"/>
      <c r="Q112" s="1750"/>
    </row>
    <row r="113" spans="1:17" s="1700" customFormat="1" ht="15" thickTop="1">
      <c r="A113" s="1828"/>
      <c r="B113" s="1829">
        <f>B37</f>
        <v>111</v>
      </c>
      <c r="C113" s="1830"/>
      <c r="D113" s="1830"/>
      <c r="E113" s="1830"/>
      <c r="F113" s="1830"/>
      <c r="G113" s="1830"/>
      <c r="H113" s="1830"/>
      <c r="I113" s="1830"/>
      <c r="J113" s="485"/>
      <c r="K113" s="485"/>
      <c r="L113" s="485"/>
      <c r="M113" s="1831"/>
      <c r="N113" s="2935"/>
      <c r="O113" s="2935"/>
      <c r="P113" s="1987"/>
      <c r="Q113" s="1802"/>
    </row>
    <row r="114" spans="1:17" s="1700" customFormat="1" ht="15.75" thickBot="1">
      <c r="A114" s="1798"/>
      <c r="B114" s="1793"/>
      <c r="C114" s="1760"/>
      <c r="D114" s="1990"/>
      <c r="E114" s="1990"/>
      <c r="F114" s="1990"/>
      <c r="G114" s="1990"/>
      <c r="H114" s="1990"/>
      <c r="I114" s="1990"/>
      <c r="J114" s="1990"/>
      <c r="K114" s="1990"/>
      <c r="L114" s="1990"/>
      <c r="M114" s="1991"/>
      <c r="N114" s="2934"/>
      <c r="O114" s="2934"/>
      <c r="P114" s="1987"/>
      <c r="Q114" s="1802"/>
    </row>
    <row r="115" spans="1:17">
      <c r="A115" s="1775" t="s">
        <v>2035</v>
      </c>
      <c r="B115" s="1776" t="s">
        <v>2244</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3"/>
      <c r="O115" s="2933"/>
      <c r="P115" s="1986"/>
      <c r="Q115" s="1750"/>
    </row>
    <row r="116" spans="1:17" ht="15">
      <c r="A116" s="1782"/>
      <c r="B116" s="1793"/>
      <c r="C116" s="1830"/>
      <c r="D116" s="1830"/>
      <c r="E116" s="1830"/>
      <c r="F116" s="1830"/>
      <c r="G116" s="1830"/>
      <c r="H116" s="1830"/>
      <c r="I116" s="1830"/>
      <c r="J116" s="485"/>
      <c r="K116" s="485"/>
      <c r="L116" s="485"/>
      <c r="M116" s="1831"/>
      <c r="N116" s="2933"/>
      <c r="O116" s="2933"/>
      <c r="P116" s="1986"/>
      <c r="Q116" s="1750"/>
    </row>
    <row r="117" spans="1:17" ht="15.75" thickBot="1">
      <c r="A117" s="1782"/>
      <c r="B117" s="1790"/>
      <c r="C117" s="1811"/>
      <c r="D117" s="1826"/>
      <c r="E117" s="1826"/>
      <c r="F117" s="1826"/>
      <c r="G117" s="1826"/>
      <c r="H117" s="1826"/>
      <c r="I117" s="1826"/>
      <c r="J117" s="1826"/>
      <c r="K117" s="1826"/>
      <c r="L117" s="1826"/>
      <c r="M117" s="1827"/>
      <c r="N117" s="2934"/>
      <c r="O117" s="2934"/>
      <c r="P117" s="1986"/>
      <c r="Q117" s="1750"/>
    </row>
    <row r="118" spans="1:17" ht="15" thickTop="1">
      <c r="A118" s="1832"/>
      <c r="B118" s="1787" t="s">
        <v>2245</v>
      </c>
      <c r="C118" s="1506"/>
      <c r="D118" s="1506"/>
      <c r="E118" s="1506"/>
      <c r="F118" s="1506"/>
      <c r="G118" s="1506"/>
      <c r="H118" s="1506"/>
      <c r="I118" s="1506"/>
      <c r="J118" s="1506"/>
      <c r="K118" s="473"/>
      <c r="L118" s="473"/>
      <c r="M118" s="1822"/>
      <c r="N118" s="2933"/>
      <c r="O118" s="2933"/>
      <c r="P118" s="1986"/>
      <c r="Q118" s="1750"/>
    </row>
    <row r="119" spans="1:17" ht="15.75"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4"/>
      <c r="O119" s="2934"/>
      <c r="P119" s="1986"/>
      <c r="Q119" s="1750"/>
    </row>
    <row r="120" spans="1:17" ht="15" thickTop="1">
      <c r="A120" s="1832"/>
      <c r="B120" s="1787" t="s">
        <v>2246</v>
      </c>
      <c r="C120" s="468"/>
      <c r="D120" s="468"/>
      <c r="E120" s="468"/>
      <c r="F120" s="1506"/>
      <c r="G120" s="1506"/>
      <c r="H120" s="1506"/>
      <c r="I120" s="1506"/>
      <c r="J120" s="1506"/>
      <c r="K120" s="473"/>
      <c r="L120" s="473"/>
      <c r="M120" s="1822"/>
      <c r="N120" s="2933"/>
      <c r="O120" s="2933"/>
      <c r="P120" s="1986"/>
      <c r="Q120" s="1750"/>
    </row>
    <row r="121" spans="1:17" ht="15.75"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4"/>
      <c r="O121" s="2934"/>
      <c r="P121" s="1986"/>
      <c r="Q121" s="1750"/>
    </row>
    <row r="122" spans="1:17" s="1700" customFormat="1" ht="15" thickTop="1">
      <c r="A122" s="1828"/>
      <c r="B122" s="1787" t="s">
        <v>2247</v>
      </c>
      <c r="C122" s="468"/>
      <c r="D122" s="468"/>
      <c r="E122" s="468"/>
      <c r="F122" s="468"/>
      <c r="G122" s="468"/>
      <c r="H122" s="1506"/>
      <c r="I122" s="1506"/>
      <c r="J122" s="1506"/>
      <c r="K122" s="473"/>
      <c r="L122" s="473"/>
      <c r="M122" s="1822"/>
      <c r="N122" s="2935"/>
      <c r="O122" s="2935"/>
      <c r="P122" s="1987"/>
      <c r="Q122" s="1802"/>
    </row>
    <row r="123" spans="1:17" s="1700" customFormat="1" ht="15.75"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5"/>
      <c r="O123" s="2935"/>
      <c r="P123" s="1987"/>
      <c r="Q123" s="1802"/>
    </row>
    <row r="124" spans="1:17" ht="15" thickTop="1">
      <c r="A124" s="1832"/>
      <c r="B124" s="1787" t="s">
        <v>2248</v>
      </c>
      <c r="C124" s="468"/>
      <c r="D124" s="468"/>
      <c r="E124" s="1506"/>
      <c r="F124" s="1506"/>
      <c r="G124" s="1506"/>
      <c r="H124" s="1506"/>
      <c r="I124" s="1506"/>
      <c r="J124" s="1506"/>
      <c r="K124" s="473"/>
      <c r="L124" s="473"/>
      <c r="M124" s="1822"/>
      <c r="N124" s="2933"/>
      <c r="O124" s="2933"/>
      <c r="P124" s="1986"/>
      <c r="Q124" s="1750"/>
    </row>
    <row r="125" spans="1:17" ht="15.75"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4"/>
      <c r="O125" s="2934"/>
      <c r="P125" s="1986"/>
      <c r="Q125" s="1750"/>
    </row>
    <row r="126" spans="1:17" ht="15" thickTop="1">
      <c r="A126" s="1832"/>
      <c r="B126" s="1787">
        <f>B43</f>
        <v>111</v>
      </c>
      <c r="C126" s="468"/>
      <c r="D126" s="468"/>
      <c r="E126" s="468"/>
      <c r="F126" s="468"/>
      <c r="G126" s="468"/>
      <c r="H126" s="1506"/>
      <c r="I126" s="1506"/>
      <c r="J126" s="1506"/>
      <c r="K126" s="473"/>
      <c r="L126" s="473"/>
      <c r="M126" s="1822"/>
      <c r="N126" s="2933"/>
      <c r="O126" s="2933"/>
      <c r="P126" s="1986"/>
      <c r="Q126" s="1750"/>
    </row>
    <row r="127" spans="1:17" ht="15.75" thickBot="1">
      <c r="A127" s="1782"/>
      <c r="B127" s="1790"/>
      <c r="C127" s="1803"/>
      <c r="D127" s="1803"/>
      <c r="E127" s="1803"/>
      <c r="F127" s="1803"/>
      <c r="G127" s="1784"/>
      <c r="H127" s="1784"/>
      <c r="I127" s="1784"/>
      <c r="J127" s="1784"/>
      <c r="K127" s="1784"/>
      <c r="L127" s="1784"/>
      <c r="M127" s="1785"/>
      <c r="N127" s="2934"/>
      <c r="O127" s="2934"/>
      <c r="P127" s="1986"/>
      <c r="Q127" s="1750"/>
    </row>
    <row r="128" spans="1:17" ht="15" thickTop="1">
      <c r="A128" s="1832"/>
      <c r="B128" s="1787">
        <f>B44</f>
        <v>111</v>
      </c>
      <c r="C128" s="409"/>
      <c r="D128" s="409"/>
      <c r="E128" s="409"/>
      <c r="F128" s="409"/>
      <c r="G128" s="1506"/>
      <c r="H128" s="1506"/>
      <c r="I128" s="1506"/>
      <c r="J128" s="1506"/>
      <c r="K128" s="473"/>
      <c r="L128" s="473"/>
      <c r="M128" s="1822"/>
      <c r="N128" s="2933"/>
      <c r="O128" s="2933"/>
      <c r="P128" s="1986"/>
      <c r="Q128" s="1750"/>
    </row>
    <row r="129" spans="1:17" ht="15.75" thickBot="1">
      <c r="A129" s="1782"/>
      <c r="B129" s="1790"/>
      <c r="C129" s="1811"/>
      <c r="D129" s="1811"/>
      <c r="E129" s="1811"/>
      <c r="F129" s="1811"/>
      <c r="G129" s="1784"/>
      <c r="H129" s="1784"/>
      <c r="I129" s="1784"/>
      <c r="J129" s="1784"/>
      <c r="K129" s="1784"/>
      <c r="L129" s="1784"/>
      <c r="M129" s="1785"/>
      <c r="N129" s="2934"/>
      <c r="O129" s="2934"/>
      <c r="P129" s="1986"/>
      <c r="Q129" s="1750"/>
    </row>
    <row r="130" spans="1:17" s="1700" customFormat="1" ht="15" thickTop="1">
      <c r="A130" s="1828"/>
      <c r="B130" s="1787">
        <f>B45</f>
        <v>111</v>
      </c>
      <c r="C130" s="409"/>
      <c r="D130" s="409"/>
      <c r="E130" s="409"/>
      <c r="F130" s="409"/>
      <c r="G130" s="443"/>
      <c r="H130" s="443"/>
      <c r="I130" s="443"/>
      <c r="J130" s="443"/>
      <c r="K130" s="443"/>
      <c r="L130" s="443"/>
      <c r="M130" s="1799"/>
      <c r="N130" s="2935"/>
      <c r="O130" s="2935"/>
      <c r="P130" s="1987"/>
      <c r="Q130" s="1802"/>
    </row>
    <row r="131" spans="1:17" s="1700" customFormat="1" ht="15.75" thickBot="1">
      <c r="A131" s="1809"/>
      <c r="B131" s="1993"/>
      <c r="C131" s="1811"/>
      <c r="D131" s="1811"/>
      <c r="E131" s="1811"/>
      <c r="F131" s="1811"/>
      <c r="G131" s="1826"/>
      <c r="H131" s="1826"/>
      <c r="I131" s="1826"/>
      <c r="J131" s="1826"/>
      <c r="K131" s="1826"/>
      <c r="L131" s="1826"/>
      <c r="M131" s="1827"/>
      <c r="N131" s="2935"/>
      <c r="O131" s="2935"/>
      <c r="P131" s="1987"/>
      <c r="Q131" s="180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G53" sqref="G53"/>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2202</v>
      </c>
      <c r="B1" s="289"/>
      <c r="C1" s="290" t="s">
        <v>2249</v>
      </c>
      <c r="D1" s="614"/>
      <c r="E1" s="614"/>
      <c r="F1" s="613" t="s">
        <v>2004</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2204</v>
      </c>
      <c r="D2" s="2937"/>
      <c r="E2" s="2937"/>
      <c r="F2" s="2940"/>
      <c r="G2" s="2937"/>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2205</v>
      </c>
      <c r="D3" s="2937"/>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54" t="s">
        <v>2007</v>
      </c>
      <c r="D4" s="3655"/>
      <c r="E4" s="3656" t="s">
        <v>2008</v>
      </c>
      <c r="F4" s="3657"/>
      <c r="G4" s="3654" t="s">
        <v>2009</v>
      </c>
      <c r="H4" s="3655"/>
      <c r="I4" s="3654" t="s">
        <v>2010</v>
      </c>
      <c r="J4" s="3655"/>
      <c r="K4" s="496" t="s">
        <v>2011</v>
      </c>
      <c r="L4" s="2942"/>
      <c r="M4" s="2943"/>
      <c r="N4" s="2943"/>
      <c r="O4" s="2943"/>
      <c r="P4" s="3658" t="s">
        <v>2012</v>
      </c>
      <c r="Q4" s="3659"/>
      <c r="R4" s="3664" t="s">
        <v>2008</v>
      </c>
      <c r="S4" s="3665"/>
      <c r="T4" s="3664" t="s">
        <v>2009</v>
      </c>
      <c r="U4" s="3665"/>
      <c r="V4" s="3670" t="s">
        <v>2010</v>
      </c>
      <c r="W4" s="3670"/>
      <c r="X4" s="1263"/>
      <c r="Y4" s="3664" t="s">
        <v>2012</v>
      </c>
      <c r="Z4" s="3665"/>
      <c r="AA4" s="3651" t="s">
        <v>2008</v>
      </c>
      <c r="AB4" s="3652" t="s">
        <v>2009</v>
      </c>
      <c r="AC4" s="3651" t="s">
        <v>2010</v>
      </c>
    </row>
    <row r="5" spans="1:29" ht="15">
      <c r="A5" s="297"/>
      <c r="B5" s="298"/>
      <c r="C5" s="3647" t="s">
        <v>2013</v>
      </c>
      <c r="D5" s="3648"/>
      <c r="E5" s="3671" t="s">
        <v>2014</v>
      </c>
      <c r="F5" s="3672"/>
      <c r="G5" s="3647" t="s">
        <v>2015</v>
      </c>
      <c r="H5" s="3648"/>
      <c r="I5" s="3647" t="s">
        <v>2016</v>
      </c>
      <c r="J5" s="3648"/>
      <c r="K5" s="496"/>
      <c r="L5" s="2942"/>
      <c r="M5" s="2943"/>
      <c r="N5" s="2943"/>
      <c r="O5" s="2943"/>
      <c r="P5" s="3660"/>
      <c r="Q5" s="3661"/>
      <c r="R5" s="3666"/>
      <c r="S5" s="3667"/>
      <c r="T5" s="3666"/>
      <c r="U5" s="3667"/>
      <c r="V5" s="3670"/>
      <c r="W5" s="3670"/>
      <c r="X5" s="1263"/>
      <c r="Y5" s="3666"/>
      <c r="Z5" s="3667"/>
      <c r="AA5" s="3652"/>
      <c r="AB5" s="3652"/>
      <c r="AC5" s="3652"/>
    </row>
    <row r="6" spans="1:29" ht="15.75" thickBot="1">
      <c r="A6" s="299"/>
      <c r="B6" s="300"/>
      <c r="C6" s="3644" t="s">
        <v>2017</v>
      </c>
      <c r="D6" s="3645"/>
      <c r="E6" s="3642" t="s">
        <v>2017</v>
      </c>
      <c r="F6" s="3643"/>
      <c r="G6" s="3644" t="s">
        <v>2017</v>
      </c>
      <c r="H6" s="3645"/>
      <c r="I6" s="3644" t="s">
        <v>2017</v>
      </c>
      <c r="J6" s="3645"/>
      <c r="K6" s="496" t="s">
        <v>2018</v>
      </c>
      <c r="L6" s="2942"/>
      <c r="M6" s="2943"/>
      <c r="N6" s="2943"/>
      <c r="O6" s="2943"/>
      <c r="P6" s="3662"/>
      <c r="Q6" s="3663"/>
      <c r="R6" s="3666"/>
      <c r="S6" s="3667"/>
      <c r="T6" s="3668"/>
      <c r="U6" s="3669"/>
      <c r="V6" s="3670"/>
      <c r="W6" s="3670"/>
      <c r="X6" s="1263"/>
      <c r="Y6" s="3668"/>
      <c r="Z6" s="3669"/>
      <c r="AA6" s="3653"/>
      <c r="AB6" s="3653"/>
      <c r="AC6" s="3653"/>
    </row>
    <row r="7" spans="1:29" s="25" customFormat="1" ht="15.75" thickBot="1">
      <c r="A7" s="301" t="s">
        <v>2019</v>
      </c>
      <c r="B7" s="302"/>
      <c r="C7" s="303">
        <f>'数据-取费表'!B2</f>
        <v>44675</v>
      </c>
      <c r="D7" s="304">
        <v>100</v>
      </c>
      <c r="E7" s="305"/>
      <c r="F7" s="306">
        <f>SUMIF(64:64,YEAR(E7)&amp;"-"&amp;INT((MONTH(E7)+2)/3),65:65)</f>
        <v>0</v>
      </c>
      <c r="G7" s="1503"/>
      <c r="H7" s="304">
        <f>SUMIF(64:64,YEAR(G7)&amp;"-"&amp;INT((MONTH(G7)+2)/3),65:65)</f>
        <v>0</v>
      </c>
      <c r="I7" s="1503"/>
      <c r="J7" s="304">
        <f>SUMIF(64:64,YEAR(I7)&amp;"-"&amp;INT((MONTH(I7)+2)/3),65:65)</f>
        <v>0</v>
      </c>
      <c r="K7" s="497"/>
      <c r="L7" s="2944"/>
      <c r="M7" s="2945"/>
      <c r="N7" s="2945"/>
      <c r="O7" s="2945"/>
      <c r="P7" s="3649" t="s">
        <v>2020</v>
      </c>
      <c r="Q7" s="3673"/>
      <c r="R7" s="627" t="s">
        <v>25</v>
      </c>
      <c r="S7" s="628">
        <f t="shared" ref="S7:S15" si="0">F7</f>
        <v>0</v>
      </c>
      <c r="T7" s="627" t="s">
        <v>25</v>
      </c>
      <c r="U7" s="628">
        <f t="shared" ref="U7:U15" si="1">H7</f>
        <v>0</v>
      </c>
      <c r="V7" s="627" t="s">
        <v>25</v>
      </c>
      <c r="W7" s="628">
        <f t="shared" ref="W7:W15" si="2">J7</f>
        <v>0</v>
      </c>
      <c r="X7" s="629"/>
      <c r="Y7" s="3649" t="s">
        <v>2020</v>
      </c>
      <c r="Z7" s="3650"/>
      <c r="AA7" s="630" t="e">
        <f>D7/F7</f>
        <v>#DIV/0!</v>
      </c>
      <c r="AB7" s="630" t="e">
        <f>D7/H7</f>
        <v>#DIV/0!</v>
      </c>
      <c r="AC7" s="630" t="e">
        <f>D7/J7</f>
        <v>#DIV/0!</v>
      </c>
    </row>
    <row r="8" spans="1:29" s="25" customFormat="1" ht="15.75" thickBot="1">
      <c r="A8" s="301" t="s">
        <v>2021</v>
      </c>
      <c r="B8" s="302"/>
      <c r="C8" s="307" t="s">
        <v>2206</v>
      </c>
      <c r="D8" s="304">
        <v>100</v>
      </c>
      <c r="E8" s="307"/>
      <c r="F8" s="306">
        <f>SUMIF(67:67,E8,68:68)-SUMIF(67:67,C8,68:68)+100</f>
        <v>0</v>
      </c>
      <c r="G8" s="307"/>
      <c r="H8" s="304">
        <f>SUMIF(67:67,G8,68:68)-SUMIF(67:67,C8,68:68)+100</f>
        <v>0</v>
      </c>
      <c r="I8" s="307"/>
      <c r="J8" s="304">
        <f>SUMIF(67:67,I8,68:68)-SUMIF(67:67,C8,68:68)+100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40" si="3">D8/F8</f>
        <v>#DIV/0!</v>
      </c>
      <c r="AB8" s="630" t="e">
        <f t="shared" ref="AB8:AB40" si="4">D8/H8</f>
        <v>#DIV/0!</v>
      </c>
      <c r="AC8" s="630" t="e">
        <f t="shared" ref="AC8:AC40" si="5">D8/J8</f>
        <v>#DIV/0!</v>
      </c>
    </row>
    <row r="9" spans="1:29" s="25" customFormat="1">
      <c r="A9" s="308" t="s">
        <v>2024</v>
      </c>
      <c r="B9" s="24" t="s">
        <v>2025</v>
      </c>
      <c r="C9" s="1514" t="s">
        <v>2250</v>
      </c>
      <c r="D9" s="28">
        <v>100</v>
      </c>
      <c r="E9" s="1514"/>
      <c r="F9" s="28">
        <f>SUMIF(69:69,E9,70:70)-SUMIF(69:69,C9,70:70)+100</f>
        <v>100</v>
      </c>
      <c r="G9" s="1514"/>
      <c r="H9" s="28">
        <f>SUMIF(69:69,G9,70:70)-SUMIF(69:69,C9,70:70)+100</f>
        <v>100</v>
      </c>
      <c r="I9" s="1514"/>
      <c r="J9" s="28">
        <f>SUMIF(69:69,I9,70:70)-SUMIF(69:69,C9,70:70)+100</f>
        <v>100</v>
      </c>
      <c r="K9" s="497"/>
      <c r="L9" s="2944"/>
      <c r="M9" s="2945"/>
      <c r="N9" s="2945"/>
      <c r="O9" s="2946"/>
      <c r="P9" s="3646" t="s">
        <v>2026</v>
      </c>
      <c r="Q9" s="1255" t="str">
        <f t="shared" ref="Q9:Q15" si="6">B9</f>
        <v>用途</v>
      </c>
      <c r="R9" s="627" t="s">
        <v>25</v>
      </c>
      <c r="S9" s="628">
        <f t="shared" si="0"/>
        <v>100</v>
      </c>
      <c r="T9" s="627" t="s">
        <v>25</v>
      </c>
      <c r="U9" s="628">
        <f t="shared" si="1"/>
        <v>100</v>
      </c>
      <c r="V9" s="627" t="s">
        <v>25</v>
      </c>
      <c r="W9" s="628">
        <f t="shared" si="2"/>
        <v>100</v>
      </c>
      <c r="X9" s="629"/>
      <c r="Y9" s="3676" t="s">
        <v>2027</v>
      </c>
      <c r="Z9" s="19" t="str">
        <f t="shared" ref="Z9:Z15" si="7">Q9</f>
        <v>用途</v>
      </c>
      <c r="AA9" s="630">
        <f t="shared" si="3"/>
        <v>1</v>
      </c>
      <c r="AB9" s="630">
        <f t="shared" si="4"/>
        <v>1</v>
      </c>
      <c r="AC9" s="630">
        <f t="shared" si="5"/>
        <v>1</v>
      </c>
    </row>
    <row r="10" spans="1:29" s="317" customFormat="1" ht="27">
      <c r="A10" s="312"/>
      <c r="B10" s="313" t="s">
        <v>2028</v>
      </c>
      <c r="C10" s="322"/>
      <c r="D10" s="29">
        <v>100</v>
      </c>
      <c r="E10" s="322"/>
      <c r="F10" s="29">
        <f>ROUND(100/'数据-取费表'!B14,0)</f>
        <v>105</v>
      </c>
      <c r="G10" s="322"/>
      <c r="H10" s="29">
        <f>ROUND(100/'数据-取费表'!B14,0)</f>
        <v>105</v>
      </c>
      <c r="I10" s="322"/>
      <c r="J10" s="29">
        <f>ROUND(100/'数据-取费表'!B14,0)</f>
        <v>105</v>
      </c>
      <c r="K10" s="553"/>
      <c r="L10" s="2947"/>
      <c r="M10" s="2948"/>
      <c r="N10" s="2948"/>
      <c r="O10" s="2949"/>
      <c r="P10" s="3646"/>
      <c r="Q10" s="1255" t="str">
        <f t="shared" si="6"/>
        <v>土地使用年限（年）</v>
      </c>
      <c r="R10" s="627" t="s">
        <v>25</v>
      </c>
      <c r="S10" s="628">
        <f t="shared" si="0"/>
        <v>105</v>
      </c>
      <c r="T10" s="627" t="s">
        <v>25</v>
      </c>
      <c r="U10" s="628">
        <f t="shared" si="1"/>
        <v>105</v>
      </c>
      <c r="V10" s="627" t="s">
        <v>25</v>
      </c>
      <c r="W10" s="628">
        <f t="shared" si="2"/>
        <v>105</v>
      </c>
      <c r="X10" s="629"/>
      <c r="Y10" s="3676"/>
      <c r="Z10" s="19" t="str">
        <f t="shared" si="7"/>
        <v>土地使用年限（年）</v>
      </c>
      <c r="AA10" s="630">
        <f t="shared" si="3"/>
        <v>0.95238095238095233</v>
      </c>
      <c r="AB10" s="630">
        <f t="shared" si="4"/>
        <v>0.95238095238095233</v>
      </c>
      <c r="AC10" s="630">
        <f t="shared" si="5"/>
        <v>0.95238095238095233</v>
      </c>
    </row>
    <row r="11" spans="1:29" ht="15">
      <c r="A11" s="318"/>
      <c r="B11" s="313" t="s">
        <v>2029</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0"/>
      <c r="M11" s="2943"/>
      <c r="N11" s="2943"/>
      <c r="O11" s="2951"/>
      <c r="P11" s="3646"/>
      <c r="Q11" s="1255" t="str">
        <f t="shared" si="6"/>
        <v>容积率</v>
      </c>
      <c r="R11" s="627" t="s">
        <v>25</v>
      </c>
      <c r="S11" s="628" t="e">
        <f t="shared" si="0"/>
        <v>#N/A</v>
      </c>
      <c r="T11" s="627" t="s">
        <v>25</v>
      </c>
      <c r="U11" s="628" t="e">
        <f t="shared" si="1"/>
        <v>#N/A</v>
      </c>
      <c r="V11" s="627" t="s">
        <v>25</v>
      </c>
      <c r="W11" s="628" t="e">
        <f t="shared" si="2"/>
        <v>#N/A</v>
      </c>
      <c r="X11" s="629"/>
      <c r="Y11" s="3676"/>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4"/>
      <c r="M12" s="2945"/>
      <c r="N12" s="2945"/>
      <c r="O12" s="2946"/>
      <c r="P12" s="3646"/>
      <c r="Q12" s="1255">
        <f t="shared" si="6"/>
        <v>111</v>
      </c>
      <c r="R12" s="627" t="s">
        <v>25</v>
      </c>
      <c r="S12" s="628">
        <f t="shared" si="0"/>
        <v>100</v>
      </c>
      <c r="T12" s="627" t="s">
        <v>25</v>
      </c>
      <c r="U12" s="628">
        <f t="shared" si="1"/>
        <v>100</v>
      </c>
      <c r="V12" s="627" t="s">
        <v>25</v>
      </c>
      <c r="W12" s="628">
        <f t="shared" si="2"/>
        <v>100</v>
      </c>
      <c r="X12" s="629"/>
      <c r="Y12" s="3676"/>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2"/>
      <c r="M13" s="2943"/>
      <c r="N13" s="2943"/>
      <c r="O13" s="2951"/>
      <c r="P13" s="3646"/>
      <c r="Q13" s="1255">
        <f t="shared" si="6"/>
        <v>111</v>
      </c>
      <c r="R13" s="627" t="s">
        <v>25</v>
      </c>
      <c r="S13" s="628">
        <f t="shared" si="0"/>
        <v>100</v>
      </c>
      <c r="T13" s="627" t="s">
        <v>25</v>
      </c>
      <c r="U13" s="628">
        <f t="shared" si="1"/>
        <v>100</v>
      </c>
      <c r="V13" s="627" t="s">
        <v>25</v>
      </c>
      <c r="W13" s="628">
        <f t="shared" si="2"/>
        <v>100</v>
      </c>
      <c r="X13" s="629"/>
      <c r="Y13" s="3676"/>
      <c r="Z13" s="19">
        <f t="shared" si="7"/>
        <v>111</v>
      </c>
      <c r="AA13" s="630">
        <f t="shared" si="3"/>
        <v>1</v>
      </c>
      <c r="AB13" s="630">
        <f t="shared" si="4"/>
        <v>1</v>
      </c>
      <c r="AC13" s="630">
        <f t="shared" si="5"/>
        <v>1</v>
      </c>
    </row>
    <row r="14" spans="1:29" ht="15.75"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2"/>
      <c r="M14" s="2943"/>
      <c r="N14" s="2943"/>
      <c r="O14" s="2951"/>
      <c r="P14" s="3646"/>
      <c r="Q14" s="1255">
        <f t="shared" si="6"/>
        <v>111</v>
      </c>
      <c r="R14" s="627" t="s">
        <v>25</v>
      </c>
      <c r="S14" s="628">
        <f t="shared" si="0"/>
        <v>100</v>
      </c>
      <c r="T14" s="627" t="s">
        <v>25</v>
      </c>
      <c r="U14" s="628">
        <f t="shared" si="1"/>
        <v>100</v>
      </c>
      <c r="V14" s="627" t="s">
        <v>25</v>
      </c>
      <c r="W14" s="628">
        <f t="shared" si="2"/>
        <v>100</v>
      </c>
      <c r="X14" s="629"/>
      <c r="Y14" s="3676"/>
      <c r="Z14" s="19">
        <f t="shared" si="7"/>
        <v>111</v>
      </c>
      <c r="AA14" s="630">
        <f t="shared" si="3"/>
        <v>1</v>
      </c>
      <c r="AB14" s="630">
        <f t="shared" si="4"/>
        <v>1</v>
      </c>
      <c r="AC14" s="630">
        <f t="shared" si="5"/>
        <v>1</v>
      </c>
    </row>
    <row r="15" spans="1:29" ht="57">
      <c r="A15" s="329" t="s">
        <v>2030</v>
      </c>
      <c r="B15" s="511" t="s">
        <v>2251</v>
      </c>
      <c r="C15" s="1509"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52"/>
      <c r="M15" s="2943"/>
      <c r="N15" s="2943"/>
      <c r="O15" s="2951"/>
      <c r="P15" s="3674" t="s">
        <v>2031</v>
      </c>
      <c r="Q15" s="1262" t="str">
        <f t="shared" si="6"/>
        <v>产业集聚程度</v>
      </c>
      <c r="R15" s="631" t="s">
        <v>25</v>
      </c>
      <c r="S15" s="632">
        <f t="shared" si="0"/>
        <v>100</v>
      </c>
      <c r="T15" s="631" t="s">
        <v>25</v>
      </c>
      <c r="U15" s="632">
        <f t="shared" si="1"/>
        <v>100</v>
      </c>
      <c r="V15" s="631" t="s">
        <v>25</v>
      </c>
      <c r="W15" s="632">
        <f t="shared" si="2"/>
        <v>100</v>
      </c>
      <c r="X15" s="1263"/>
      <c r="Y15" s="3674" t="s">
        <v>2031</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2"/>
      <c r="M16" s="2943"/>
      <c r="N16" s="2943"/>
      <c r="O16" s="2951"/>
      <c r="P16" s="3675"/>
      <c r="Q16" s="1262"/>
      <c r="R16" s="631"/>
      <c r="S16" s="632"/>
      <c r="T16" s="631"/>
      <c r="U16" s="632"/>
      <c r="V16" s="631"/>
      <c r="W16" s="632"/>
      <c r="X16" s="1263"/>
      <c r="Y16" s="3675"/>
      <c r="Z16" s="1264"/>
      <c r="AA16" s="1265">
        <v>1</v>
      </c>
      <c r="AB16" s="1265">
        <v>1</v>
      </c>
      <c r="AC16" s="1265">
        <v>1</v>
      </c>
    </row>
    <row r="17" spans="1:29" ht="85.5">
      <c r="A17" s="318"/>
      <c r="B17" s="513" t="s">
        <v>2168</v>
      </c>
      <c r="C17" s="1495"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52"/>
      <c r="M17" s="2943"/>
      <c r="N17" s="2943"/>
      <c r="O17" s="2951"/>
      <c r="P17" s="3675"/>
      <c r="Q17" s="1262" t="str">
        <f>B17</f>
        <v>交通便捷度</v>
      </c>
      <c r="R17" s="631" t="s">
        <v>25</v>
      </c>
      <c r="S17" s="632">
        <f>F17</f>
        <v>100</v>
      </c>
      <c r="T17" s="631" t="s">
        <v>25</v>
      </c>
      <c r="U17" s="632">
        <f>H17</f>
        <v>100</v>
      </c>
      <c r="V17" s="631" t="s">
        <v>25</v>
      </c>
      <c r="W17" s="632">
        <f>J17</f>
        <v>100</v>
      </c>
      <c r="X17" s="1263"/>
      <c r="Y17" s="3675"/>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2"/>
      <c r="M18" s="2943"/>
      <c r="N18" s="2943"/>
      <c r="O18" s="2951"/>
      <c r="P18" s="3675"/>
      <c r="Q18" s="1262"/>
      <c r="R18" s="631"/>
      <c r="S18" s="632"/>
      <c r="T18" s="631"/>
      <c r="U18" s="632"/>
      <c r="V18" s="631"/>
      <c r="W18" s="632"/>
      <c r="X18" s="1263"/>
      <c r="Y18" s="3675"/>
      <c r="Z18" s="1264"/>
      <c r="AA18" s="1265">
        <v>1</v>
      </c>
      <c r="AB18" s="1265">
        <v>1</v>
      </c>
      <c r="AC18" s="1265">
        <v>1</v>
      </c>
    </row>
    <row r="19" spans="1:29" ht="15">
      <c r="A19" s="318"/>
      <c r="B19" s="513" t="s">
        <v>2208</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2"/>
      <c r="M19" s="2943"/>
      <c r="N19" s="2943"/>
      <c r="O19" s="2951"/>
      <c r="P19" s="3675"/>
      <c r="Q19" s="1262" t="str">
        <f t="shared" ref="Q19:Q33" si="8">B19</f>
        <v>区域土地利用方向</v>
      </c>
      <c r="R19" s="631" t="s">
        <v>25</v>
      </c>
      <c r="S19" s="632">
        <f>F19</f>
        <v>100</v>
      </c>
      <c r="T19" s="631" t="s">
        <v>25</v>
      </c>
      <c r="U19" s="632">
        <f>H19</f>
        <v>100</v>
      </c>
      <c r="V19" s="631" t="s">
        <v>25</v>
      </c>
      <c r="W19" s="632">
        <f>J19</f>
        <v>100</v>
      </c>
      <c r="X19" s="1263"/>
      <c r="Y19" s="3675"/>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2"/>
      <c r="M20" s="2943"/>
      <c r="N20" s="2943"/>
      <c r="O20" s="2951"/>
      <c r="P20" s="3675"/>
      <c r="Q20" s="1262"/>
      <c r="R20" s="631"/>
      <c r="S20" s="632"/>
      <c r="T20" s="631"/>
      <c r="U20" s="632"/>
      <c r="V20" s="631"/>
      <c r="W20" s="632"/>
      <c r="X20" s="1263"/>
      <c r="Y20" s="3675"/>
      <c r="Z20" s="1264"/>
      <c r="AA20" s="1265"/>
      <c r="AB20" s="1265"/>
      <c r="AC20" s="1265"/>
    </row>
    <row r="21" spans="1:29" ht="71.25">
      <c r="A21" s="297"/>
      <c r="B21" s="513" t="s">
        <v>2252</v>
      </c>
      <c r="C21" s="1495"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52"/>
      <c r="M21" s="2943"/>
      <c r="N21" s="2943"/>
      <c r="O21" s="2951"/>
      <c r="P21" s="3675"/>
      <c r="Q21" s="1262" t="str">
        <f t="shared" si="8"/>
        <v>环境状况</v>
      </c>
      <c r="R21" s="631" t="s">
        <v>25</v>
      </c>
      <c r="S21" s="632">
        <f>F21</f>
        <v>100</v>
      </c>
      <c r="T21" s="631" t="s">
        <v>25</v>
      </c>
      <c r="U21" s="632">
        <f>H21</f>
        <v>100</v>
      </c>
      <c r="V21" s="631" t="s">
        <v>25</v>
      </c>
      <c r="W21" s="632">
        <f>J21</f>
        <v>100</v>
      </c>
      <c r="X21" s="1263"/>
      <c r="Y21" s="3675"/>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2"/>
      <c r="M22" s="2943"/>
      <c r="N22" s="2943"/>
      <c r="O22" s="2951"/>
      <c r="P22" s="3675"/>
      <c r="Q22" s="1262"/>
      <c r="R22" s="631"/>
      <c r="S22" s="632"/>
      <c r="T22" s="631"/>
      <c r="U22" s="632"/>
      <c r="V22" s="631"/>
      <c r="W22" s="632"/>
      <c r="X22" s="1263"/>
      <c r="Y22" s="3675"/>
      <c r="Z22" s="1264"/>
      <c r="AA22" s="1265">
        <v>1</v>
      </c>
      <c r="AB22" s="1265">
        <v>1</v>
      </c>
      <c r="AC22" s="1265">
        <v>1</v>
      </c>
    </row>
    <row r="23" spans="1:29" s="25" customFormat="1" ht="42.75">
      <c r="A23" s="531"/>
      <c r="B23" s="513" t="s">
        <v>2117</v>
      </c>
      <c r="C23" s="1495"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44"/>
      <c r="M23" s="2945"/>
      <c r="N23" s="2945"/>
      <c r="O23" s="2946"/>
      <c r="P23" s="3675"/>
      <c r="Q23" s="1255" t="str">
        <f t="shared" si="8"/>
        <v>公共配套设施</v>
      </c>
      <c r="R23" s="627" t="s">
        <v>25</v>
      </c>
      <c r="S23" s="628">
        <f>F23</f>
        <v>100</v>
      </c>
      <c r="T23" s="627" t="s">
        <v>25</v>
      </c>
      <c r="U23" s="628">
        <f>H23</f>
        <v>100</v>
      </c>
      <c r="V23" s="627" t="s">
        <v>25</v>
      </c>
      <c r="W23" s="628">
        <f>J23</f>
        <v>100</v>
      </c>
      <c r="X23" s="629"/>
      <c r="Y23" s="3675"/>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4"/>
      <c r="M24" s="2945"/>
      <c r="N24" s="2945"/>
      <c r="O24" s="2946"/>
      <c r="P24" s="3675"/>
      <c r="Q24" s="1255"/>
      <c r="R24" s="627"/>
      <c r="S24" s="628"/>
      <c r="T24" s="627"/>
      <c r="U24" s="628"/>
      <c r="V24" s="627"/>
      <c r="W24" s="628"/>
      <c r="X24" s="629"/>
      <c r="Y24" s="3675"/>
      <c r="Z24" s="19"/>
      <c r="AA24" s="630">
        <v>1</v>
      </c>
      <c r="AB24" s="630">
        <v>1</v>
      </c>
      <c r="AC24" s="630">
        <v>1</v>
      </c>
    </row>
    <row r="25" spans="1:29" s="25" customFormat="1" ht="28.5">
      <c r="A25" s="531"/>
      <c r="B25" s="515" t="s">
        <v>2118</v>
      </c>
      <c r="C25" s="1495"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44"/>
      <c r="M25" s="2945"/>
      <c r="N25" s="2945"/>
      <c r="O25" s="2946"/>
      <c r="P25" s="3675"/>
      <c r="Q25" s="1255" t="str">
        <f t="shared" ref="Q25" si="9">B25</f>
        <v>基础设施水平</v>
      </c>
      <c r="R25" s="627" t="s">
        <v>25</v>
      </c>
      <c r="S25" s="628">
        <f>F25</f>
        <v>100</v>
      </c>
      <c r="T25" s="627" t="s">
        <v>25</v>
      </c>
      <c r="U25" s="628">
        <f>H25</f>
        <v>100</v>
      </c>
      <c r="V25" s="627" t="s">
        <v>25</v>
      </c>
      <c r="W25" s="628">
        <f>J25</f>
        <v>100</v>
      </c>
      <c r="X25" s="629"/>
      <c r="Y25" s="3675"/>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4"/>
      <c r="M26" s="2945"/>
      <c r="N26" s="2945"/>
      <c r="O26" s="2946"/>
      <c r="P26" s="3675"/>
      <c r="Q26" s="1255"/>
      <c r="R26" s="627"/>
      <c r="S26" s="628"/>
      <c r="T26" s="627"/>
      <c r="U26" s="628"/>
      <c r="V26" s="627"/>
      <c r="W26" s="628"/>
      <c r="X26" s="629"/>
      <c r="Y26" s="3675"/>
      <c r="Z26" s="19"/>
      <c r="AA26" s="630">
        <v>1</v>
      </c>
      <c r="AB26" s="630">
        <v>1</v>
      </c>
      <c r="AC26" s="630">
        <v>1</v>
      </c>
    </row>
    <row r="27" spans="1:29" ht="15">
      <c r="A27" s="318"/>
      <c r="B27" s="514" t="s">
        <v>2119</v>
      </c>
      <c r="C27" s="502"/>
      <c r="D27" s="325">
        <v>100</v>
      </c>
      <c r="E27" s="516"/>
      <c r="F27" s="325">
        <f>SUMIF(94:94,E27,95:95)-SUMIF(94:94,C27,95:95)+100</f>
        <v>100</v>
      </c>
      <c r="G27" s="516"/>
      <c r="H27" s="325">
        <f>SUMIF(94:94,G27,95:95)-SUMIF(94:94,C27,95:95)+100</f>
        <v>100</v>
      </c>
      <c r="I27" s="516"/>
      <c r="J27" s="325">
        <f>SUMIF(94:94,I27,95:95)-SUMIF(94:94,C27,95:95)+100</f>
        <v>100</v>
      </c>
      <c r="K27" s="554"/>
      <c r="L27" s="2952"/>
      <c r="M27" s="2943"/>
      <c r="N27" s="2943"/>
      <c r="O27" s="2951"/>
      <c r="P27" s="3675"/>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75"/>
      <c r="Z27" s="1264" t="str">
        <f t="shared" ref="Z27:Z40" si="13">Q27</f>
        <v>临街状况</v>
      </c>
      <c r="AA27" s="1265">
        <f t="shared" si="3"/>
        <v>1</v>
      </c>
      <c r="AB27" s="1265">
        <f t="shared" si="4"/>
        <v>1</v>
      </c>
      <c r="AC27" s="1265">
        <f t="shared" si="5"/>
        <v>1</v>
      </c>
    </row>
    <row r="28" spans="1:29" ht="27">
      <c r="A28" s="318"/>
      <c r="B28" s="515" t="s">
        <v>2149</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2"/>
      <c r="M28" s="2943"/>
      <c r="N28" s="2943"/>
      <c r="O28" s="2951"/>
      <c r="P28" s="3675"/>
      <c r="Q28" s="1262" t="str">
        <f t="shared" si="8"/>
        <v>毗邻道路的类型与等级</v>
      </c>
      <c r="R28" s="631" t="s">
        <v>25</v>
      </c>
      <c r="S28" s="632">
        <f t="shared" si="10"/>
        <v>100</v>
      </c>
      <c r="T28" s="631" t="s">
        <v>25</v>
      </c>
      <c r="U28" s="632">
        <f t="shared" si="11"/>
        <v>100</v>
      </c>
      <c r="V28" s="631" t="s">
        <v>25</v>
      </c>
      <c r="W28" s="632">
        <f t="shared" si="12"/>
        <v>100</v>
      </c>
      <c r="X28" s="1263"/>
      <c r="Y28" s="3675"/>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2"/>
      <c r="M29" s="2943"/>
      <c r="N29" s="2943"/>
      <c r="O29" s="2951"/>
      <c r="P29" s="3675"/>
      <c r="Q29" s="1262"/>
      <c r="R29" s="631"/>
      <c r="S29" s="632"/>
      <c r="T29" s="631"/>
      <c r="U29" s="632"/>
      <c r="V29" s="631"/>
      <c r="W29" s="632"/>
      <c r="X29" s="1263"/>
      <c r="Y29" s="3675"/>
      <c r="Z29" s="1264"/>
      <c r="AA29" s="1265">
        <v>1</v>
      </c>
      <c r="AB29" s="1265">
        <v>1</v>
      </c>
      <c r="AC29" s="1265">
        <v>1</v>
      </c>
    </row>
    <row r="30" spans="1:29" ht="15">
      <c r="A30" s="318"/>
      <c r="B30" s="535" t="s">
        <v>2210</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2"/>
      <c r="M30" s="2943"/>
      <c r="N30" s="2943"/>
      <c r="O30" s="2951"/>
      <c r="P30" s="3675"/>
      <c r="Q30" s="1262" t="str">
        <f t="shared" si="8"/>
        <v>土地级别</v>
      </c>
      <c r="R30" s="631" t="s">
        <v>25</v>
      </c>
      <c r="S30" s="632">
        <f t="shared" si="10"/>
        <v>100</v>
      </c>
      <c r="T30" s="631" t="s">
        <v>25</v>
      </c>
      <c r="U30" s="632">
        <f t="shared" si="11"/>
        <v>100</v>
      </c>
      <c r="V30" s="631" t="s">
        <v>25</v>
      </c>
      <c r="W30" s="632">
        <f t="shared" si="12"/>
        <v>100</v>
      </c>
      <c r="X30" s="1263"/>
      <c r="Y30" s="3675"/>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2"/>
      <c r="M31" s="2943"/>
      <c r="N31" s="2943"/>
      <c r="O31" s="2951"/>
      <c r="P31" s="3675"/>
      <c r="Q31" s="1262">
        <f t="shared" si="8"/>
        <v>111</v>
      </c>
      <c r="R31" s="631" t="s">
        <v>25</v>
      </c>
      <c r="S31" s="632">
        <f t="shared" si="10"/>
        <v>100</v>
      </c>
      <c r="T31" s="631" t="s">
        <v>25</v>
      </c>
      <c r="U31" s="632">
        <f t="shared" si="11"/>
        <v>100</v>
      </c>
      <c r="V31" s="631" t="s">
        <v>25</v>
      </c>
      <c r="W31" s="632">
        <f t="shared" si="12"/>
        <v>100</v>
      </c>
      <c r="X31" s="1263"/>
      <c r="Y31" s="3675"/>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2"/>
      <c r="M32" s="2943"/>
      <c r="N32" s="2943"/>
      <c r="O32" s="2951"/>
      <c r="P32" s="3677" t="s">
        <v>2037</v>
      </c>
      <c r="Q32" s="1262">
        <f t="shared" si="8"/>
        <v>111</v>
      </c>
      <c r="R32" s="631" t="s">
        <v>25</v>
      </c>
      <c r="S32" s="632">
        <f t="shared" si="10"/>
        <v>100</v>
      </c>
      <c r="T32" s="631" t="s">
        <v>25</v>
      </c>
      <c r="U32" s="632">
        <f t="shared" si="11"/>
        <v>100</v>
      </c>
      <c r="V32" s="631" t="s">
        <v>25</v>
      </c>
      <c r="W32" s="632">
        <f t="shared" si="12"/>
        <v>100</v>
      </c>
      <c r="X32" s="1263"/>
      <c r="Y32" s="3678" t="s">
        <v>2037</v>
      </c>
      <c r="Z32" s="1264">
        <f t="shared" si="13"/>
        <v>111</v>
      </c>
      <c r="AA32" s="1265">
        <f t="shared" si="3"/>
        <v>1</v>
      </c>
      <c r="AB32" s="1265">
        <f t="shared" si="4"/>
        <v>1</v>
      </c>
      <c r="AC32" s="1265">
        <f t="shared" si="5"/>
        <v>1</v>
      </c>
    </row>
    <row r="33" spans="1:29" s="359" customFormat="1" ht="15.75"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0"/>
      <c r="M33" s="358"/>
      <c r="N33" s="358"/>
      <c r="O33" s="2953"/>
      <c r="P33" s="3678"/>
      <c r="Q33" s="1262">
        <f t="shared" si="8"/>
        <v>111</v>
      </c>
      <c r="R33" s="634" t="s">
        <v>25</v>
      </c>
      <c r="S33" s="635">
        <f t="shared" si="10"/>
        <v>100</v>
      </c>
      <c r="T33" s="634" t="s">
        <v>25</v>
      </c>
      <c r="U33" s="635">
        <f t="shared" si="11"/>
        <v>100</v>
      </c>
      <c r="V33" s="634" t="s">
        <v>25</v>
      </c>
      <c r="W33" s="635">
        <f t="shared" si="12"/>
        <v>100</v>
      </c>
      <c r="X33" s="636"/>
      <c r="Y33" s="3678"/>
      <c r="Z33" s="637">
        <f t="shared" si="13"/>
        <v>111</v>
      </c>
      <c r="AA33" s="1265">
        <f t="shared" si="3"/>
        <v>1</v>
      </c>
      <c r="AB33" s="1265">
        <f t="shared" si="4"/>
        <v>1</v>
      </c>
      <c r="AC33" s="1265">
        <f t="shared" si="5"/>
        <v>1</v>
      </c>
    </row>
    <row r="34" spans="1:29" ht="15">
      <c r="A34" s="360" t="s">
        <v>2035</v>
      </c>
      <c r="B34" s="345" t="s">
        <v>2211</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2"/>
      <c r="M34" s="2943"/>
      <c r="N34" s="2943"/>
      <c r="O34" s="2951"/>
      <c r="P34" s="3678"/>
      <c r="Q34" s="1262" t="str">
        <f>B34</f>
        <v>宗地面积</v>
      </c>
      <c r="R34" s="631" t="s">
        <v>25</v>
      </c>
      <c r="S34" s="632" t="e">
        <f t="shared" si="10"/>
        <v>#N/A</v>
      </c>
      <c r="T34" s="631" t="s">
        <v>25</v>
      </c>
      <c r="U34" s="632" t="e">
        <f t="shared" si="11"/>
        <v>#N/A</v>
      </c>
      <c r="V34" s="631" t="s">
        <v>25</v>
      </c>
      <c r="W34" s="632" t="e">
        <f t="shared" si="12"/>
        <v>#N/A</v>
      </c>
      <c r="X34" s="1263"/>
      <c r="Y34" s="3678"/>
      <c r="Z34" s="1264" t="str">
        <f t="shared" si="13"/>
        <v>宗地面积</v>
      </c>
      <c r="AA34" s="1265" t="e">
        <f t="shared" si="3"/>
        <v>#N/A</v>
      </c>
      <c r="AB34" s="1265" t="e">
        <f t="shared" si="4"/>
        <v>#N/A</v>
      </c>
      <c r="AC34" s="1265" t="e">
        <f t="shared" si="5"/>
        <v>#N/A</v>
      </c>
    </row>
    <row r="35" spans="1:29" ht="15">
      <c r="A35" s="360"/>
      <c r="B35" s="313" t="s">
        <v>2212</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2"/>
      <c r="M35" s="2943"/>
      <c r="N35" s="2943"/>
      <c r="O35" s="2951"/>
      <c r="P35" s="3678"/>
      <c r="Q35" s="1262" t="str">
        <f t="shared" ref="Q35:Q40" si="14">B35</f>
        <v>宗地形状</v>
      </c>
      <c r="R35" s="631" t="s">
        <v>25</v>
      </c>
      <c r="S35" s="632">
        <f t="shared" si="10"/>
        <v>100</v>
      </c>
      <c r="T35" s="631" t="s">
        <v>25</v>
      </c>
      <c r="U35" s="632">
        <f t="shared" si="11"/>
        <v>100</v>
      </c>
      <c r="V35" s="631" t="s">
        <v>25</v>
      </c>
      <c r="W35" s="632">
        <f t="shared" si="12"/>
        <v>100</v>
      </c>
      <c r="X35" s="1263"/>
      <c r="Y35" s="3678"/>
      <c r="Z35" s="1264" t="str">
        <f t="shared" si="13"/>
        <v>宗地形状</v>
      </c>
      <c r="AA35" s="1265">
        <f t="shared" si="3"/>
        <v>1</v>
      </c>
      <c r="AB35" s="1265">
        <f t="shared" si="4"/>
        <v>1</v>
      </c>
      <c r="AC35" s="1265">
        <f t="shared" si="5"/>
        <v>1</v>
      </c>
    </row>
    <row r="36" spans="1:29" s="25" customFormat="1" ht="15">
      <c r="A36" s="361"/>
      <c r="B36" s="313" t="s">
        <v>2214</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4"/>
      <c r="M36" s="2945"/>
      <c r="N36" s="2945"/>
      <c r="O36" s="2946"/>
      <c r="P36" s="3678"/>
      <c r="Q36" s="1262" t="str">
        <f t="shared" si="14"/>
        <v>宗地开发程度</v>
      </c>
      <c r="R36" s="627" t="s">
        <v>25</v>
      </c>
      <c r="S36" s="628">
        <f t="shared" si="10"/>
        <v>100</v>
      </c>
      <c r="T36" s="627" t="s">
        <v>25</v>
      </c>
      <c r="U36" s="628">
        <f t="shared" si="11"/>
        <v>100</v>
      </c>
      <c r="V36" s="627" t="s">
        <v>25</v>
      </c>
      <c r="W36" s="628">
        <f t="shared" si="12"/>
        <v>100</v>
      </c>
      <c r="X36" s="629"/>
      <c r="Y36" s="3678"/>
      <c r="Z36" s="19" t="str">
        <f t="shared" si="13"/>
        <v>宗地开发程度</v>
      </c>
      <c r="AA36" s="630">
        <f t="shared" si="3"/>
        <v>1</v>
      </c>
      <c r="AB36" s="630">
        <f t="shared" si="4"/>
        <v>1</v>
      </c>
      <c r="AC36" s="630">
        <f t="shared" si="5"/>
        <v>1</v>
      </c>
    </row>
    <row r="37" spans="1:29" ht="15">
      <c r="A37" s="360"/>
      <c r="B37" s="313" t="s">
        <v>2215</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2"/>
      <c r="M37" s="2943"/>
      <c r="N37" s="2943"/>
      <c r="O37" s="2951"/>
      <c r="P37" s="3678" t="s">
        <v>2037</v>
      </c>
      <c r="Q37" s="1262" t="str">
        <f t="shared" si="14"/>
        <v>工程地质条件</v>
      </c>
      <c r="R37" s="631" t="s">
        <v>25</v>
      </c>
      <c r="S37" s="632">
        <f t="shared" si="10"/>
        <v>100</v>
      </c>
      <c r="T37" s="631" t="s">
        <v>25</v>
      </c>
      <c r="U37" s="632">
        <f t="shared" si="11"/>
        <v>100</v>
      </c>
      <c r="V37" s="631" t="s">
        <v>25</v>
      </c>
      <c r="W37" s="632">
        <f t="shared" si="12"/>
        <v>100</v>
      </c>
      <c r="X37" s="1263"/>
      <c r="Y37" s="3678" t="s">
        <v>2037</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2"/>
      <c r="M38" s="2943"/>
      <c r="N38" s="2943"/>
      <c r="O38" s="2951"/>
      <c r="P38" s="3678"/>
      <c r="Q38" s="1262">
        <f t="shared" si="14"/>
        <v>111</v>
      </c>
      <c r="R38" s="631" t="s">
        <v>25</v>
      </c>
      <c r="S38" s="632">
        <f t="shared" si="10"/>
        <v>100</v>
      </c>
      <c r="T38" s="631" t="s">
        <v>25</v>
      </c>
      <c r="U38" s="632">
        <f t="shared" si="11"/>
        <v>100</v>
      </c>
      <c r="V38" s="631" t="s">
        <v>25</v>
      </c>
      <c r="W38" s="632">
        <f t="shared" si="12"/>
        <v>100</v>
      </c>
      <c r="X38" s="1263"/>
      <c r="Y38" s="3678"/>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2"/>
      <c r="M39" s="2943"/>
      <c r="N39" s="2943"/>
      <c r="O39" s="2951"/>
      <c r="P39" s="3678"/>
      <c r="Q39" s="1262">
        <f t="shared" si="14"/>
        <v>111</v>
      </c>
      <c r="R39" s="631" t="s">
        <v>25</v>
      </c>
      <c r="S39" s="632">
        <f t="shared" si="10"/>
        <v>100</v>
      </c>
      <c r="T39" s="631" t="s">
        <v>25</v>
      </c>
      <c r="U39" s="632">
        <f t="shared" si="11"/>
        <v>100</v>
      </c>
      <c r="V39" s="631" t="s">
        <v>25</v>
      </c>
      <c r="W39" s="632">
        <f t="shared" si="12"/>
        <v>100</v>
      </c>
      <c r="X39" s="1263"/>
      <c r="Y39" s="3678"/>
      <c r="Z39" s="1264">
        <f t="shared" si="13"/>
        <v>111</v>
      </c>
      <c r="AA39" s="1265">
        <f t="shared" si="3"/>
        <v>1</v>
      </c>
      <c r="AB39" s="1265">
        <f t="shared" si="4"/>
        <v>1</v>
      </c>
      <c r="AC39" s="1265">
        <f t="shared" si="5"/>
        <v>1</v>
      </c>
    </row>
    <row r="40" spans="1:29" s="359" customFormat="1" ht="15.75"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0"/>
      <c r="M40" s="358"/>
      <c r="N40" s="358"/>
      <c r="O40" s="2953"/>
      <c r="P40" s="3678"/>
      <c r="Q40" s="1262">
        <f t="shared" si="14"/>
        <v>111</v>
      </c>
      <c r="R40" s="634" t="s">
        <v>25</v>
      </c>
      <c r="S40" s="635">
        <f t="shared" si="10"/>
        <v>100</v>
      </c>
      <c r="T40" s="634" t="s">
        <v>25</v>
      </c>
      <c r="U40" s="635">
        <f t="shared" si="11"/>
        <v>100</v>
      </c>
      <c r="V40" s="634" t="s">
        <v>25</v>
      </c>
      <c r="W40" s="635">
        <f t="shared" si="12"/>
        <v>100</v>
      </c>
      <c r="X40" s="636"/>
      <c r="Y40" s="3678"/>
      <c r="Z40" s="637">
        <f t="shared" si="13"/>
        <v>111</v>
      </c>
      <c r="AA40" s="1265">
        <f t="shared" si="3"/>
        <v>1</v>
      </c>
      <c r="AB40" s="1265">
        <f t="shared" si="4"/>
        <v>1</v>
      </c>
      <c r="AC40" s="1265">
        <f t="shared" si="5"/>
        <v>1</v>
      </c>
    </row>
    <row r="41" spans="1:29" ht="15">
      <c r="A41" s="367" t="s">
        <v>2179</v>
      </c>
      <c r="B41" s="1519" t="s">
        <v>2253</v>
      </c>
      <c r="C41" s="562" t="s">
        <v>1</v>
      </c>
      <c r="D41" s="369"/>
      <c r="E41" s="370"/>
      <c r="F41" s="371"/>
      <c r="G41" s="372"/>
      <c r="H41" s="373"/>
      <c r="I41" s="370"/>
      <c r="J41" s="373"/>
      <c r="K41" s="640"/>
      <c r="L41" s="2954"/>
      <c r="M41" s="2943"/>
      <c r="N41" s="2943"/>
      <c r="P41" s="3646" t="str">
        <f>A41</f>
        <v>成交单价</v>
      </c>
      <c r="Q41" s="3646"/>
      <c r="R41" s="3670">
        <f>E41</f>
        <v>0</v>
      </c>
      <c r="S41" s="3670"/>
      <c r="T41" s="3670">
        <f>G41</f>
        <v>0</v>
      </c>
      <c r="U41" s="3670"/>
      <c r="V41" s="3670">
        <f>I41</f>
        <v>0</v>
      </c>
      <c r="W41" s="3670"/>
      <c r="X41" s="618"/>
      <c r="Y41" s="638"/>
      <c r="Z41" s="618"/>
      <c r="AA41" s="618"/>
      <c r="AB41" s="618"/>
      <c r="AC41" s="618"/>
    </row>
    <row r="42" spans="1:29" ht="15.75" thickBot="1">
      <c r="A42" s="374" t="s">
        <v>2132</v>
      </c>
      <c r="B42" s="563"/>
      <c r="C42" s="377" t="e">
        <f>R43</f>
        <v>#DIV/0!</v>
      </c>
      <c r="D42" s="1725" t="s">
        <v>2503</v>
      </c>
      <c r="E42" s="377" t="e">
        <f>R42</f>
        <v>#DIV/0!</v>
      </c>
      <c r="F42" s="1727"/>
      <c r="G42" s="376" t="e">
        <f>T42</f>
        <v>#DIV/0!</v>
      </c>
      <c r="H42" s="1727"/>
      <c r="I42" s="377" t="e">
        <f>V42</f>
        <v>#DIV/0!</v>
      </c>
      <c r="J42" s="1727"/>
      <c r="K42" s="2429">
        <f>F42+H42+J42</f>
        <v>0</v>
      </c>
      <c r="L42" s="2954"/>
      <c r="M42" s="2943"/>
      <c r="N42" s="2943"/>
      <c r="P42" s="3646" t="str">
        <f>A42</f>
        <v>比较价值（元/平方米）</v>
      </c>
      <c r="Q42" s="3646"/>
      <c r="R42" s="3687" t="e">
        <f>ROUND(PRODUCT(R41,AA7:AA40),0)</f>
        <v>#DIV/0!</v>
      </c>
      <c r="S42" s="3687"/>
      <c r="T42" s="3687" t="e">
        <f>ROUND(PRODUCT(T41,AB7:AB40),0)</f>
        <v>#DIV/0!</v>
      </c>
      <c r="U42" s="3687"/>
      <c r="V42" s="3687" t="e">
        <f>ROUND(PRODUCT(V41,AC7:AC40),0)</f>
        <v>#DIV/0!</v>
      </c>
      <c r="W42" s="3687"/>
      <c r="X42" s="618"/>
      <c r="Y42" s="618"/>
      <c r="Z42" s="618"/>
      <c r="AA42" s="618"/>
      <c r="AB42" s="618"/>
      <c r="AC42" s="618"/>
    </row>
    <row r="43" spans="1:29" ht="15.75" thickBot="1">
      <c r="A43" s="378" t="s">
        <v>2155</v>
      </c>
      <c r="B43" s="379"/>
      <c r="C43" s="380" t="e">
        <f>R43</f>
        <v>#DIV/0!</v>
      </c>
      <c r="D43" s="380"/>
      <c r="E43" s="380"/>
      <c r="F43" s="380"/>
      <c r="G43" s="380"/>
      <c r="H43" s="380"/>
      <c r="I43" s="380"/>
      <c r="J43" s="380"/>
      <c r="K43" s="641"/>
      <c r="L43" s="2954"/>
      <c r="M43" s="2943"/>
      <c r="N43" s="2943"/>
      <c r="P43" s="3681" t="str">
        <f>A43</f>
        <v>估价对象XX用房的比较价值（楼面单价，元/平方米）</v>
      </c>
      <c r="Q43" s="3682"/>
      <c r="R43" s="3686" t="e">
        <f>ROUND(IF(D42="简单平均",AVERAGE(R42:W42),R42*F42+T42*H42+V42*J42),0)</f>
        <v>#DIV/0!</v>
      </c>
      <c r="S43" s="3686"/>
      <c r="T43" s="3686"/>
      <c r="U43" s="3686"/>
      <c r="V43" s="3686"/>
      <c r="W43" s="3686"/>
      <c r="X43" s="618"/>
      <c r="Y43" s="618"/>
      <c r="Z43" s="618"/>
      <c r="AA43" s="618"/>
      <c r="AB43" s="618"/>
      <c r="AC43" s="618"/>
    </row>
    <row r="44" spans="1:29">
      <c r="G44" s="2957"/>
      <c r="M44" s="2943"/>
      <c r="N44" s="2943"/>
    </row>
    <row r="45" spans="1:29">
      <c r="M45" s="2943"/>
      <c r="N45" s="2943"/>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3"/>
      <c r="N46" s="2943"/>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ht="15" thickBot="1">
      <c r="B49" s="2956"/>
      <c r="C49" s="2959"/>
      <c r="K49" s="2958"/>
      <c r="L49" s="2955"/>
    </row>
    <row r="50" spans="1:17" ht="27">
      <c r="A50" s="564" t="s">
        <v>2217</v>
      </c>
      <c r="B50" s="565" t="s">
        <v>2218</v>
      </c>
      <c r="C50" s="1520" t="s">
        <v>2219</v>
      </c>
      <c r="D50" s="1521" t="s">
        <v>2220</v>
      </c>
      <c r="E50" s="566" t="s">
        <v>2221</v>
      </c>
      <c r="F50" s="567" t="s">
        <v>2222</v>
      </c>
      <c r="G50" s="1264" t="s">
        <v>2254</v>
      </c>
      <c r="H50" s="1264" t="str">
        <f>项目基本情况!G8</f>
        <v>XX</v>
      </c>
      <c r="I50" s="1238" t="s">
        <v>2224</v>
      </c>
      <c r="J50" s="916"/>
      <c r="K50" s="914"/>
    </row>
    <row r="51" spans="1:17" s="572" customFormat="1">
      <c r="A51" s="568" t="s">
        <v>2225</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2226</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2227</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2228</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2229</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2230</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2231</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2232</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2233</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5" thickBot="1">
      <c r="A60" s="576" t="s">
        <v>2234</v>
      </c>
      <c r="B60" s="577" t="s">
        <v>39</v>
      </c>
      <c r="C60" s="577" t="s">
        <v>40</v>
      </c>
      <c r="D60" s="577" t="s">
        <v>36</v>
      </c>
      <c r="E60" s="577">
        <f>SUM(E51:E59)</f>
        <v>120</v>
      </c>
      <c r="F60" s="578" t="e">
        <f>SUM(F51:F59)</f>
        <v>#DIV/0!</v>
      </c>
      <c r="G60" s="918"/>
      <c r="H60" s="918"/>
      <c r="I60" s="2966"/>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2022-4-1</v>
      </c>
      <c r="D62" s="1111">
        <f>EDATE(C62,-3)</f>
        <v>44562</v>
      </c>
      <c r="E62" s="1111">
        <f t="shared" ref="E62:O62" si="18">EDATE(D62,-3)</f>
        <v>44470</v>
      </c>
      <c r="F62" s="1111">
        <f t="shared" si="18"/>
        <v>44378</v>
      </c>
      <c r="G62" s="1111">
        <f t="shared" si="18"/>
        <v>44287</v>
      </c>
      <c r="H62" s="1111">
        <f t="shared" si="18"/>
        <v>44197</v>
      </c>
      <c r="I62" s="1111">
        <f t="shared" si="18"/>
        <v>44105</v>
      </c>
      <c r="J62" s="1111">
        <f t="shared" si="18"/>
        <v>44013</v>
      </c>
      <c r="K62" s="1111">
        <f t="shared" si="18"/>
        <v>43922</v>
      </c>
      <c r="L62" s="1111">
        <f t="shared" si="18"/>
        <v>43831</v>
      </c>
      <c r="M62" s="1111">
        <f t="shared" si="18"/>
        <v>43739</v>
      </c>
      <c r="N62" s="1111">
        <f t="shared" si="18"/>
        <v>43647</v>
      </c>
      <c r="O62" s="1111">
        <f t="shared" si="18"/>
        <v>43556</v>
      </c>
    </row>
    <row r="63" spans="1:17" ht="21.75" thickBot="1">
      <c r="A63" s="620" t="s">
        <v>2137</v>
      </c>
      <c r="B63" s="618"/>
      <c r="C63" s="621"/>
      <c r="D63" s="621"/>
      <c r="E63" s="621"/>
      <c r="F63" s="622"/>
      <c r="G63" s="622"/>
      <c r="H63" s="621"/>
      <c r="I63" s="921"/>
      <c r="J63" s="921"/>
      <c r="K63" s="919"/>
      <c r="L63" s="920"/>
      <c r="M63" s="921"/>
      <c r="N63" s="921"/>
      <c r="O63" s="921"/>
      <c r="P63" s="389"/>
      <c r="Q63" s="390"/>
    </row>
    <row r="64" spans="1:17" s="394" customFormat="1" ht="15">
      <c r="A64" s="1523" t="s">
        <v>2235</v>
      </c>
      <c r="B64" s="1055"/>
      <c r="C64" s="1112" t="str">
        <f>YEAR(C62)&amp;"-"&amp;ROUNDUP(MONTH(C62)/3,0)</f>
        <v>2022-2</v>
      </c>
      <c r="D64" s="1112" t="str">
        <f t="shared" ref="D64:O64" si="19">YEAR(D62)&amp;"-"&amp;ROUNDUP(MONTH(D62)/3,0)</f>
        <v>2022-1</v>
      </c>
      <c r="E64" s="1112" t="str">
        <f t="shared" si="19"/>
        <v>2021-4</v>
      </c>
      <c r="F64" s="1112" t="str">
        <f t="shared" si="19"/>
        <v>2021-3</v>
      </c>
      <c r="G64" s="1112" t="str">
        <f t="shared" si="19"/>
        <v>2021-2</v>
      </c>
      <c r="H64" s="1112" t="str">
        <f t="shared" si="19"/>
        <v>2021-1</v>
      </c>
      <c r="I64" s="1112" t="str">
        <f t="shared" si="19"/>
        <v>2020-4</v>
      </c>
      <c r="J64" s="1112" t="str">
        <f t="shared" si="19"/>
        <v>2020-3</v>
      </c>
      <c r="K64" s="1112" t="str">
        <f t="shared" si="19"/>
        <v>2020-2</v>
      </c>
      <c r="L64" s="1112" t="str">
        <f t="shared" si="19"/>
        <v>2020-1</v>
      </c>
      <c r="M64" s="1112" t="str">
        <f t="shared" si="19"/>
        <v>2019-4</v>
      </c>
      <c r="N64" s="1112" t="str">
        <f t="shared" si="19"/>
        <v>2019-3</v>
      </c>
      <c r="O64" s="1112" t="str">
        <f t="shared" si="19"/>
        <v>2019-2</v>
      </c>
      <c r="P64" s="393"/>
    </row>
    <row r="65" spans="1:17" s="25" customFormat="1" ht="33.75" customHeight="1">
      <c r="A65" s="1528" t="s">
        <v>2255</v>
      </c>
      <c r="B65" s="200" t="str">
        <f>"北京市平均增长率"&amp;TEXT(基准地价修正!P24,"0.00%")</f>
        <v>北京市平均增长率1.16%</v>
      </c>
      <c r="C65" s="491">
        <v>100</v>
      </c>
      <c r="D65" s="483"/>
      <c r="E65" s="483"/>
      <c r="F65" s="483"/>
      <c r="G65" s="483"/>
      <c r="H65" s="483"/>
      <c r="I65" s="483"/>
      <c r="J65" s="483"/>
      <c r="K65" s="483"/>
      <c r="L65" s="483"/>
      <c r="M65" s="1110"/>
      <c r="N65" s="483"/>
      <c r="O65" s="1113"/>
      <c r="P65" s="390"/>
    </row>
    <row r="66" spans="1:17" s="25" customFormat="1" ht="15.75" thickBot="1">
      <c r="A66" s="400" t="s">
        <v>2057</v>
      </c>
      <c r="B66" s="401"/>
      <c r="C66" s="402"/>
      <c r="D66" s="403"/>
      <c r="E66" s="403"/>
      <c r="F66" s="403"/>
      <c r="G66" s="403"/>
      <c r="H66" s="403"/>
      <c r="I66" s="403"/>
      <c r="J66" s="403"/>
      <c r="K66" s="403"/>
      <c r="L66" s="403"/>
      <c r="M66" s="404"/>
      <c r="N66" s="403"/>
      <c r="O66" s="1114"/>
      <c r="P66" s="390"/>
      <c r="Q66" s="390"/>
    </row>
    <row r="67" spans="1:17" s="25" customFormat="1" ht="15">
      <c r="A67" s="406" t="s">
        <v>2021</v>
      </c>
      <c r="B67" s="396"/>
      <c r="C67" s="407" t="s">
        <v>2022</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2060</v>
      </c>
      <c r="B69" s="413" t="s">
        <v>2025</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2028</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2029</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2030</v>
      </c>
      <c r="B82" s="413" t="s">
        <v>2164</v>
      </c>
      <c r="C82" s="461" t="s">
        <v>2069</v>
      </c>
      <c r="D82" s="461" t="s">
        <v>2070</v>
      </c>
      <c r="E82" s="461" t="s">
        <v>2071</v>
      </c>
      <c r="F82" s="461" t="s">
        <v>2072</v>
      </c>
      <c r="G82" s="461" t="s">
        <v>2073</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2074</v>
      </c>
      <c r="C84" s="466" t="s">
        <v>2069</v>
      </c>
      <c r="D84" s="466" t="s">
        <v>2070</v>
      </c>
      <c r="E84" s="466" t="s">
        <v>2071</v>
      </c>
      <c r="F84" s="466" t="s">
        <v>2072</v>
      </c>
      <c r="G84" s="466" t="s">
        <v>2073</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2238</v>
      </c>
      <c r="C86" s="461" t="s">
        <v>2069</v>
      </c>
      <c r="D86" s="461" t="s">
        <v>2070</v>
      </c>
      <c r="E86" s="461" t="s">
        <v>2071</v>
      </c>
      <c r="F86" s="461" t="s">
        <v>2072</v>
      </c>
      <c r="G86" s="461" t="s">
        <v>2073</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2239</v>
      </c>
      <c r="C88" s="461" t="s">
        <v>2069</v>
      </c>
      <c r="D88" s="461" t="s">
        <v>2070</v>
      </c>
      <c r="E88" s="461" t="s">
        <v>2071</v>
      </c>
      <c r="F88" s="461" t="s">
        <v>2072</v>
      </c>
      <c r="G88" s="461" t="s">
        <v>2073</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2117</v>
      </c>
      <c r="C90" s="461" t="s">
        <v>2069</v>
      </c>
      <c r="D90" s="461" t="s">
        <v>2070</v>
      </c>
      <c r="E90" s="461" t="s">
        <v>2071</v>
      </c>
      <c r="F90" s="461" t="s">
        <v>2072</v>
      </c>
      <c r="G90" s="461" t="s">
        <v>2073</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2118</v>
      </c>
      <c r="C92" s="426" t="s">
        <v>2076</v>
      </c>
      <c r="D92" s="426" t="s">
        <v>2077</v>
      </c>
      <c r="E92" s="426" t="s">
        <v>2078</v>
      </c>
      <c r="F92" s="426" t="s">
        <v>2079</v>
      </c>
      <c r="G92" s="426" t="s">
        <v>2080</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75" thickTop="1">
      <c r="A94" s="420"/>
      <c r="B94" s="425" t="str">
        <f>B27</f>
        <v>临街状况</v>
      </c>
      <c r="C94" s="426" t="s">
        <v>2240</v>
      </c>
      <c r="D94" s="426" t="s">
        <v>2241</v>
      </c>
      <c r="E94" s="426" t="s">
        <v>2242</v>
      </c>
      <c r="F94" s="426" t="s">
        <v>2243</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2149</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2210</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2035</v>
      </c>
      <c r="B106" s="413" t="s">
        <v>2244</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2245</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2247</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2248</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52" customWidth="1"/>
    <col min="2" max="2" width="19.25" style="1552" customWidth="1"/>
    <col min="3" max="3" width="12.5" style="1552" customWidth="1"/>
    <col min="4" max="4" width="12" style="1552" customWidth="1"/>
    <col min="5" max="5" width="14.625" style="1552" customWidth="1"/>
    <col min="6" max="8" width="12" style="1552" customWidth="1"/>
    <col min="9" max="9" width="12.25" style="1552" bestFit="1" customWidth="1"/>
    <col min="10" max="10" width="12" style="1552" customWidth="1"/>
    <col min="11" max="11" width="9.5" style="1551" customWidth="1"/>
    <col min="12" max="12" width="12" style="1552" customWidth="1"/>
    <col min="13" max="13" width="8.5" style="1552" customWidth="1"/>
    <col min="14" max="14" width="9.75" style="1552" customWidth="1"/>
    <col min="15" max="25" width="12" style="1552" customWidth="1"/>
    <col min="26" max="26" width="9.375" style="1552" customWidth="1"/>
    <col min="27" max="32" width="9.375" style="2193" customWidth="1"/>
    <col min="33" max="38" width="9.375" style="1552" customWidth="1"/>
    <col min="39" max="16384" width="9" style="1552"/>
  </cols>
  <sheetData>
    <row r="1" spans="1:36" ht="28.5">
      <c r="A1" s="2025" t="s">
        <v>2256</v>
      </c>
      <c r="B1" s="2026"/>
      <c r="C1" s="2027" t="s">
        <v>2257</v>
      </c>
      <c r="D1" s="2028">
        <f>SUM(D29:D30,D33:D39)</f>
        <v>73.739999999999995</v>
      </c>
      <c r="E1" s="2028"/>
      <c r="F1" s="2028"/>
      <c r="G1" s="2028"/>
      <c r="H1" s="2028"/>
      <c r="I1" s="2028"/>
      <c r="J1" s="2028"/>
      <c r="K1" s="2967"/>
      <c r="L1" s="2029" t="s">
        <v>2258</v>
      </c>
      <c r="M1" s="2030">
        <f>SUMPRODUCT((区片价!B5:B9=I2)*(区片价!C3:F3=E2)*(区片价!C5:F9))</f>
        <v>0</v>
      </c>
      <c r="N1" s="2031">
        <f>SUMPRODUCT((因素修正幅度!B5:B9=I2)*(因素修正幅度!C3:F3=E2)*(因素修正幅度!C5:F9))</f>
        <v>0</v>
      </c>
      <c r="O1" s="2967"/>
      <c r="P1" s="2967"/>
      <c r="Q1" s="2967"/>
      <c r="R1" s="2032" t="s">
        <v>2259</v>
      </c>
      <c r="S1" s="2032" t="s">
        <v>2260</v>
      </c>
      <c r="T1" s="2032" t="s">
        <v>2261</v>
      </c>
      <c r="U1" s="2032" t="s">
        <v>2262</v>
      </c>
      <c r="V1" s="2032" t="s">
        <v>2263</v>
      </c>
      <c r="W1" s="2033"/>
      <c r="X1" s="2033"/>
      <c r="Y1" s="2033"/>
      <c r="Z1" s="2033"/>
      <c r="AA1" s="2033"/>
      <c r="AB1" s="2033"/>
      <c r="AC1" s="2033"/>
      <c r="AD1" s="2034"/>
      <c r="AE1" s="2034"/>
      <c r="AF1" s="2034"/>
      <c r="AG1" s="2034"/>
      <c r="AH1" s="2034"/>
      <c r="AI1" s="2034"/>
      <c r="AJ1" s="2035"/>
    </row>
    <row r="2" spans="1:36" ht="24.75">
      <c r="A2" s="1889" t="s">
        <v>2264</v>
      </c>
      <c r="B2" s="1587" t="e">
        <f>C26</f>
        <v>#REF!</v>
      </c>
      <c r="C2" s="2036" t="s">
        <v>2265</v>
      </c>
      <c r="D2" s="1530" t="s">
        <v>2266</v>
      </c>
      <c r="E2" s="2037" t="s">
        <v>2643</v>
      </c>
      <c r="F2" s="1530" t="s">
        <v>2267</v>
      </c>
      <c r="G2" s="2038">
        <f>项目基本情况!F9</f>
        <v>0</v>
      </c>
      <c r="H2" s="1531" t="s">
        <v>2268</v>
      </c>
      <c r="I2" s="2038">
        <f>项目基本情况!F10</f>
        <v>0</v>
      </c>
      <c r="J2" s="2039"/>
      <c r="K2" s="2967"/>
      <c r="L2" s="2040" t="s">
        <v>2269</v>
      </c>
      <c r="M2" s="2041">
        <f>SUMPRODUCT((区片价!B10:B28=I2)*(区片价!C3:F3=E2)*(区片价!C10:F28))</f>
        <v>0</v>
      </c>
      <c r="N2" s="2042">
        <f>SUMPRODUCT((因素修正幅度!B10:B28=I2)*(因素修正幅度!C3:F3=E2)*(因素修正幅度!C10:F28))</f>
        <v>0</v>
      </c>
      <c r="O2" s="2967"/>
      <c r="P2" s="2967"/>
      <c r="Q2" s="2967"/>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5.5">
      <c r="A3" s="1587" t="s">
        <v>2270</v>
      </c>
      <c r="B3" s="1587" t="e">
        <f>ROUND(B2/D1,0)</f>
        <v>#REF!</v>
      </c>
      <c r="C3" s="2036" t="s">
        <v>2271</v>
      </c>
      <c r="D3" s="1530" t="s">
        <v>2272</v>
      </c>
      <c r="E3" s="2037" t="s">
        <v>2645</v>
      </c>
      <c r="F3" s="1532" t="s">
        <v>2273</v>
      </c>
      <c r="G3" s="2044">
        <f>项目基本情况!C15</f>
        <v>0</v>
      </c>
      <c r="H3" s="50" t="s">
        <v>2274</v>
      </c>
      <c r="I3" s="2045"/>
      <c r="J3" s="2039" t="s">
        <v>2275</v>
      </c>
      <c r="K3" s="2967"/>
      <c r="L3" s="2040" t="s">
        <v>2276</v>
      </c>
      <c r="M3" s="2041">
        <f>SUMPRODUCT((区片价!B29:B48=I2)*(区片价!C3:F3=E2)*(区片价!C29:F48))</f>
        <v>0</v>
      </c>
      <c r="N3" s="2042">
        <f>SUMPRODUCT((因素修正幅度!B29:B48=I2)*(因素修正幅度!C3:F3=E2)*(因素修正幅度!C29:F48))</f>
        <v>0</v>
      </c>
      <c r="O3" s="2967"/>
      <c r="P3" s="2967"/>
      <c r="Q3" s="2967"/>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75">
      <c r="A4" s="3705"/>
      <c r="B4" s="3706"/>
      <c r="C4" s="3706"/>
      <c r="D4" s="3707"/>
      <c r="E4" s="3707"/>
      <c r="F4" s="3707"/>
      <c r="G4" s="3707"/>
      <c r="H4" s="3707"/>
      <c r="I4" s="3707"/>
      <c r="J4" s="3708"/>
      <c r="K4" s="2967"/>
      <c r="L4" s="2040" t="s">
        <v>2277</v>
      </c>
      <c r="M4" s="2041">
        <f>SUMPRODUCT((区片价!B49:B75=I2)*(区片价!C3:F3=E2)*(区片价!C49:F75))</f>
        <v>0</v>
      </c>
      <c r="N4" s="2042">
        <f>SUMPRODUCT((因素修正幅度!B49:B75=I2)*(因素修正幅度!C3:F3=E2)*(因素修正幅度!C49:F75))</f>
        <v>0</v>
      </c>
      <c r="O4" s="2967"/>
      <c r="P4" s="2967"/>
      <c r="Q4" s="2967"/>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75" thickBot="1">
      <c r="A5" s="1533" t="s">
        <v>2278</v>
      </c>
      <c r="B5" s="1533" t="s">
        <v>2279</v>
      </c>
      <c r="C5" s="2046">
        <f>ROUND(IF(E2="商业",C6*C7+C16,(IF(E2="住宅",C6*C12+C16,C6+C16))),0)</f>
        <v>0</v>
      </c>
      <c r="D5" s="2047">
        <f>ROUND(C6+C16,0)</f>
        <v>0</v>
      </c>
      <c r="E5" s="2047"/>
      <c r="F5" s="2048"/>
      <c r="G5" s="2049"/>
      <c r="H5" s="2049"/>
      <c r="I5" s="2049"/>
      <c r="J5" s="2006"/>
      <c r="K5" s="1595"/>
      <c r="L5" s="2040" t="s">
        <v>2280</v>
      </c>
      <c r="M5" s="2041">
        <f>SUMPRODUCT((区片价!B76:B109=I2)*(区片价!C3:F3=E2)*(区片价!C76:F109))</f>
        <v>0</v>
      </c>
      <c r="N5" s="2042">
        <f>SUMPRODUCT((因素修正幅度!B76:B109=I2)*(因素修正幅度!C3:F3=E2)*(因素修正幅度!C76:F109))</f>
        <v>0</v>
      </c>
      <c r="O5" s="2967"/>
      <c r="P5" s="2967"/>
      <c r="Q5" s="2967"/>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75" thickBot="1">
      <c r="A6" s="2054">
        <v>1</v>
      </c>
      <c r="B6" s="1534" t="s">
        <v>2281</v>
      </c>
      <c r="C6" s="2055">
        <f>SUMIF(L1:L12,G2,M1:M12)</f>
        <v>0</v>
      </c>
      <c r="D6" s="2056" t="s">
        <v>2282</v>
      </c>
      <c r="E6" s="1534"/>
      <c r="F6" s="1534"/>
      <c r="G6" s="2057"/>
      <c r="H6" s="2057"/>
      <c r="I6" s="2057"/>
      <c r="J6" s="2058"/>
      <c r="K6" s="2968"/>
      <c r="L6" s="2040" t="s">
        <v>2283</v>
      </c>
      <c r="M6" s="2041">
        <f>SUMPRODUCT((区片价!B110:B157=I2)*(区片价!C3:F3=E2)*(区片价!C110:F157))</f>
        <v>0</v>
      </c>
      <c r="N6" s="2042">
        <f>SUMPRODUCT((因素修正幅度!B110:B157=I2)*(因素修正幅度!C3:F3=E2)*(因素修正幅度!C110:F157))</f>
        <v>0</v>
      </c>
      <c r="O6" s="2967"/>
      <c r="P6" s="2967"/>
      <c r="Q6" s="2967"/>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709" t="str">
        <f>IF(E2="商业",IF(C8="不临58条商业街","",2),"")</f>
        <v/>
      </c>
      <c r="B7" s="1535" t="s">
        <v>2284</v>
      </c>
      <c r="C7" s="2059" t="e">
        <f>IF(C8="不临58条商业街",1,ROUND(1+(1.6*E8+1.2*E9+0.8*E10+0.4*E11)*C9,4))</f>
        <v>#DIV/0!</v>
      </c>
      <c r="D7" s="2060" t="s">
        <v>2285</v>
      </c>
      <c r="E7" s="2061"/>
      <c r="F7" s="2062"/>
      <c r="G7" s="2062"/>
      <c r="H7" s="2062"/>
      <c r="I7" s="2062"/>
      <c r="J7" s="2063"/>
      <c r="K7" s="2968"/>
      <c r="L7" s="2040" t="s">
        <v>2286</v>
      </c>
      <c r="M7" s="2041">
        <f>SUMPRODUCT((区片价!B158:B205=I2)*(区片价!C3:F3=E2)*(区片价!C158:F205))</f>
        <v>0</v>
      </c>
      <c r="N7" s="2042">
        <f>SUMPRODUCT((因素修正幅度!B158:B205=I2)*(因素修正幅度!C3:F3=E2)*(因素修正幅度!C158:F205))</f>
        <v>0</v>
      </c>
      <c r="O7" s="2967"/>
      <c r="P7" s="2967"/>
      <c r="Q7" s="2967"/>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2287</v>
      </c>
      <c r="X7" s="2065">
        <f>G2</f>
        <v>0</v>
      </c>
      <c r="Y7" s="2065" t="s">
        <v>2288</v>
      </c>
      <c r="Z7" s="2066">
        <f>G3</f>
        <v>0</v>
      </c>
      <c r="AA7" s="2033"/>
      <c r="AB7" s="2033"/>
      <c r="AC7" s="2033"/>
      <c r="AD7" s="2034"/>
      <c r="AE7" s="2034"/>
      <c r="AF7" s="2034"/>
      <c r="AG7" s="2034"/>
      <c r="AH7" s="2034"/>
      <c r="AI7" s="2034"/>
      <c r="AJ7" s="2035"/>
    </row>
    <row r="8" spans="1:36" ht="15">
      <c r="A8" s="3710"/>
      <c r="B8" s="50" t="s">
        <v>2289</v>
      </c>
      <c r="C8" s="2067"/>
      <c r="D8" s="65" t="s">
        <v>89</v>
      </c>
      <c r="E8" s="2068" t="e">
        <f>ROUND(C11/E7,4)</f>
        <v>#DIV/0!</v>
      </c>
      <c r="F8" s="2069" t="s">
        <v>2290</v>
      </c>
      <c r="G8" s="2070"/>
      <c r="H8" s="2070"/>
      <c r="I8" s="2070"/>
      <c r="J8" s="2071"/>
      <c r="K8" s="2967"/>
      <c r="L8" s="2040" t="s">
        <v>2291</v>
      </c>
      <c r="M8" s="2041">
        <f>SUMPRODUCT((区片价!B206:B244=I2)*(区片价!C3:F3=E2)*(区片价!C206:F244))</f>
        <v>0</v>
      </c>
      <c r="N8" s="2042">
        <f>SUMPRODUCT((因素修正幅度!B206:B244=I2)*(因素修正幅度!C3:F3=E2)*(因素修正幅度!C206:F244))</f>
        <v>0</v>
      </c>
      <c r="O8" s="2967"/>
      <c r="P8" s="2967"/>
      <c r="Q8" s="2967"/>
      <c r="R8" s="2032">
        <v>7</v>
      </c>
      <c r="S8" s="2043"/>
      <c r="T8" s="2032">
        <f t="shared" si="1"/>
        <v>0</v>
      </c>
      <c r="U8" s="2043"/>
      <c r="V8" s="2032">
        <f t="shared" si="0"/>
        <v>0</v>
      </c>
      <c r="W8" s="3703" t="s">
        <v>2292</v>
      </c>
      <c r="X8" s="3704"/>
      <c r="Y8" s="2072" t="s">
        <v>2293</v>
      </c>
      <c r="Z8" s="2072" t="s">
        <v>2294</v>
      </c>
      <c r="AA8" s="2072" t="s">
        <v>2295</v>
      </c>
      <c r="AB8" s="2072" t="s">
        <v>2296</v>
      </c>
      <c r="AC8" s="2072" t="s">
        <v>2297</v>
      </c>
      <c r="AD8" s="2072" t="s">
        <v>2298</v>
      </c>
      <c r="AE8" s="2072" t="s">
        <v>2299</v>
      </c>
      <c r="AF8" s="2072" t="s">
        <v>2300</v>
      </c>
      <c r="AG8" s="2072" t="s">
        <v>2301</v>
      </c>
      <c r="AH8" s="2072" t="s">
        <v>2302</v>
      </c>
      <c r="AI8" s="2072" t="s">
        <v>2303</v>
      </c>
      <c r="AJ8" s="2072" t="s">
        <v>2304</v>
      </c>
    </row>
    <row r="9" spans="1:36" ht="15">
      <c r="A9" s="3710"/>
      <c r="B9" s="50" t="s">
        <v>2305</v>
      </c>
      <c r="C9" s="2073">
        <f>SUMIF(修正!C71:C138,C8,修正!E71:E138)</f>
        <v>0</v>
      </c>
      <c r="D9" s="50" t="s">
        <v>90</v>
      </c>
      <c r="E9" s="50" t="e">
        <f>ROUND(C11/E7,4)</f>
        <v>#DIV/0!</v>
      </c>
      <c r="F9" s="2069" t="s">
        <v>2306</v>
      </c>
      <c r="G9" s="2070"/>
      <c r="H9" s="2070"/>
      <c r="I9" s="2070"/>
      <c r="J9" s="2071"/>
      <c r="K9" s="2967"/>
      <c r="L9" s="2040" t="s">
        <v>2307</v>
      </c>
      <c r="M9" s="2041">
        <f>SUMPRODUCT((区片价!B245:B289=I2)*(区片价!C3:F3=E2)*(区片价!C245:F289))</f>
        <v>0</v>
      </c>
      <c r="N9" s="2042">
        <f>SUMPRODUCT((因素修正幅度!B245:B289=I2)*(因素修正幅度!C3:F3=E2)*(因素修正幅度!C245:F289))</f>
        <v>0</v>
      </c>
      <c r="O9" s="2967"/>
      <c r="P9" s="2967"/>
      <c r="Q9" s="2967"/>
      <c r="R9" s="2032">
        <v>8</v>
      </c>
      <c r="S9" s="2043"/>
      <c r="T9" s="2032">
        <f t="shared" si="1"/>
        <v>0</v>
      </c>
      <c r="U9" s="2043"/>
      <c r="V9" s="2032">
        <f t="shared" ref="V9:V16" si="2">ROUND(T9*U9,0)</f>
        <v>0</v>
      </c>
      <c r="W9" s="3704" t="s">
        <v>2308</v>
      </c>
      <c r="X9" s="2074" t="s">
        <v>2309</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710"/>
      <c r="B10" s="50" t="s">
        <v>2310</v>
      </c>
      <c r="C10" s="50">
        <f>SUMIF(修正!C71:C138,C8,修正!F71:F138)</f>
        <v>0</v>
      </c>
      <c r="D10" s="50" t="s">
        <v>91</v>
      </c>
      <c r="E10" s="50" t="e">
        <f>ROUND(C11/E7,4)</f>
        <v>#DIV/0!</v>
      </c>
      <c r="F10" s="2069" t="s">
        <v>2311</v>
      </c>
      <c r="G10" s="2070"/>
      <c r="H10" s="2070"/>
      <c r="I10" s="2070"/>
      <c r="J10" s="2071"/>
      <c r="K10" s="2967"/>
      <c r="L10" s="2040" t="s">
        <v>2312</v>
      </c>
      <c r="M10" s="2041">
        <f>SUMPRODUCT((区片价!B290:B316=I2)*(区片价!C3:F3=E2)*(区片价!C290:F316))</f>
        <v>0</v>
      </c>
      <c r="N10" s="2042">
        <f>SUMPRODUCT((因素修正幅度!B290:B316=I2)*(因素修正幅度!C3:F3=E2)*(因素修正幅度!C290:F316))</f>
        <v>0</v>
      </c>
      <c r="O10" s="2967"/>
      <c r="P10" s="2967"/>
      <c r="Q10" s="2967"/>
      <c r="R10" s="2032">
        <v>9</v>
      </c>
      <c r="S10" s="2043"/>
      <c r="T10" s="2032">
        <f t="shared" si="1"/>
        <v>0</v>
      </c>
      <c r="U10" s="2043"/>
      <c r="V10" s="2032">
        <f t="shared" si="2"/>
        <v>0</v>
      </c>
      <c r="W10" s="3704"/>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75" thickBot="1">
      <c r="A11" s="3710"/>
      <c r="B11" s="1536" t="s">
        <v>2313</v>
      </c>
      <c r="C11" s="1536">
        <f>C10/4</f>
        <v>0</v>
      </c>
      <c r="D11" s="1536" t="s">
        <v>92</v>
      </c>
      <c r="E11" s="1536" t="e">
        <f>ROUND(C11/E7,4)</f>
        <v>#DIV/0!</v>
      </c>
      <c r="F11" s="2078" t="s">
        <v>2314</v>
      </c>
      <c r="G11" s="2079"/>
      <c r="H11" s="2079"/>
      <c r="I11" s="2079"/>
      <c r="J11" s="2080"/>
      <c r="K11" s="2967"/>
      <c r="L11" s="2040" t="s">
        <v>2315</v>
      </c>
      <c r="M11" s="2041">
        <f>SUMPRODUCT((区片价!B317:B337=I2)*(区片价!C3:F3=E2)*(区片价!C317:F337))</f>
        <v>0</v>
      </c>
      <c r="N11" s="2042">
        <f>SUMPRODUCT((因素修正幅度!B317:B337=I2)*(因素修正幅度!C3:F3=E2)*(因素修正幅度!C317:F337))</f>
        <v>0</v>
      </c>
      <c r="O11" s="2967"/>
      <c r="P11" s="2967"/>
      <c r="Q11" s="2967"/>
      <c r="R11" s="2032">
        <v>10</v>
      </c>
      <c r="S11" s="2043"/>
      <c r="T11" s="2032">
        <f t="shared" si="1"/>
        <v>0</v>
      </c>
      <c r="U11" s="2043"/>
      <c r="V11" s="2032">
        <f t="shared" si="2"/>
        <v>0</v>
      </c>
      <c r="W11" s="3704" t="s">
        <v>2316</v>
      </c>
      <c r="X11" s="2081" t="s">
        <v>2317</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5" thickBot="1">
      <c r="A12" s="3709">
        <f>IF(E2="住宅",2,"")</f>
        <v>2</v>
      </c>
      <c r="B12" s="1537" t="s">
        <v>2318</v>
      </c>
      <c r="C12" s="2059">
        <f>ROUND(C15*D15*E15*F15*G15*H15*I15*J15,4)</f>
        <v>1.32</v>
      </c>
      <c r="D12" s="2083" t="s">
        <v>2319</v>
      </c>
      <c r="E12" s="2084"/>
      <c r="F12" s="2084"/>
      <c r="G12" s="2084"/>
      <c r="H12" s="2084"/>
      <c r="I12" s="2084"/>
      <c r="J12" s="2085"/>
      <c r="K12" s="2967"/>
      <c r="L12" s="2086" t="s">
        <v>2320</v>
      </c>
      <c r="M12" s="2087">
        <f>SUMPRODUCT((区片价!B338:B344=I2)*(区片价!C3:F3=E2)*(区片价!C338:F344))</f>
        <v>0</v>
      </c>
      <c r="N12" s="2088">
        <f>SUMPRODUCT((因素修正幅度!B338:B344=I2)*(因素修正幅度!C3:F3=E2)*(因素修正幅度!C338:F344))</f>
        <v>0</v>
      </c>
      <c r="O12" s="2967"/>
      <c r="P12" s="2967"/>
      <c r="Q12" s="2967"/>
      <c r="R12" s="2032">
        <v>11</v>
      </c>
      <c r="S12" s="2043"/>
      <c r="T12" s="2032">
        <f t="shared" si="1"/>
        <v>0</v>
      </c>
      <c r="U12" s="2043"/>
      <c r="V12" s="2032">
        <f t="shared" si="2"/>
        <v>0</v>
      </c>
      <c r="W12" s="3704"/>
      <c r="X12" s="2089" t="s">
        <v>2321</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711"/>
      <c r="B13" s="1538" t="s">
        <v>2322</v>
      </c>
      <c r="C13" s="2090" t="s">
        <v>2323</v>
      </c>
      <c r="D13" s="1539" t="s">
        <v>2324</v>
      </c>
      <c r="E13" s="1539" t="s">
        <v>2325</v>
      </c>
      <c r="F13" s="264" t="s">
        <v>2326</v>
      </c>
      <c r="G13" s="2091" t="s">
        <v>2327</v>
      </c>
      <c r="H13" s="2091" t="s">
        <v>2327</v>
      </c>
      <c r="I13" s="2091" t="s">
        <v>2327</v>
      </c>
      <c r="J13" s="2092" t="s">
        <v>2327</v>
      </c>
      <c r="K13" s="2967"/>
      <c r="L13" s="2967"/>
      <c r="M13" s="2967"/>
      <c r="N13" s="2967"/>
      <c r="O13" s="2967"/>
      <c r="P13" s="2967"/>
      <c r="Q13" s="2967"/>
      <c r="R13" s="2032">
        <v>12</v>
      </c>
      <c r="S13" s="2043"/>
      <c r="T13" s="2032">
        <f t="shared" si="1"/>
        <v>0</v>
      </c>
      <c r="U13" s="2043"/>
      <c r="V13" s="2032">
        <f t="shared" si="2"/>
        <v>0</v>
      </c>
      <c r="W13" s="3704"/>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711"/>
      <c r="B14" s="1539"/>
      <c r="C14" s="2093" t="s">
        <v>2328</v>
      </c>
      <c r="D14" s="2094" t="s">
        <v>2329</v>
      </c>
      <c r="E14" s="2094" t="s">
        <v>2329</v>
      </c>
      <c r="F14" s="2095" t="s">
        <v>2330</v>
      </c>
      <c r="G14" s="2096" t="s">
        <v>2331</v>
      </c>
      <c r="H14" s="2097"/>
      <c r="I14" s="2098"/>
      <c r="J14" s="2099"/>
      <c r="K14" s="2967"/>
      <c r="L14" s="2967"/>
      <c r="M14" s="2967"/>
      <c r="N14" s="2967"/>
      <c r="O14" s="2967"/>
      <c r="P14" s="2967"/>
      <c r="Q14" s="2967"/>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75" thickBot="1">
      <c r="A15" s="3712"/>
      <c r="B15" s="1540" t="s">
        <v>2332</v>
      </c>
      <c r="C15" s="2100">
        <f>IF(C14="有",1.1,1)</f>
        <v>1.1000000000000001</v>
      </c>
      <c r="D15" s="2100">
        <f>IF(D14="有",1.1,1)</f>
        <v>1</v>
      </c>
      <c r="E15" s="2100">
        <f>IF(E14="有",1.1,1)</f>
        <v>1</v>
      </c>
      <c r="F15" s="2100">
        <f>IF(F14="500米范围内",1.2,IF(F14="500-1000米",1.1,1))</f>
        <v>1.2</v>
      </c>
      <c r="G15" s="2101">
        <v>1</v>
      </c>
      <c r="H15" s="2101">
        <v>1</v>
      </c>
      <c r="I15" s="2101">
        <v>1</v>
      </c>
      <c r="J15" s="2102">
        <v>1</v>
      </c>
      <c r="K15" s="2967"/>
      <c r="L15" s="2967"/>
      <c r="M15" s="2967"/>
      <c r="N15" s="2967"/>
      <c r="O15" s="2967"/>
      <c r="P15" s="2967"/>
      <c r="Q15" s="2967"/>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88">
        <f>IF(E2="办公",2,IF(E2="工业",2,IF(E2="住宅",3,IF(E2="商业",IF(C8="不临58条商业街",2,3)))))</f>
        <v>3</v>
      </c>
      <c r="B16" s="1559" t="s">
        <v>2338</v>
      </c>
      <c r="C16" s="1535">
        <f>ROUND(IF(F17="与级别开发程度一致",0,(G17-E17)/C17),0)</f>
        <v>0</v>
      </c>
      <c r="D16" s="3701" t="s">
        <v>2342</v>
      </c>
      <c r="E16" s="3702"/>
      <c r="F16" s="3701" t="s">
        <v>2339</v>
      </c>
      <c r="G16" s="3702"/>
      <c r="H16" s="2103"/>
      <c r="I16" s="2103"/>
      <c r="J16" s="2104"/>
      <c r="K16" s="2103"/>
      <c r="L16" s="2103"/>
      <c r="M16" s="2103"/>
      <c r="N16" s="2103"/>
      <c r="O16" s="2105"/>
      <c r="P16" s="2967"/>
      <c r="Q16" s="2967"/>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6.25" thickBot="1">
      <c r="A17" s="3689"/>
      <c r="B17" s="1560" t="s">
        <v>2341</v>
      </c>
      <c r="C17" s="2106">
        <f>SUMPRODUCT((修正!A2:A7=E2)*(修正!B1:M1=G2)*(修正!B2:M7))</f>
        <v>0</v>
      </c>
      <c r="D17" s="2100" t="str">
        <f>IF(OR(G2="八级",G2="九级",G2="十级",G2="十一级",G2="十二级"),"五通一平","七通一平")</f>
        <v>七通一平</v>
      </c>
      <c r="E17" s="2107">
        <f>SUMPRODUCT((修正!B1:M1=G2)*(修正!B17:M17))</f>
        <v>0</v>
      </c>
      <c r="F17" s="2108" t="s">
        <v>2646</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7"/>
      <c r="Q17" s="2967"/>
      <c r="R17" s="1551"/>
      <c r="S17" s="1551"/>
      <c r="T17" s="1551"/>
      <c r="U17" s="1551"/>
      <c r="V17" s="1551"/>
      <c r="W17" s="1551"/>
      <c r="X17" s="1551"/>
      <c r="Y17" s="1551"/>
      <c r="Z17" s="1551"/>
      <c r="AA17" s="1551"/>
      <c r="AB17" s="1551"/>
      <c r="AC17" s="1551"/>
      <c r="AD17" s="1551"/>
      <c r="AE17" s="1551"/>
      <c r="AF17" s="1551"/>
    </row>
    <row r="18" spans="1:35" s="2053" customFormat="1" ht="15.75" thickBot="1">
      <c r="A18" s="2111" t="s">
        <v>2344</v>
      </c>
      <c r="B18" s="1558" t="s">
        <v>2345</v>
      </c>
      <c r="C18" s="2112">
        <f>SUMIF(修正!C20:C51,E3,修正!E20:E51)</f>
        <v>0</v>
      </c>
      <c r="D18" s="2113"/>
      <c r="E18" s="2114"/>
      <c r="F18" s="2114"/>
      <c r="G18" s="2114"/>
      <c r="H18" s="2114"/>
      <c r="I18" s="2114"/>
      <c r="J18" s="2115"/>
      <c r="K18" s="2969"/>
      <c r="L18" s="2969"/>
      <c r="M18" s="2969"/>
      <c r="N18" s="2969"/>
      <c r="O18" s="2967"/>
      <c r="P18" s="2967"/>
      <c r="Q18" s="2967"/>
      <c r="R18" s="2967"/>
      <c r="S18" s="2967"/>
      <c r="T18" s="2967"/>
      <c r="U18" s="2967"/>
      <c r="V18" s="2967"/>
      <c r="W18" s="2967"/>
      <c r="X18" s="1551"/>
      <c r="Y18" s="1551"/>
      <c r="Z18" s="1551"/>
      <c r="AA18" s="1551"/>
      <c r="AB18" s="1551"/>
      <c r="AC18" s="1551"/>
      <c r="AD18" s="1551"/>
      <c r="AE18" s="1551"/>
      <c r="AF18" s="1551"/>
      <c r="AG18" s="1552"/>
      <c r="AH18" s="1552"/>
      <c r="AI18" s="1552"/>
    </row>
    <row r="19" spans="1:35" s="2053" customFormat="1" ht="29.25" thickBot="1">
      <c r="A19" s="2111" t="s">
        <v>2346</v>
      </c>
      <c r="B19" s="1541" t="s">
        <v>2347</v>
      </c>
      <c r="C19" s="2117">
        <f>ROUND(IF(H19="按公示增长率计算",SUMPRODUCT((地价!A3:A41=YEAR(G19)&amp;"-"&amp;ROUNDUP(MONTH(G19)/3,0))*(地价!X2:AB2=E2)*(地价!X3:AB41)),IF(H19="地价指数",M20/M19,(1+I19)^O19)),4)</f>
        <v>1.7434000000000001</v>
      </c>
      <c r="D19" s="2118" t="s">
        <v>2348</v>
      </c>
      <c r="E19" s="2119">
        <v>41640</v>
      </c>
      <c r="F19" s="2118" t="s">
        <v>2349</v>
      </c>
      <c r="G19" s="2120">
        <f>'数据-取费表'!B2</f>
        <v>44675</v>
      </c>
      <c r="H19" s="2121" t="s">
        <v>2484</v>
      </c>
      <c r="I19" s="2122" t="str">
        <f>IF(H19="季度增幅（自定义）",SUMIF(N21:N24,E2,O21:O24),"")</f>
        <v/>
      </c>
      <c r="J19" s="2123"/>
      <c r="K19" s="2969"/>
      <c r="L19" s="2004" t="s">
        <v>2350</v>
      </c>
      <c r="M19" s="2124">
        <f>ROUND(SUMIF(地价!B2:F2,E2,地价!B41:F41),0)</f>
        <v>423</v>
      </c>
      <c r="N19" s="2125" t="s">
        <v>2351</v>
      </c>
      <c r="O19" s="2126">
        <f>ROUNDDOWN(DATEDIF(E19,G19,"M")/3,0)</f>
        <v>33</v>
      </c>
      <c r="P19" s="2967"/>
      <c r="Q19" s="2969"/>
      <c r="R19" s="2967"/>
      <c r="S19" s="2967"/>
      <c r="T19" s="2967"/>
      <c r="U19" s="2967"/>
      <c r="V19" s="2967"/>
      <c r="W19" s="2967"/>
      <c r="X19" s="1551"/>
      <c r="Y19" s="1551"/>
      <c r="Z19" s="1551"/>
      <c r="AA19" s="1551"/>
      <c r="AB19" s="1551"/>
      <c r="AC19" s="1551"/>
      <c r="AD19" s="1551"/>
      <c r="AE19" s="2116"/>
      <c r="AF19" s="2127"/>
      <c r="AG19" s="2128"/>
      <c r="AH19" s="1552"/>
    </row>
    <row r="20" spans="1:35" s="2053" customFormat="1" ht="27.75" thickBot="1">
      <c r="A20" s="1646" t="s">
        <v>2352</v>
      </c>
      <c r="B20" s="1542" t="s">
        <v>2353</v>
      </c>
      <c r="C20" s="2129">
        <f>ROUND(POWER(1+G20,J20-I20)*(POWER(1+G20,I20)-1)/(POWER(1+G20,J20)-1),4)</f>
        <v>0.89990000000000003</v>
      </c>
      <c r="D20" s="2130" t="s">
        <v>2354</v>
      </c>
      <c r="E20" s="3071">
        <f>存贷款利率!E20/100</f>
        <v>4.3499999999999997E-2</v>
      </c>
      <c r="F20" s="2130" t="s">
        <v>2343</v>
      </c>
      <c r="G20" s="3072">
        <f>SUMIF(M26:P26,E2,M28:P28)</f>
        <v>0.05</v>
      </c>
      <c r="H20" s="2130" t="s">
        <v>2355</v>
      </c>
      <c r="I20" s="2131">
        <f>'数据-取费表'!B13</f>
        <v>41.86</v>
      </c>
      <c r="J20" s="2132">
        <f>IF(E2="住宅",70,IF(E2="商业",40,50))</f>
        <v>70</v>
      </c>
      <c r="K20" s="2969"/>
      <c r="L20" s="2133" t="s">
        <v>2356</v>
      </c>
      <c r="M20" s="2134">
        <f>ROUND(SUMPRODUCT((地价!A4:A41=YEAR(G19)&amp;"-"&amp;ROUNDUP(MONTH(G19)/3,0))*(地价!B2:F2=E2)*(地价!B4:F41)),0)</f>
        <v>737</v>
      </c>
      <c r="N20" s="2135" t="s">
        <v>2357</v>
      </c>
      <c r="O20" s="2136" t="s">
        <v>2358</v>
      </c>
      <c r="P20" s="2137" t="s">
        <v>2359</v>
      </c>
      <c r="Q20" s="2969"/>
      <c r="R20" s="2967"/>
      <c r="S20" s="2967"/>
      <c r="T20" s="2967"/>
      <c r="U20" s="2967"/>
      <c r="V20" s="2967"/>
      <c r="W20" s="2967"/>
      <c r="X20" s="1551"/>
      <c r="Y20" s="1551"/>
      <c r="Z20" s="1551"/>
      <c r="AA20" s="1551"/>
      <c r="AB20" s="1551"/>
      <c r="AC20" s="1551"/>
      <c r="AD20" s="1551"/>
      <c r="AE20" s="2116"/>
      <c r="AF20" s="2116"/>
    </row>
    <row r="21" spans="1:35" s="2053" customFormat="1" ht="14.25">
      <c r="A21" s="2138" t="s">
        <v>2360</v>
      </c>
      <c r="B21" s="1543" t="s">
        <v>2361</v>
      </c>
      <c r="C21" s="2139">
        <f>IF(B21="容积率修正",IF(G3&lt;=10,D22,J22),C23)</f>
        <v>0</v>
      </c>
      <c r="D21" s="2140"/>
      <c r="E21" s="2140"/>
      <c r="F21" s="2140"/>
      <c r="G21" s="2140"/>
      <c r="H21" s="2140"/>
      <c r="I21" s="2140"/>
      <c r="J21" s="2005"/>
      <c r="K21" s="2969"/>
      <c r="L21" s="2969"/>
      <c r="M21" s="2969"/>
      <c r="N21" s="2141" t="s">
        <v>2362</v>
      </c>
      <c r="O21" s="2142"/>
      <c r="P21" s="2143">
        <f>SUMPRODUCT((地价!A3:A41=YEAR(G19)&amp;"-"&amp;ROUNDUP(MONTH(G19)/3,0))*(地价!AD2:AH2=N21)*(地价!AD3:AH41))</f>
        <v>0.01</v>
      </c>
      <c r="Q21" s="2969"/>
      <c r="R21" s="2967"/>
      <c r="S21" s="2967"/>
      <c r="T21" s="2967"/>
      <c r="U21" s="2967"/>
      <c r="V21" s="2967"/>
      <c r="W21" s="2967"/>
      <c r="X21" s="1551"/>
      <c r="Y21" s="1551"/>
      <c r="Z21" s="1551"/>
      <c r="AA21" s="1551"/>
      <c r="AB21" s="1551"/>
      <c r="AC21" s="1551"/>
      <c r="AD21" s="1551"/>
      <c r="AE21" s="2116"/>
      <c r="AF21" s="2116"/>
    </row>
    <row r="22" spans="1:35" s="2053" customFormat="1" ht="14.25">
      <c r="A22" s="2001">
        <v>1</v>
      </c>
      <c r="B22" s="2000" t="s">
        <v>2363</v>
      </c>
      <c r="C22" s="2000" t="s">
        <v>2364</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69"/>
      <c r="L22" s="2969"/>
      <c r="M22" s="2969"/>
      <c r="N22" s="2141" t="s">
        <v>2365</v>
      </c>
      <c r="O22" s="2142"/>
      <c r="P22" s="2143">
        <f>SUMPRODUCT((地价!A3:A41=YEAR(G19)&amp;"-"&amp;ROUNDUP(MONTH(G19)/3,0))*(地价!AD2:AH2=N22)*(地价!AD3:AH41))</f>
        <v>0.01</v>
      </c>
      <c r="Q22" s="2969"/>
      <c r="R22" s="2967"/>
      <c r="S22" s="2967"/>
      <c r="T22" s="2967"/>
      <c r="U22" s="2967"/>
      <c r="V22" s="2967"/>
      <c r="W22" s="2967"/>
      <c r="X22" s="1551"/>
      <c r="Y22" s="1551"/>
      <c r="Z22" s="1551"/>
      <c r="AA22" s="1551"/>
      <c r="AB22" s="1551"/>
      <c r="AC22" s="1551"/>
      <c r="AD22" s="1551"/>
      <c r="AE22" s="2116"/>
      <c r="AF22" s="2116"/>
    </row>
    <row r="23" spans="1:35" ht="27">
      <c r="A23" s="2001">
        <v>2</v>
      </c>
      <c r="B23" s="2000" t="s">
        <v>2366</v>
      </c>
      <c r="C23" s="2145" t="e">
        <f>ROUND(IF(G3&gt;1,IF(I3&lt;7,SUMPRODUCT((B93:B98=I3)*(C92:N92=G2)*(C93:N98)),SUMIF(C92:N92,G2,C100:N100)),IF(I3&lt;7,SUMPRODUCT((B102:B107=I3)*(C92:N92=G2)*(C102:N107)),SUMIF(C92:N92,G2,C109:N109))),4)</f>
        <v>#DIV/0!</v>
      </c>
      <c r="D23" s="2097"/>
      <c r="E23" s="2097"/>
      <c r="F23" s="2146"/>
      <c r="G23" s="2147"/>
      <c r="H23" s="1548"/>
      <c r="I23" s="2000"/>
      <c r="J23" s="2144"/>
      <c r="K23" s="2967"/>
      <c r="L23" s="2967"/>
      <c r="M23" s="2967"/>
      <c r="N23" s="2141" t="s">
        <v>2367</v>
      </c>
      <c r="O23" s="2142"/>
      <c r="P23" s="2143">
        <f>SUMPRODUCT((地价!A3:A41=YEAR(G19)&amp;"-"&amp;ROUNDUP(MONTH(G19)/3,0))*(地价!AD2:AH2=N23)*(地价!AD3:AH41))</f>
        <v>1.7600000000000001E-2</v>
      </c>
      <c r="Q23" s="2967"/>
      <c r="R23" s="2967"/>
      <c r="S23" s="2967"/>
      <c r="T23" s="2967"/>
      <c r="U23" s="2967"/>
      <c r="V23" s="2967"/>
      <c r="W23" s="2967"/>
      <c r="X23" s="1551"/>
      <c r="Y23" s="1551"/>
      <c r="Z23" s="1551"/>
      <c r="AA23" s="1551"/>
      <c r="AB23" s="1551"/>
      <c r="AC23" s="1551"/>
      <c r="AD23" s="1551"/>
      <c r="AE23" s="1551"/>
      <c r="AF23" s="1551"/>
    </row>
    <row r="24" spans="1:35" s="2053" customFormat="1" ht="15.75" thickBot="1">
      <c r="A24" s="2148" t="s">
        <v>2368</v>
      </c>
      <c r="B24" s="1545" t="s">
        <v>2369</v>
      </c>
      <c r="C24" s="2149">
        <f>SUMIF(A46:A88,E2,B46:B88)</f>
        <v>1</v>
      </c>
      <c r="D24" s="2150"/>
      <c r="E24" s="2151"/>
      <c r="F24" s="2151"/>
      <c r="G24" s="2151"/>
      <c r="H24" s="2151"/>
      <c r="I24" s="2151"/>
      <c r="J24" s="2152"/>
      <c r="K24" s="2969"/>
      <c r="L24" s="2969"/>
      <c r="M24" s="2969"/>
      <c r="N24" s="2153" t="s">
        <v>2370</v>
      </c>
      <c r="O24" s="2154"/>
      <c r="P24" s="2155">
        <f>SUMPRODUCT((地价!A3:A41=YEAR(G19)&amp;"-"&amp;ROUNDUP(MONTH(G19)/3,0))*(地价!AD2:AH2=N24)*(地价!AD3:AH41))</f>
        <v>1.1599999999999999E-2</v>
      </c>
      <c r="Q24" s="2969"/>
      <c r="R24" s="2967"/>
      <c r="S24" s="2967"/>
      <c r="T24" s="2967"/>
      <c r="U24" s="2967"/>
      <c r="V24" s="2967"/>
      <c r="W24" s="2967"/>
      <c r="X24" s="1551"/>
      <c r="Y24" s="1551"/>
      <c r="Z24" s="1551"/>
      <c r="AA24" s="1551"/>
      <c r="AB24" s="1551"/>
      <c r="AC24" s="1551"/>
      <c r="AD24" s="1551"/>
      <c r="AE24" s="2116"/>
      <c r="AF24" s="2116"/>
    </row>
    <row r="25" spans="1:35" ht="15" thickBot="1">
      <c r="A25" s="1646" t="s">
        <v>2371</v>
      </c>
      <c r="B25" s="1546" t="s">
        <v>2372</v>
      </c>
      <c r="C25" s="2156"/>
      <c r="D25" s="2062"/>
      <c r="E25" s="2062"/>
      <c r="F25" s="2157"/>
      <c r="G25" s="2062"/>
      <c r="H25" s="2062"/>
      <c r="I25" s="2062"/>
      <c r="J25" s="2063"/>
      <c r="K25" s="2967"/>
      <c r="L25" s="2967"/>
      <c r="M25" s="2967"/>
      <c r="N25" s="2970" t="s">
        <v>2373</v>
      </c>
      <c r="O25" s="2971"/>
      <c r="P25" s="2972">
        <f>SUMPRODUCT((地价!A3:A41=YEAR(G19)&amp;"-"&amp;ROUNDUP(MONTH(G19)/3,0))*(地价!AD2:AH2=N25)*(地价!AD3:AH41))</f>
        <v>1.6E-2</v>
      </c>
      <c r="Q25" s="2967"/>
      <c r="R25" s="2967"/>
      <c r="S25" s="2967"/>
      <c r="T25" s="2967"/>
      <c r="U25" s="2967"/>
      <c r="V25" s="2967"/>
      <c r="W25" s="2967"/>
      <c r="X25" s="1551"/>
      <c r="Y25" s="1551"/>
      <c r="Z25" s="1551"/>
      <c r="AA25" s="1551"/>
      <c r="AB25" s="1551"/>
      <c r="AC25" s="1551"/>
      <c r="AD25" s="1551"/>
      <c r="AE25" s="1551"/>
      <c r="AF25" s="1551"/>
    </row>
    <row r="26" spans="1:35" ht="15">
      <c r="A26" s="1631"/>
      <c r="B26" s="2000" t="s">
        <v>2374</v>
      </c>
      <c r="C26" s="2807" t="e">
        <f>IF(B21="容积率修正",E29+SUM(E33:E39),SUM(V2:V16)+SUM(E33:E39))</f>
        <v>#REF!</v>
      </c>
      <c r="D26" s="2158"/>
      <c r="E26" s="2097"/>
      <c r="F26" s="1406"/>
      <c r="G26" s="2097"/>
      <c r="H26" s="2097"/>
      <c r="I26" s="2097"/>
      <c r="J26" s="2159"/>
      <c r="K26" s="2967"/>
      <c r="L26" s="2973" t="s">
        <v>2333</v>
      </c>
      <c r="M26" s="2060" t="s">
        <v>2334</v>
      </c>
      <c r="N26" s="2060" t="s">
        <v>2335</v>
      </c>
      <c r="O26" s="2060" t="s">
        <v>2336</v>
      </c>
      <c r="P26" s="2974" t="s">
        <v>2337</v>
      </c>
      <c r="Q26" s="2967"/>
      <c r="R26" s="2967"/>
      <c r="S26" s="2967"/>
      <c r="T26" s="2967"/>
      <c r="U26" s="2967"/>
      <c r="V26" s="2967"/>
      <c r="W26" s="2967"/>
      <c r="X26" s="1551"/>
      <c r="Y26" s="1551"/>
      <c r="Z26" s="1551"/>
      <c r="AA26" s="1551"/>
      <c r="AB26" s="1551"/>
      <c r="AC26" s="1551"/>
      <c r="AD26" s="1551"/>
      <c r="AE26" s="1551"/>
      <c r="AF26" s="1551"/>
    </row>
    <row r="27" spans="1:35" ht="15.75" thickBot="1">
      <c r="A27" s="1631"/>
      <c r="B27" s="1547" t="s">
        <v>2375</v>
      </c>
      <c r="C27" s="2160" t="e">
        <f>E30+SUM(I33:I39)</f>
        <v>#REF!</v>
      </c>
      <c r="D27" s="2109"/>
      <c r="E27" s="2161"/>
      <c r="F27" s="2162"/>
      <c r="G27" s="2161"/>
      <c r="H27" s="2161"/>
      <c r="I27" s="2161"/>
      <c r="J27" s="2163"/>
      <c r="K27" s="2967"/>
      <c r="L27" s="2164" t="s">
        <v>2340</v>
      </c>
      <c r="M27" s="2073">
        <v>0.25</v>
      </c>
      <c r="N27" s="2073">
        <v>0.2</v>
      </c>
      <c r="O27" s="2073">
        <v>0.15</v>
      </c>
      <c r="P27" s="2165">
        <v>0.1</v>
      </c>
      <c r="Q27" s="2967"/>
      <c r="R27" s="2967"/>
      <c r="S27" s="2967"/>
      <c r="T27" s="2967"/>
      <c r="U27" s="2967"/>
      <c r="V27" s="2967"/>
      <c r="W27" s="2967"/>
      <c r="X27" s="1551"/>
      <c r="Y27" s="1551"/>
      <c r="Z27" s="1551"/>
      <c r="AA27" s="1551"/>
      <c r="AB27" s="1551"/>
      <c r="AC27" s="1551"/>
      <c r="AD27" s="1551"/>
      <c r="AE27" s="1551"/>
      <c r="AF27" s="1551"/>
    </row>
    <row r="28" spans="1:35" ht="15.75" thickBot="1">
      <c r="A28" s="1646"/>
      <c r="B28" s="2166" t="s">
        <v>2376</v>
      </c>
      <c r="C28" s="2167" t="s">
        <v>2377</v>
      </c>
      <c r="D28" s="2167" t="s">
        <v>2378</v>
      </c>
      <c r="E28" s="1546" t="s">
        <v>2379</v>
      </c>
      <c r="F28" s="2168"/>
      <c r="G28" s="2084"/>
      <c r="H28" s="2084"/>
      <c r="I28" s="2084"/>
      <c r="J28" s="2085"/>
      <c r="K28" s="2967"/>
      <c r="L28" s="2169" t="s">
        <v>2343</v>
      </c>
      <c r="M28" s="2170">
        <f>ROUND($E$20*(1+M27),3)</f>
        <v>5.3999999999999999E-2</v>
      </c>
      <c r="N28" s="2170">
        <f>ROUND($E$20*(1+N27),3)</f>
        <v>5.1999999999999998E-2</v>
      </c>
      <c r="O28" s="2170">
        <f>ROUND($E$20*(1+O27),3)</f>
        <v>0.05</v>
      </c>
      <c r="P28" s="2088">
        <f>ROUND($E$20*(1+P27),3)</f>
        <v>4.8000000000000001E-2</v>
      </c>
      <c r="Q28" s="2967"/>
      <c r="R28" s="2967"/>
      <c r="S28" s="2967"/>
      <c r="T28" s="2967"/>
      <c r="U28" s="2967"/>
      <c r="V28" s="2967"/>
      <c r="W28" s="2967"/>
      <c r="X28" s="1551"/>
      <c r="Y28" s="1551"/>
      <c r="Z28" s="1551"/>
      <c r="AA28" s="1551"/>
      <c r="AB28" s="1551"/>
      <c r="AC28" s="1551"/>
      <c r="AD28" s="1551"/>
      <c r="AE28" s="1551"/>
      <c r="AF28" s="1551"/>
    </row>
    <row r="29" spans="1:35">
      <c r="A29" s="2171"/>
      <c r="B29" s="1548" t="s">
        <v>2380</v>
      </c>
      <c r="C29" s="54">
        <f>ROUND(C5*C18*C19*C20*C21*C24,0)</f>
        <v>0</v>
      </c>
      <c r="D29" s="2172">
        <f>项目基本情况!C12</f>
        <v>73.739999999999995</v>
      </c>
      <c r="E29" s="1959">
        <f>ROUND(C29*D29,0)</f>
        <v>0</v>
      </c>
      <c r="F29" s="2173" t="s">
        <v>2381</v>
      </c>
      <c r="G29" s="2174"/>
      <c r="H29" s="2174"/>
      <c r="I29" s="2174"/>
      <c r="J29" s="2175"/>
      <c r="K29" s="2967"/>
      <c r="L29" s="2967"/>
      <c r="M29" s="2967"/>
      <c r="N29" s="2967"/>
      <c r="O29" s="2967"/>
      <c r="P29" s="2967"/>
      <c r="Q29" s="2967"/>
      <c r="R29" s="2967"/>
      <c r="S29" s="2967"/>
      <c r="T29" s="2967"/>
      <c r="U29" s="2967"/>
      <c r="V29" s="2967"/>
      <c r="W29" s="2967"/>
      <c r="X29" s="1551"/>
      <c r="Y29" s="1551"/>
      <c r="Z29" s="1551"/>
      <c r="AA29" s="1551"/>
      <c r="AB29" s="1551"/>
      <c r="AC29" s="1551"/>
      <c r="AD29" s="1551"/>
      <c r="AE29" s="1551"/>
      <c r="AF29" s="1551"/>
    </row>
    <row r="30" spans="1:35" ht="25.5" thickBot="1">
      <c r="A30" s="2176"/>
      <c r="B30" s="1549" t="s">
        <v>2382</v>
      </c>
      <c r="C30" s="2100">
        <f>ROUND(IF(E2="工业",C29*M39,C29*M38),0)</f>
        <v>0</v>
      </c>
      <c r="D30" s="2177"/>
      <c r="E30" s="1959">
        <f>ROUND(C30*D30,0)</f>
        <v>0</v>
      </c>
      <c r="F30" s="2178" t="s">
        <v>2383</v>
      </c>
      <c r="G30" s="2179"/>
      <c r="H30" s="2179"/>
      <c r="I30" s="2179"/>
      <c r="J30" s="2180"/>
      <c r="K30" s="2967"/>
      <c r="L30" s="2967"/>
      <c r="M30" s="2967"/>
      <c r="N30" s="2967"/>
      <c r="O30" s="2967"/>
      <c r="P30" s="2967"/>
      <c r="Q30" s="2967"/>
      <c r="R30" s="2967"/>
      <c r="S30" s="2967"/>
      <c r="T30" s="2967"/>
      <c r="U30" s="2967"/>
      <c r="V30" s="2967"/>
      <c r="W30" s="2967"/>
      <c r="X30" s="1551"/>
      <c r="Y30" s="1551"/>
      <c r="Z30" s="1551"/>
      <c r="AA30" s="1551"/>
      <c r="AB30" s="1551"/>
      <c r="AC30" s="1551"/>
      <c r="AD30" s="1551"/>
      <c r="AE30" s="1551"/>
      <c r="AF30" s="1551"/>
    </row>
    <row r="31" spans="1:35">
      <c r="A31" s="2181"/>
      <c r="B31" s="1550" t="s">
        <v>2384</v>
      </c>
      <c r="C31" s="2182" t="s">
        <v>2385</v>
      </c>
      <c r="D31" s="2084"/>
      <c r="E31" s="2182"/>
      <c r="F31" s="2182"/>
      <c r="G31" s="2083" t="s">
        <v>2386</v>
      </c>
      <c r="H31" s="2084"/>
      <c r="I31" s="2183"/>
      <c r="J31" s="2085"/>
      <c r="K31" s="2967"/>
      <c r="L31" s="2967"/>
      <c r="M31" s="2967"/>
      <c r="N31" s="2967"/>
      <c r="O31" s="2967"/>
      <c r="P31" s="2967"/>
      <c r="Q31" s="2967"/>
      <c r="R31" s="2967"/>
      <c r="S31" s="2967"/>
      <c r="T31" s="2967"/>
      <c r="U31" s="2967"/>
      <c r="V31" s="2967"/>
      <c r="W31" s="2967"/>
      <c r="X31" s="1551"/>
      <c r="Y31" s="1551"/>
      <c r="Z31" s="1551"/>
      <c r="AA31" s="1551"/>
      <c r="AB31" s="1551"/>
      <c r="AC31" s="1551"/>
      <c r="AD31" s="1551"/>
      <c r="AE31" s="1551"/>
      <c r="AF31" s="1551"/>
    </row>
    <row r="32" spans="1:35" ht="24">
      <c r="A32" s="2171"/>
      <c r="B32" s="2184"/>
      <c r="C32" s="1739" t="s">
        <v>2377</v>
      </c>
      <c r="D32" s="1736" t="s">
        <v>2378</v>
      </c>
      <c r="E32" s="1736" t="s">
        <v>2379</v>
      </c>
      <c r="F32" s="50" t="s">
        <v>2387</v>
      </c>
      <c r="G32" s="2145" t="s">
        <v>2377</v>
      </c>
      <c r="H32" s="2145" t="s">
        <v>2378</v>
      </c>
      <c r="I32" s="2145" t="s">
        <v>2379</v>
      </c>
      <c r="J32" s="1997"/>
      <c r="K32" s="2967"/>
      <c r="L32" s="2967"/>
      <c r="M32" s="2967"/>
      <c r="N32" s="2967"/>
      <c r="O32" s="2967"/>
      <c r="P32" s="2967"/>
      <c r="Q32" s="2967"/>
      <c r="R32" s="2967"/>
      <c r="S32" s="2967"/>
      <c r="T32" s="2967"/>
      <c r="U32" s="2967"/>
      <c r="V32" s="2967"/>
      <c r="W32" s="2967"/>
      <c r="X32" s="1551"/>
      <c r="Y32" s="1551"/>
      <c r="Z32" s="1551"/>
      <c r="AA32" s="1551"/>
      <c r="AB32" s="1551"/>
      <c r="AC32" s="1551"/>
      <c r="AD32" s="1551"/>
      <c r="AE32" s="1551"/>
      <c r="AF32" s="1551"/>
    </row>
    <row r="33" spans="1:33">
      <c r="A33" s="3698" t="s">
        <v>2388</v>
      </c>
      <c r="B33" s="2185" t="s">
        <v>2389</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7"/>
      <c r="L33" s="2967"/>
      <c r="M33" s="2967"/>
      <c r="N33" s="2967"/>
      <c r="O33" s="2967"/>
      <c r="P33" s="2967"/>
      <c r="Q33" s="2967"/>
      <c r="R33" s="2967"/>
      <c r="S33" s="2967"/>
      <c r="T33" s="2967"/>
      <c r="U33" s="2967"/>
      <c r="V33" s="2967"/>
      <c r="W33" s="2967"/>
      <c r="X33" s="1551"/>
      <c r="Y33" s="1551"/>
      <c r="Z33" s="1551"/>
      <c r="AA33" s="1551"/>
      <c r="AB33" s="1551"/>
      <c r="AC33" s="1551"/>
      <c r="AD33" s="1551"/>
      <c r="AE33" s="1551"/>
      <c r="AF33" s="1551"/>
    </row>
    <row r="34" spans="1:33">
      <c r="A34" s="3699"/>
      <c r="B34" s="2090" t="s">
        <v>2390</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7"/>
      <c r="L34" s="2967"/>
      <c r="M34" s="2967"/>
      <c r="N34" s="2967"/>
      <c r="O34" s="2967"/>
      <c r="P34" s="2967"/>
      <c r="Q34" s="2967"/>
      <c r="R34" s="2967"/>
      <c r="S34" s="2967"/>
      <c r="T34" s="2967"/>
      <c r="U34" s="2967"/>
      <c r="V34" s="2967"/>
      <c r="W34" s="2967"/>
      <c r="X34" s="1551"/>
      <c r="Y34" s="1551"/>
      <c r="Z34" s="1551"/>
      <c r="AA34" s="1551"/>
      <c r="AB34" s="1551"/>
      <c r="AC34" s="1551"/>
      <c r="AD34" s="1551"/>
      <c r="AE34" s="1551"/>
      <c r="AF34" s="1551"/>
    </row>
    <row r="35" spans="1:33">
      <c r="A35" s="3699"/>
      <c r="B35" s="2090" t="s">
        <v>2391</v>
      </c>
      <c r="C35" s="54">
        <f>ROUND(D5*C19*C20*C24*F35,0)</f>
        <v>0</v>
      </c>
      <c r="D35" s="2172"/>
      <c r="E35" s="50">
        <f t="shared" si="7"/>
        <v>0</v>
      </c>
      <c r="F35" s="50">
        <f>SUMIF(修正!A57:A68,G2,修正!D57:D68)</f>
        <v>0</v>
      </c>
      <c r="G35" s="50">
        <f>ROUND(IF(E2="工业",C35*$M$39,C35*$M$38),0)</f>
        <v>0</v>
      </c>
      <c r="H35" s="50">
        <f t="shared" si="10"/>
        <v>0</v>
      </c>
      <c r="I35" s="50">
        <f t="shared" si="9"/>
        <v>0</v>
      </c>
      <c r="J35" s="2159"/>
      <c r="K35" s="2967"/>
      <c r="L35" s="2967"/>
      <c r="M35" s="2967"/>
      <c r="N35" s="2967"/>
      <c r="O35" s="2967"/>
      <c r="P35" s="2967"/>
      <c r="Q35" s="2967"/>
      <c r="R35" s="2967"/>
      <c r="S35" s="2967"/>
      <c r="T35" s="2967"/>
      <c r="U35" s="2967"/>
      <c r="V35" s="2967"/>
      <c r="W35" s="2967"/>
      <c r="X35" s="1551"/>
      <c r="Y35" s="1551"/>
      <c r="Z35" s="1551"/>
      <c r="AA35" s="1551"/>
      <c r="AB35" s="1551"/>
      <c r="AC35" s="1551"/>
      <c r="AD35" s="1551"/>
      <c r="AE35" s="1551"/>
      <c r="AF35" s="1551"/>
    </row>
    <row r="36" spans="1:33" ht="13.5" thickBot="1">
      <c r="A36" s="3700"/>
      <c r="B36" s="2090" t="s">
        <v>2392</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7"/>
      <c r="L36" s="2967"/>
      <c r="M36" s="2967"/>
      <c r="N36" s="2967"/>
      <c r="O36" s="2967"/>
      <c r="P36" s="2967"/>
      <c r="Q36" s="2967"/>
      <c r="R36" s="2967"/>
      <c r="S36" s="2967"/>
      <c r="T36" s="2967"/>
      <c r="U36" s="2967"/>
      <c r="V36" s="2967"/>
      <c r="W36" s="2967"/>
      <c r="X36" s="1551"/>
      <c r="Y36" s="1551"/>
      <c r="Z36" s="1551"/>
      <c r="AA36" s="1551"/>
      <c r="AB36" s="1551"/>
      <c r="AC36" s="1551"/>
      <c r="AD36" s="1551"/>
      <c r="AE36" s="1551"/>
      <c r="AF36" s="1551"/>
    </row>
    <row r="37" spans="1:33">
      <c r="A37" s="2186"/>
      <c r="B37" s="2090" t="s">
        <v>2393</v>
      </c>
      <c r="C37" s="50">
        <f>ROUND(D5*C19*C20*C24*F37,0)</f>
        <v>0</v>
      </c>
      <c r="D37" s="2172"/>
      <c r="E37" s="50">
        <f t="shared" si="7"/>
        <v>0</v>
      </c>
      <c r="F37" s="54">
        <f>SUMIF(修正!A57:A68,G2,修正!E57:E68)</f>
        <v>0</v>
      </c>
      <c r="G37" s="50">
        <f>ROUND(IF(E2="工业",C37*$M$39,C37*$M$38),0)</f>
        <v>0</v>
      </c>
      <c r="H37" s="50">
        <f t="shared" si="10"/>
        <v>0</v>
      </c>
      <c r="I37" s="50">
        <f t="shared" si="9"/>
        <v>0</v>
      </c>
      <c r="J37" s="2159"/>
      <c r="K37" s="2967"/>
      <c r="L37" s="2187" t="s">
        <v>2394</v>
      </c>
      <c r="M37" s="2063"/>
      <c r="N37" s="2967"/>
      <c r="O37" s="2967"/>
      <c r="P37" s="2967"/>
      <c r="Q37" s="2967"/>
      <c r="R37" s="2967"/>
      <c r="S37" s="2967"/>
      <c r="T37" s="2967"/>
      <c r="U37" s="2967"/>
      <c r="V37" s="2967"/>
      <c r="W37" s="2967"/>
      <c r="X37" s="1551"/>
      <c r="Y37" s="1551"/>
      <c r="Z37" s="1551"/>
      <c r="AA37" s="1551"/>
      <c r="AB37" s="1551"/>
      <c r="AC37" s="1551"/>
      <c r="AD37" s="1551"/>
      <c r="AE37" s="1551"/>
      <c r="AF37" s="1551"/>
    </row>
    <row r="38" spans="1:33">
      <c r="A38" s="2186"/>
      <c r="B38" s="2090" t="s">
        <v>2395</v>
      </c>
      <c r="C38" s="50">
        <f>ROUND(D5*C19*C41*C24*F38,0)</f>
        <v>0</v>
      </c>
      <c r="D38" s="2172"/>
      <c r="E38" s="50">
        <f t="shared" si="7"/>
        <v>0</v>
      </c>
      <c r="F38" s="54">
        <f>SUMIF(修正!A57:A68,G2,修正!F57:F68)</f>
        <v>0</v>
      </c>
      <c r="G38" s="50">
        <f>ROUND(IF(E2="工业",C38*$M$39,C38*$M$38),0)</f>
        <v>0</v>
      </c>
      <c r="H38" s="50">
        <f t="shared" si="10"/>
        <v>0</v>
      </c>
      <c r="I38" s="50">
        <f t="shared" si="9"/>
        <v>0</v>
      </c>
      <c r="J38" s="2159"/>
      <c r="K38" s="2967"/>
      <c r="L38" s="2188" t="s">
        <v>2396</v>
      </c>
      <c r="M38" s="2189">
        <v>0.25</v>
      </c>
      <c r="N38" s="2967"/>
      <c r="O38" s="2967"/>
      <c r="P38" s="2967"/>
      <c r="Q38" s="2967"/>
      <c r="R38" s="2967"/>
      <c r="S38" s="2967"/>
      <c r="T38" s="2967"/>
      <c r="U38" s="2967"/>
      <c r="V38" s="2967"/>
      <c r="W38" s="2967"/>
      <c r="X38" s="1551"/>
      <c r="Y38" s="1551"/>
      <c r="Z38" s="1551"/>
      <c r="AA38" s="1551"/>
      <c r="AB38" s="1551"/>
      <c r="AC38" s="1551"/>
      <c r="AD38" s="1551"/>
      <c r="AE38" s="1551"/>
      <c r="AF38" s="1551"/>
    </row>
    <row r="39" spans="1:33" ht="13.5" thickBot="1">
      <c r="A39" s="2176"/>
      <c r="B39" s="2190" t="s">
        <v>2397</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7"/>
      <c r="L39" s="2191" t="s">
        <v>2337</v>
      </c>
      <c r="M39" s="2192">
        <v>0.15</v>
      </c>
      <c r="N39" s="2967"/>
      <c r="O39" s="2967"/>
      <c r="P39" s="2967"/>
      <c r="Q39" s="2967"/>
      <c r="R39" s="2967"/>
      <c r="S39" s="2967"/>
      <c r="T39" s="2967"/>
      <c r="U39" s="2967"/>
      <c r="V39" s="2967"/>
      <c r="W39" s="2967"/>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7"/>
      <c r="L40" s="2967"/>
      <c r="M40" s="2967"/>
      <c r="N40" s="2967"/>
      <c r="O40" s="2967"/>
      <c r="P40" s="2967"/>
      <c r="Q40" s="2967"/>
      <c r="R40" s="2967"/>
      <c r="S40" s="2967"/>
      <c r="T40" s="2967"/>
      <c r="U40" s="2967"/>
      <c r="V40" s="2967"/>
      <c r="W40" s="2967"/>
      <c r="X40" s="1551"/>
      <c r="Y40" s="1551"/>
      <c r="Z40" s="1551"/>
      <c r="AA40" s="1551"/>
      <c r="AB40" s="1551"/>
      <c r="AC40" s="1551"/>
      <c r="AD40" s="1551"/>
      <c r="AE40" s="1551"/>
      <c r="AF40" s="1551"/>
    </row>
    <row r="41" spans="1:33" s="2193" customFormat="1">
      <c r="A41" s="1551"/>
      <c r="B41" s="2194" t="s">
        <v>2476</v>
      </c>
      <c r="C41" s="50">
        <f>ROUND(POWER(1+E41,H41-G41)*(POWER(1+E41,G41)-1)/(POWER(1+E41,H41)-1),4)</f>
        <v>0</v>
      </c>
      <c r="D41" s="50" t="s">
        <v>2474</v>
      </c>
      <c r="E41" s="2195">
        <f>G20</f>
        <v>0.05</v>
      </c>
      <c r="F41" s="50" t="s">
        <v>2475</v>
      </c>
      <c r="G41" s="2196"/>
      <c r="H41" s="50">
        <v>50</v>
      </c>
      <c r="I41" s="1551"/>
      <c r="J41" s="1551"/>
      <c r="K41" s="2967"/>
      <c r="L41" s="2967"/>
      <c r="M41" s="2967"/>
      <c r="N41" s="2967"/>
      <c r="O41" s="2967"/>
      <c r="P41" s="2967"/>
      <c r="Q41" s="2967"/>
      <c r="R41" s="2967"/>
      <c r="S41" s="2967"/>
      <c r="T41" s="2967"/>
      <c r="U41" s="2967"/>
      <c r="V41" s="2967"/>
      <c r="W41" s="2967"/>
      <c r="X41" s="1551"/>
      <c r="Y41" s="1551"/>
      <c r="Z41" s="1551"/>
      <c r="AA41" s="1551"/>
      <c r="AB41" s="1551"/>
      <c r="AC41" s="1551"/>
      <c r="AD41" s="1551"/>
      <c r="AE41" s="1551"/>
      <c r="AF41" s="1551"/>
    </row>
    <row r="42" spans="1:33" s="2193" customFormat="1">
      <c r="A42" s="2967"/>
      <c r="B42" s="2967"/>
      <c r="C42" s="2967"/>
      <c r="D42" s="2967"/>
      <c r="E42" s="2967"/>
      <c r="F42" s="2967"/>
      <c r="G42" s="2967"/>
      <c r="H42" s="2967"/>
      <c r="I42" s="2967"/>
      <c r="J42" s="2967"/>
      <c r="K42" s="2967"/>
      <c r="L42" s="2967"/>
      <c r="M42" s="2967"/>
      <c r="N42" s="2967"/>
      <c r="O42" s="2967"/>
      <c r="P42" s="2967"/>
      <c r="Q42" s="2967"/>
      <c r="R42" s="2967"/>
      <c r="S42" s="2967"/>
      <c r="T42" s="2967"/>
      <c r="U42" s="2967"/>
      <c r="V42" s="2967"/>
      <c r="W42" s="2967"/>
      <c r="X42" s="1551"/>
      <c r="Y42" s="1551"/>
      <c r="Z42" s="1551"/>
      <c r="AA42" s="1551"/>
      <c r="AB42" s="1551"/>
      <c r="AC42" s="1551"/>
      <c r="AD42" s="1551"/>
      <c r="AE42" s="1551"/>
      <c r="AF42" s="1551"/>
    </row>
    <row r="43" spans="1:33" s="2193" customFormat="1">
      <c r="A43" s="2967"/>
      <c r="B43" s="2967"/>
      <c r="C43" s="2967"/>
      <c r="D43" s="2967"/>
      <c r="E43" s="2967"/>
      <c r="F43" s="2967"/>
      <c r="G43" s="2967"/>
      <c r="H43" s="2967"/>
      <c r="I43" s="2967"/>
      <c r="J43" s="2967"/>
      <c r="K43" s="2967"/>
      <c r="L43" s="2967"/>
      <c r="M43" s="2967"/>
      <c r="N43" s="2967"/>
      <c r="O43" s="2967"/>
      <c r="P43" s="2967"/>
      <c r="Q43" s="2967"/>
      <c r="R43" s="2967"/>
      <c r="S43" s="2967"/>
      <c r="T43" s="2967"/>
      <c r="U43" s="2967"/>
      <c r="V43" s="2967"/>
      <c r="W43" s="2967"/>
      <c r="X43" s="1551"/>
      <c r="Y43" s="1551"/>
      <c r="Z43" s="1551"/>
      <c r="AA43" s="1551"/>
      <c r="AB43" s="1551"/>
      <c r="AC43" s="1551"/>
      <c r="AD43" s="1551"/>
      <c r="AE43" s="1551"/>
      <c r="AF43" s="1551"/>
    </row>
    <row r="44" spans="1:33" s="2193" customFormat="1">
      <c r="A44" s="2967"/>
      <c r="B44" s="2967"/>
      <c r="C44" s="2967"/>
      <c r="D44" s="2967"/>
      <c r="E44" s="2967"/>
      <c r="F44" s="2967"/>
      <c r="G44" s="2967"/>
      <c r="H44" s="2967"/>
      <c r="I44" s="2967"/>
      <c r="J44" s="2967"/>
      <c r="K44" s="2967"/>
      <c r="L44" s="2967"/>
      <c r="M44" s="2967"/>
      <c r="N44" s="2967"/>
      <c r="O44" s="2967"/>
      <c r="P44" s="2967"/>
      <c r="Q44" s="2967"/>
      <c r="R44" s="2967"/>
      <c r="S44" s="2967"/>
      <c r="T44" s="2967"/>
      <c r="U44" s="2967"/>
      <c r="V44" s="2967"/>
      <c r="W44" s="2967"/>
      <c r="X44" s="1551"/>
      <c r="Y44" s="1551"/>
      <c r="Z44" s="1551"/>
      <c r="AA44" s="1551"/>
      <c r="AB44" s="1551"/>
      <c r="AC44" s="1551"/>
      <c r="AD44" s="1551"/>
      <c r="AE44" s="1551"/>
      <c r="AF44" s="1551"/>
    </row>
    <row r="45" spans="1:33" s="2193" customFormat="1" ht="15.75" thickBot="1">
      <c r="A45" s="2197" t="s">
        <v>2398</v>
      </c>
      <c r="B45" s="2198"/>
      <c r="C45" s="608"/>
      <c r="D45" s="608"/>
      <c r="E45" s="608"/>
      <c r="F45" s="608"/>
      <c r="G45" s="608"/>
      <c r="H45" s="608"/>
      <c r="I45" s="608"/>
      <c r="J45" s="608"/>
      <c r="K45" s="608"/>
      <c r="L45" s="608"/>
      <c r="M45" s="608"/>
      <c r="N45" s="2028"/>
      <c r="O45" s="1551"/>
      <c r="P45" s="1551"/>
      <c r="Q45" s="2967"/>
      <c r="R45" s="2967"/>
      <c r="S45" s="2967"/>
      <c r="T45" s="2967"/>
      <c r="U45" s="2967"/>
      <c r="V45" s="2967"/>
      <c r="W45" s="2967"/>
      <c r="X45" s="1551"/>
      <c r="Y45" s="1551"/>
      <c r="Z45" s="1551"/>
      <c r="AA45" s="1551"/>
      <c r="AB45" s="1551"/>
      <c r="AC45" s="1551"/>
      <c r="AD45" s="1551"/>
      <c r="AE45" s="1551"/>
      <c r="AF45" s="1551"/>
    </row>
    <row r="46" spans="1:33" s="2193" customFormat="1" ht="15">
      <c r="A46" s="2199" t="s">
        <v>2399</v>
      </c>
      <c r="B46" s="2200">
        <f>1+E48</f>
        <v>1</v>
      </c>
      <c r="C46" s="2201"/>
      <c r="D46" s="2202"/>
      <c r="E46" s="2203"/>
      <c r="F46" s="2204"/>
      <c r="G46" s="608"/>
      <c r="H46" s="608"/>
      <c r="I46" s="608"/>
      <c r="J46" s="608"/>
      <c r="K46" s="608"/>
      <c r="L46" s="608"/>
      <c r="M46" s="2028"/>
      <c r="N46" s="2205"/>
      <c r="O46" s="1551"/>
      <c r="P46" s="1551"/>
      <c r="Q46" s="2967"/>
      <c r="R46" s="2967"/>
      <c r="S46" s="2967"/>
      <c r="T46" s="2967"/>
      <c r="U46" s="2967"/>
      <c r="V46" s="2967"/>
      <c r="W46" s="2967"/>
      <c r="X46" s="1551"/>
      <c r="Y46" s="1551"/>
      <c r="Z46" s="1551"/>
      <c r="AA46" s="1551"/>
      <c r="AB46" s="1551"/>
      <c r="AC46" s="1551"/>
      <c r="AD46" s="1551"/>
      <c r="AE46" s="1551"/>
    </row>
    <row r="47" spans="1:33" s="2193" customFormat="1" ht="24.75">
      <c r="A47" s="2206" t="s">
        <v>2400</v>
      </c>
      <c r="B47" s="2207" t="s">
        <v>2401</v>
      </c>
      <c r="C47" s="2207" t="s">
        <v>2402</v>
      </c>
      <c r="D47" s="2207" t="s">
        <v>2403</v>
      </c>
      <c r="E47" s="2208" t="s">
        <v>2404</v>
      </c>
      <c r="F47" s="2158" t="s">
        <v>2405</v>
      </c>
      <c r="G47" s="2207" t="s">
        <v>2406</v>
      </c>
      <c r="H47" s="2209" t="s">
        <v>2407</v>
      </c>
      <c r="I47" s="2207" t="s">
        <v>2408</v>
      </c>
      <c r="J47" s="1834" t="s">
        <v>2409</v>
      </c>
      <c r="K47" s="1834" t="s">
        <v>2410</v>
      </c>
      <c r="L47" s="1834" t="s">
        <v>2411</v>
      </c>
      <c r="M47" s="1834" t="s">
        <v>2412</v>
      </c>
      <c r="N47" s="1834" t="s">
        <v>2413</v>
      </c>
      <c r="O47" s="1551"/>
      <c r="P47" s="1551"/>
      <c r="Q47" s="2967"/>
      <c r="R47" s="2967"/>
      <c r="S47" s="2967"/>
      <c r="T47" s="2967"/>
      <c r="U47" s="2967"/>
      <c r="V47" s="2967"/>
      <c r="W47" s="2967"/>
      <c r="X47" s="1551"/>
      <c r="Y47" s="1551"/>
      <c r="Z47" s="1551"/>
      <c r="AA47" s="1551"/>
      <c r="AB47" s="1551"/>
      <c r="AC47" s="1551"/>
      <c r="AD47" s="1551"/>
      <c r="AE47" s="1551"/>
      <c r="AF47" s="1551"/>
      <c r="AG47" s="1551"/>
    </row>
    <row r="48" spans="1:33" s="2193" customFormat="1" ht="38.25">
      <c r="A48" s="2206" t="s">
        <v>2414</v>
      </c>
      <c r="B48" s="2210" t="str">
        <f>估价对象房地状况!C16</f>
        <v>估价对象位于XX商圈，周边商业氛围成熟，人流量大，商业繁华度好</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7"/>
      <c r="R48" s="2967"/>
      <c r="S48" s="2967"/>
      <c r="T48" s="2967"/>
      <c r="U48" s="2967"/>
      <c r="V48" s="2967"/>
      <c r="W48" s="2967"/>
      <c r="X48" s="1551"/>
      <c r="Y48" s="1551"/>
      <c r="Z48" s="1551"/>
      <c r="AA48" s="1551"/>
      <c r="AB48" s="1551"/>
      <c r="AC48" s="1551"/>
      <c r="AD48" s="1551"/>
      <c r="AE48" s="1551"/>
      <c r="AF48" s="1551"/>
      <c r="AG48" s="1551"/>
    </row>
    <row r="49" spans="1:33" s="2193" customFormat="1" ht="51">
      <c r="A49" s="2206" t="s">
        <v>2415</v>
      </c>
      <c r="B49" s="2218" t="str">
        <f>估价对象房地状况!C18</f>
        <v>估价对象周边道路状况、公共交通通达情况、停车便捷程度，综合评价交通便捷度较好</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7"/>
      <c r="R49" s="2967"/>
      <c r="S49" s="2967"/>
      <c r="T49" s="2967"/>
      <c r="U49" s="2967"/>
      <c r="V49" s="2967"/>
      <c r="W49" s="2967"/>
      <c r="X49" s="1551"/>
      <c r="Y49" s="1551"/>
      <c r="Z49" s="1551"/>
      <c r="AA49" s="1551"/>
      <c r="AB49" s="1551"/>
      <c r="AC49" s="1551"/>
      <c r="AD49" s="1551"/>
      <c r="AE49" s="1551"/>
      <c r="AF49" s="1551"/>
      <c r="AG49" s="1551"/>
    </row>
    <row r="50" spans="1:33" s="2193" customFormat="1" ht="24">
      <c r="A50" s="2206" t="s">
        <v>2416</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7"/>
      <c r="R50" s="2967"/>
      <c r="S50" s="2967"/>
      <c r="T50" s="2967"/>
      <c r="U50" s="2967"/>
      <c r="V50" s="2967"/>
      <c r="W50" s="2967"/>
      <c r="X50" s="1551"/>
      <c r="Y50" s="1551"/>
      <c r="Z50" s="1551"/>
      <c r="AA50" s="1551"/>
      <c r="AB50" s="1551"/>
      <c r="AC50" s="1551"/>
      <c r="AD50" s="1551"/>
      <c r="AE50" s="1551"/>
      <c r="AF50" s="1551"/>
      <c r="AG50" s="1551"/>
    </row>
    <row r="51" spans="1:33" s="2193" customFormat="1" ht="36.75">
      <c r="A51" s="2206" t="s">
        <v>2417</v>
      </c>
      <c r="B51" s="2220" t="s">
        <v>2418</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7"/>
      <c r="R51" s="2967"/>
      <c r="S51" s="2967"/>
      <c r="T51" s="2967"/>
      <c r="U51" s="2967"/>
      <c r="V51" s="2967"/>
      <c r="W51" s="2967"/>
      <c r="X51" s="1551"/>
      <c r="Y51" s="1551"/>
      <c r="Z51" s="1551"/>
      <c r="AA51" s="1551"/>
      <c r="AB51" s="1551"/>
      <c r="AC51" s="1551"/>
      <c r="AD51" s="1551"/>
      <c r="AE51" s="1551"/>
      <c r="AF51" s="1551"/>
      <c r="AG51" s="1551"/>
    </row>
    <row r="52" spans="1:33" s="2193" customFormat="1" ht="24">
      <c r="A52" s="2206" t="s">
        <v>2419</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7"/>
      <c r="R52" s="2967"/>
      <c r="S52" s="2967"/>
      <c r="T52" s="2967"/>
      <c r="U52" s="2967"/>
      <c r="V52" s="2967"/>
      <c r="W52" s="2967"/>
      <c r="X52" s="1551"/>
      <c r="Y52" s="1551"/>
      <c r="Z52" s="1551"/>
      <c r="AA52" s="1551"/>
      <c r="AB52" s="1551"/>
      <c r="AC52" s="1551"/>
      <c r="AD52" s="1551"/>
      <c r="AE52" s="1551"/>
      <c r="AF52" s="1551"/>
      <c r="AG52" s="1551"/>
    </row>
    <row r="53" spans="1:33" s="2193" customFormat="1" ht="24">
      <c r="A53" s="2206" t="s">
        <v>2420</v>
      </c>
      <c r="B53" s="2221" t="s">
        <v>2421</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7"/>
      <c r="R53" s="2967"/>
      <c r="S53" s="2967"/>
      <c r="T53" s="2967"/>
      <c r="U53" s="2967"/>
      <c r="V53" s="2967"/>
      <c r="W53" s="2967"/>
      <c r="X53" s="1551"/>
      <c r="Y53" s="1551"/>
      <c r="Z53" s="1551"/>
      <c r="AA53" s="1551"/>
      <c r="AB53" s="1551"/>
      <c r="AC53" s="1551"/>
      <c r="AD53" s="1551"/>
      <c r="AE53" s="1551"/>
      <c r="AF53" s="1551"/>
      <c r="AG53" s="1551"/>
    </row>
    <row r="54" spans="1:33" s="2193" customFormat="1" ht="25.5">
      <c r="A54" s="2222" t="s">
        <v>2422</v>
      </c>
      <c r="B54" s="2223" t="str">
        <f>估价对象房地状况!C21</f>
        <v>估价对象所在区域公共配套设施齐备情况</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7"/>
      <c r="R54" s="2967"/>
      <c r="S54" s="2967"/>
      <c r="T54" s="2967"/>
      <c r="U54" s="2967"/>
      <c r="V54" s="2967"/>
      <c r="W54" s="2967"/>
      <c r="X54" s="1551"/>
      <c r="Y54" s="1551"/>
      <c r="Z54" s="1551"/>
      <c r="AA54" s="1551"/>
      <c r="AB54" s="1551"/>
      <c r="AC54" s="1551"/>
      <c r="AD54" s="1551"/>
      <c r="AE54" s="1551"/>
      <c r="AF54" s="1551"/>
      <c r="AG54" s="1551"/>
    </row>
    <row r="55" spans="1:33" s="2193" customFormat="1" ht="25.5">
      <c r="A55" s="2222" t="s">
        <v>2423</v>
      </c>
      <c r="B55" s="2218" t="str">
        <f>估价对象房地状况!C22</f>
        <v>估价对象所在区域基础设施水平</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7"/>
      <c r="R55" s="2967"/>
      <c r="S55" s="2967"/>
      <c r="T55" s="2967"/>
      <c r="U55" s="2967"/>
      <c r="V55" s="2967"/>
      <c r="W55" s="2967"/>
      <c r="X55" s="1551"/>
      <c r="Y55" s="1551"/>
      <c r="Z55" s="1551"/>
      <c r="AA55" s="1551"/>
      <c r="AB55" s="1551"/>
      <c r="AC55" s="1551"/>
      <c r="AD55" s="1551"/>
      <c r="AE55" s="1551"/>
      <c r="AF55" s="1551"/>
      <c r="AG55" s="1551"/>
    </row>
    <row r="56" spans="1:33" s="2193" customFormat="1" ht="39" thickBot="1">
      <c r="A56" s="2224" t="s">
        <v>2424</v>
      </c>
      <c r="B56" s="2225" t="str">
        <f>估价对象房地状况!C20</f>
        <v>区域自然环境：；人文环境；综合评价环境状况一般</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7"/>
      <c r="R56" s="2967"/>
      <c r="S56" s="2967"/>
      <c r="T56" s="2967"/>
      <c r="U56" s="2967"/>
      <c r="V56" s="2967"/>
      <c r="W56" s="2967"/>
      <c r="X56" s="1551"/>
      <c r="Y56" s="1551"/>
      <c r="Z56" s="1551"/>
      <c r="AA56" s="1551"/>
      <c r="AB56" s="1551"/>
      <c r="AC56" s="1551"/>
      <c r="AD56" s="1551"/>
      <c r="AE56" s="1551"/>
      <c r="AF56" s="1551"/>
      <c r="AG56" s="1551"/>
    </row>
    <row r="57" spans="1:33" s="2193" customFormat="1" ht="15">
      <c r="A57" s="2199" t="s">
        <v>2425</v>
      </c>
      <c r="B57" s="2228">
        <f>1+E59</f>
        <v>1</v>
      </c>
      <c r="C57" s="2202"/>
      <c r="D57" s="2202"/>
      <c r="E57" s="2203"/>
      <c r="F57" s="2204"/>
      <c r="G57" s="608"/>
      <c r="H57" s="608"/>
      <c r="I57" s="608"/>
      <c r="J57" s="608"/>
      <c r="K57" s="608"/>
      <c r="L57" s="608"/>
      <c r="M57" s="608"/>
      <c r="N57" s="608"/>
      <c r="O57" s="1551"/>
      <c r="P57" s="1551"/>
      <c r="Q57" s="2967"/>
      <c r="R57" s="2967"/>
      <c r="S57" s="2967"/>
      <c r="T57" s="2967"/>
      <c r="U57" s="2967"/>
      <c r="V57" s="2967"/>
      <c r="W57" s="2967"/>
      <c r="X57" s="1551"/>
      <c r="Y57" s="1551"/>
      <c r="Z57" s="1551"/>
      <c r="AA57" s="1551"/>
      <c r="AB57" s="1551"/>
      <c r="AC57" s="1551"/>
      <c r="AD57" s="1551"/>
      <c r="AE57" s="1551"/>
      <c r="AF57" s="1551"/>
      <c r="AG57" s="1551"/>
    </row>
    <row r="58" spans="1:33" s="2193" customFormat="1" ht="24.75">
      <c r="A58" s="2206" t="s">
        <v>2400</v>
      </c>
      <c r="B58" s="2218"/>
      <c r="C58" s="2207" t="s">
        <v>2402</v>
      </c>
      <c r="D58" s="2207" t="s">
        <v>2403</v>
      </c>
      <c r="E58" s="2208" t="s">
        <v>2404</v>
      </c>
      <c r="F58" s="2158" t="s">
        <v>2405</v>
      </c>
      <c r="G58" s="2207" t="s">
        <v>2426</v>
      </c>
      <c r="H58" s="2209" t="s">
        <v>2427</v>
      </c>
      <c r="I58" s="2207" t="s">
        <v>2428</v>
      </c>
      <c r="J58" s="1834" t="s">
        <v>2069</v>
      </c>
      <c r="K58" s="1834" t="s">
        <v>2070</v>
      </c>
      <c r="L58" s="1834" t="s">
        <v>2071</v>
      </c>
      <c r="M58" s="1834" t="s">
        <v>2072</v>
      </c>
      <c r="N58" s="1834" t="s">
        <v>2073</v>
      </c>
      <c r="O58" s="1551"/>
      <c r="P58" s="1551"/>
      <c r="Q58" s="2967"/>
      <c r="R58" s="2967"/>
      <c r="S58" s="2967"/>
      <c r="T58" s="2967"/>
      <c r="U58" s="2967"/>
      <c r="V58" s="2967"/>
      <c r="W58" s="2967"/>
      <c r="X58" s="1551"/>
      <c r="Y58" s="1551"/>
      <c r="Z58" s="1551"/>
      <c r="AA58" s="1551"/>
      <c r="AB58" s="1551"/>
      <c r="AC58" s="1551"/>
      <c r="AD58" s="1551"/>
      <c r="AE58" s="1551"/>
      <c r="AF58" s="1551"/>
      <c r="AG58" s="1551"/>
    </row>
    <row r="59" spans="1:33" s="2193" customFormat="1" ht="38.25">
      <c r="A59" s="2206" t="s">
        <v>2429</v>
      </c>
      <c r="B59" s="2210" t="str">
        <f>估价对象房地状况!C17</f>
        <v>估价对象位于XX商圈，周边办公楼项目较多，入驻率高，办公集聚程度较好</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7"/>
      <c r="R59" s="2967"/>
      <c r="S59" s="2967"/>
      <c r="T59" s="2967"/>
      <c r="U59" s="2967"/>
      <c r="V59" s="2967"/>
      <c r="W59" s="2967"/>
      <c r="X59" s="1551"/>
      <c r="Y59" s="1551"/>
      <c r="Z59" s="1551"/>
      <c r="AA59" s="1551"/>
      <c r="AB59" s="1551"/>
      <c r="AC59" s="1551"/>
      <c r="AD59" s="1551"/>
      <c r="AE59" s="1551"/>
      <c r="AF59" s="1551"/>
      <c r="AG59" s="1551"/>
    </row>
    <row r="60" spans="1:33" s="2193" customFormat="1" ht="51">
      <c r="A60" s="2206" t="s">
        <v>2415</v>
      </c>
      <c r="B60" s="2218" t="str">
        <f>估价对象房地状况!C18</f>
        <v>估价对象周边道路状况、公共交通通达情况、停车便捷程度，综合评价交通便捷度较好</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7"/>
      <c r="R60" s="2967"/>
      <c r="S60" s="2967"/>
      <c r="T60" s="2967"/>
      <c r="U60" s="2967"/>
      <c r="V60" s="2967"/>
      <c r="W60" s="2967"/>
      <c r="X60" s="1551"/>
      <c r="Y60" s="1551"/>
      <c r="Z60" s="1551"/>
      <c r="AA60" s="1551"/>
      <c r="AB60" s="1551"/>
      <c r="AC60" s="1551"/>
      <c r="AD60" s="1551"/>
      <c r="AE60" s="1551"/>
      <c r="AF60" s="1551"/>
      <c r="AG60" s="1551"/>
    </row>
    <row r="61" spans="1:33" s="2193" customFormat="1" ht="24">
      <c r="A61" s="2206" t="s">
        <v>2416</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7"/>
      <c r="R61" s="2967"/>
      <c r="S61" s="2967"/>
      <c r="T61" s="2967"/>
      <c r="U61" s="2967"/>
      <c r="V61" s="2967"/>
      <c r="W61" s="2967"/>
      <c r="X61" s="1551"/>
      <c r="Y61" s="1551"/>
      <c r="Z61" s="1551"/>
      <c r="AA61" s="1551"/>
      <c r="AB61" s="1551"/>
      <c r="AC61" s="1551"/>
      <c r="AD61" s="1551"/>
      <c r="AE61" s="1551"/>
      <c r="AF61" s="1551"/>
      <c r="AG61" s="1551"/>
    </row>
    <row r="62" spans="1:33" s="2193" customFormat="1" ht="36.75">
      <c r="A62" s="2206" t="s">
        <v>2417</v>
      </c>
      <c r="B62" s="2220" t="s">
        <v>2418</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7"/>
      <c r="R62" s="2967"/>
      <c r="S62" s="2967"/>
      <c r="T62" s="2967"/>
      <c r="U62" s="2967"/>
      <c r="V62" s="2967"/>
      <c r="W62" s="2967"/>
      <c r="X62" s="1551"/>
      <c r="Y62" s="1551"/>
      <c r="Z62" s="1551"/>
      <c r="AA62" s="1551"/>
      <c r="AB62" s="1551"/>
      <c r="AC62" s="1551"/>
      <c r="AD62" s="1551"/>
      <c r="AE62" s="1551"/>
      <c r="AF62" s="1551"/>
      <c r="AG62" s="1551"/>
    </row>
    <row r="63" spans="1:33" s="2193" customFormat="1" ht="24">
      <c r="A63" s="2206" t="s">
        <v>2419</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7"/>
      <c r="R63" s="2967"/>
      <c r="S63" s="2967"/>
      <c r="T63" s="2967"/>
      <c r="U63" s="2967"/>
      <c r="V63" s="2967"/>
      <c r="W63" s="2967"/>
      <c r="X63" s="1551"/>
      <c r="Y63" s="1551"/>
      <c r="Z63" s="1551"/>
      <c r="AA63" s="1551"/>
      <c r="AB63" s="1551"/>
      <c r="AC63" s="1551"/>
      <c r="AD63" s="1551"/>
      <c r="AE63" s="1551"/>
      <c r="AF63" s="1551"/>
      <c r="AG63" s="1551"/>
    </row>
    <row r="64" spans="1:33" s="2193" customFormat="1" ht="24">
      <c r="A64" s="2206" t="s">
        <v>2420</v>
      </c>
      <c r="B64" s="2221" t="s">
        <v>2421</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7"/>
      <c r="R64" s="2967"/>
      <c r="S64" s="2967"/>
      <c r="T64" s="2967"/>
      <c r="U64" s="2967"/>
      <c r="V64" s="2967"/>
      <c r="W64" s="2967"/>
      <c r="X64" s="1551"/>
      <c r="Y64" s="1551"/>
      <c r="Z64" s="1551"/>
      <c r="AA64" s="1551"/>
      <c r="AB64" s="1551"/>
      <c r="AC64" s="1551"/>
      <c r="AD64" s="1551"/>
      <c r="AE64" s="1551"/>
      <c r="AF64" s="1551"/>
      <c r="AG64" s="1551"/>
    </row>
    <row r="65" spans="1:33" s="2193" customFormat="1" ht="25.5">
      <c r="A65" s="2206" t="s">
        <v>2422</v>
      </c>
      <c r="B65" s="2223" t="str">
        <f>估价对象房地状况!C21</f>
        <v>估价对象所在区域公共配套设施齐备情况</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7"/>
      <c r="R65" s="2967"/>
      <c r="S65" s="2967"/>
      <c r="T65" s="2967"/>
      <c r="U65" s="2967"/>
      <c r="V65" s="2967"/>
      <c r="W65" s="2967"/>
      <c r="X65" s="1551"/>
      <c r="Y65" s="1551"/>
      <c r="Z65" s="1551"/>
      <c r="AA65" s="1551"/>
      <c r="AB65" s="1551"/>
      <c r="AC65" s="1551"/>
      <c r="AD65" s="1551"/>
      <c r="AE65" s="1551"/>
      <c r="AF65" s="1551"/>
      <c r="AG65" s="1551"/>
    </row>
    <row r="66" spans="1:33" s="2193" customFormat="1" ht="25.5">
      <c r="A66" s="2206" t="s">
        <v>2423</v>
      </c>
      <c r="B66" s="2223" t="str">
        <f>估价对象房地状况!C22</f>
        <v>估价对象所在区域基础设施水平</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7"/>
      <c r="R66" s="2967"/>
      <c r="S66" s="2967"/>
      <c r="T66" s="2967"/>
      <c r="U66" s="2967"/>
      <c r="V66" s="2967"/>
      <c r="W66" s="2967"/>
      <c r="X66" s="1551"/>
      <c r="Y66" s="1551"/>
      <c r="Z66" s="1551"/>
      <c r="AA66" s="1551"/>
      <c r="AB66" s="1551"/>
      <c r="AC66" s="1551"/>
      <c r="AD66" s="1551"/>
      <c r="AE66" s="1551"/>
      <c r="AF66" s="1551"/>
      <c r="AG66" s="1551"/>
    </row>
    <row r="67" spans="1:33" s="2193" customFormat="1" ht="39" thickBot="1">
      <c r="A67" s="2224" t="s">
        <v>2424</v>
      </c>
      <c r="B67" s="2229" t="str">
        <f>估价对象房地状况!C20</f>
        <v>区域自然环境：；人文环境；综合评价环境状况一般</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7"/>
      <c r="R67" s="2967"/>
      <c r="S67" s="2967"/>
      <c r="T67" s="2967"/>
      <c r="U67" s="2967"/>
      <c r="V67" s="2967"/>
      <c r="W67" s="2967"/>
      <c r="X67" s="1551"/>
      <c r="Y67" s="1551"/>
      <c r="Z67" s="1551"/>
      <c r="AA67" s="1551"/>
      <c r="AB67" s="1551"/>
      <c r="AC67" s="1551"/>
      <c r="AD67" s="1551"/>
      <c r="AE67" s="1551"/>
      <c r="AF67" s="1551"/>
      <c r="AG67" s="1551"/>
    </row>
    <row r="68" spans="1:33" s="2193" customFormat="1" ht="15">
      <c r="A68" s="2199" t="s">
        <v>2430</v>
      </c>
      <c r="B68" s="2228">
        <f>1+E70</f>
        <v>1</v>
      </c>
      <c r="C68" s="2202"/>
      <c r="D68" s="2202"/>
      <c r="E68" s="2203"/>
      <c r="F68" s="2204"/>
      <c r="G68" s="608"/>
      <c r="H68" s="608"/>
      <c r="I68" s="608"/>
      <c r="J68" s="608"/>
      <c r="K68" s="608"/>
      <c r="L68" s="608"/>
      <c r="M68" s="608"/>
      <c r="N68" s="608"/>
      <c r="O68" s="1551"/>
      <c r="P68" s="1551"/>
      <c r="Q68" s="2967"/>
      <c r="R68" s="2967"/>
      <c r="S68" s="2967"/>
      <c r="T68" s="2967"/>
      <c r="U68" s="2967"/>
      <c r="V68" s="2967"/>
      <c r="W68" s="2967"/>
      <c r="X68" s="1551"/>
      <c r="Y68" s="1551"/>
      <c r="Z68" s="1551"/>
      <c r="AA68" s="1551"/>
      <c r="AB68" s="1551"/>
      <c r="AC68" s="1551"/>
      <c r="AD68" s="1551"/>
      <c r="AE68" s="1551"/>
      <c r="AF68" s="1551"/>
      <c r="AG68" s="1551"/>
    </row>
    <row r="69" spans="1:33" s="2193" customFormat="1" ht="24.75">
      <c r="A69" s="2206" t="s">
        <v>2400</v>
      </c>
      <c r="B69" s="2218"/>
      <c r="C69" s="2207" t="s">
        <v>2402</v>
      </c>
      <c r="D69" s="2207" t="s">
        <v>2403</v>
      </c>
      <c r="E69" s="2208" t="s">
        <v>2404</v>
      </c>
      <c r="F69" s="2158" t="s">
        <v>2405</v>
      </c>
      <c r="G69" s="2207" t="s">
        <v>2426</v>
      </c>
      <c r="H69" s="2209" t="s">
        <v>2427</v>
      </c>
      <c r="I69" s="2207" t="s">
        <v>2428</v>
      </c>
      <c r="J69" s="1834" t="s">
        <v>2069</v>
      </c>
      <c r="K69" s="1834" t="s">
        <v>2070</v>
      </c>
      <c r="L69" s="1834" t="s">
        <v>2071</v>
      </c>
      <c r="M69" s="1834" t="s">
        <v>2072</v>
      </c>
      <c r="N69" s="1834" t="s">
        <v>2073</v>
      </c>
      <c r="O69" s="1551"/>
      <c r="P69" s="1551"/>
      <c r="Q69" s="2967"/>
      <c r="R69" s="2967"/>
      <c r="S69" s="2967"/>
      <c r="T69" s="2967"/>
      <c r="U69" s="2967"/>
      <c r="V69" s="2967"/>
      <c r="W69" s="2967"/>
      <c r="X69" s="1551"/>
      <c r="Y69" s="1551"/>
      <c r="Z69" s="1551"/>
      <c r="AA69" s="1551"/>
      <c r="AB69" s="1551"/>
      <c r="AC69" s="1551"/>
      <c r="AD69" s="1551"/>
      <c r="AE69" s="1551"/>
      <c r="AF69" s="1551"/>
      <c r="AG69" s="1551"/>
    </row>
    <row r="70" spans="1:33" s="2193" customFormat="1" ht="51">
      <c r="A70" s="2206" t="s">
        <v>2431</v>
      </c>
      <c r="B70" s="2210" t="str">
        <f>估价对象房地状况!C15</f>
        <v>估价对象周边居住用地比例、居住小区规模和社区发展完善程度，综合评价居住社区成熟度一般</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7"/>
      <c r="R70" s="2967"/>
      <c r="S70" s="2967"/>
      <c r="T70" s="2967"/>
      <c r="U70" s="2967"/>
      <c r="V70" s="2967"/>
      <c r="W70" s="2967"/>
      <c r="X70" s="1551"/>
      <c r="Y70" s="1551"/>
      <c r="Z70" s="1551"/>
      <c r="AA70" s="1551"/>
      <c r="AB70" s="1551"/>
      <c r="AC70" s="1551"/>
      <c r="AD70" s="1551"/>
      <c r="AE70" s="1551"/>
      <c r="AF70" s="1551"/>
      <c r="AG70" s="1551"/>
    </row>
    <row r="71" spans="1:33" s="2193" customFormat="1" ht="51">
      <c r="A71" s="2206" t="s">
        <v>2415</v>
      </c>
      <c r="B71" s="2218" t="str">
        <f>估价对象房地状况!C18</f>
        <v>估价对象周边道路状况、公共交通通达情况、停车便捷程度，综合评价交通便捷度较好</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7"/>
      <c r="R71" s="2967"/>
      <c r="S71" s="2967"/>
      <c r="T71" s="2967"/>
      <c r="U71" s="2967"/>
      <c r="V71" s="2967"/>
      <c r="W71" s="2967"/>
      <c r="X71" s="1551"/>
      <c r="Y71" s="1551"/>
      <c r="Z71" s="1551"/>
      <c r="AA71" s="1551"/>
      <c r="AB71" s="1551"/>
      <c r="AC71" s="1551"/>
      <c r="AD71" s="1551"/>
      <c r="AE71" s="1551"/>
      <c r="AF71" s="1551"/>
      <c r="AG71" s="1551"/>
    </row>
    <row r="72" spans="1:33" s="2193" customFormat="1" ht="24">
      <c r="A72" s="2206" t="s">
        <v>2416</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7"/>
      <c r="R72" s="2967"/>
      <c r="S72" s="2967"/>
      <c r="T72" s="2967"/>
      <c r="U72" s="2967"/>
      <c r="V72" s="2967"/>
      <c r="W72" s="2967"/>
      <c r="X72" s="1551"/>
      <c r="Y72" s="1551"/>
      <c r="Z72" s="1551"/>
      <c r="AA72" s="1551"/>
      <c r="AB72" s="1551"/>
      <c r="AC72" s="1551"/>
      <c r="AD72" s="1551"/>
      <c r="AE72" s="1551"/>
      <c r="AF72" s="1551"/>
      <c r="AG72" s="1551"/>
    </row>
    <row r="73" spans="1:33" s="2193" customFormat="1" ht="14.25">
      <c r="A73" s="2206" t="s">
        <v>2432</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7"/>
      <c r="R73" s="2967"/>
      <c r="S73" s="2967"/>
      <c r="T73" s="2967"/>
      <c r="U73" s="2967"/>
      <c r="V73" s="2967"/>
      <c r="W73" s="2967"/>
      <c r="X73" s="1551"/>
      <c r="Y73" s="1551"/>
      <c r="Z73" s="1551"/>
      <c r="AA73" s="1551"/>
      <c r="AB73" s="1551"/>
      <c r="AC73" s="1551"/>
      <c r="AD73" s="1551"/>
      <c r="AE73" s="1551"/>
      <c r="AF73" s="1551"/>
      <c r="AG73" s="1551"/>
    </row>
    <row r="74" spans="1:33" s="2193" customFormat="1" ht="25.5">
      <c r="A74" s="2206" t="s">
        <v>2422</v>
      </c>
      <c r="B74" s="2223" t="str">
        <f>估价对象房地状况!C21</f>
        <v>估价对象所在区域公共配套设施齐备情况</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7"/>
      <c r="R74" s="2967"/>
      <c r="S74" s="2967"/>
      <c r="T74" s="2967"/>
      <c r="U74" s="2967"/>
      <c r="V74" s="2967"/>
      <c r="W74" s="2967"/>
      <c r="X74" s="1551"/>
      <c r="Y74" s="1551"/>
      <c r="Z74" s="1551"/>
      <c r="AA74" s="1551"/>
      <c r="AB74" s="1551"/>
      <c r="AC74" s="1551"/>
      <c r="AD74" s="1551"/>
      <c r="AE74" s="1551"/>
      <c r="AF74" s="1551"/>
      <c r="AG74" s="1551"/>
    </row>
    <row r="75" spans="1:33" s="2193" customFormat="1" ht="25.5">
      <c r="A75" s="2206" t="s">
        <v>2423</v>
      </c>
      <c r="B75" s="2223" t="str">
        <f>估价对象房地状况!C22</f>
        <v>估价对象所在区域基础设施水平</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7"/>
      <c r="R75" s="2967"/>
      <c r="S75" s="2967"/>
      <c r="T75" s="2967"/>
      <c r="U75" s="2967"/>
      <c r="V75" s="2967"/>
      <c r="W75" s="2967"/>
      <c r="X75" s="1551"/>
      <c r="Y75" s="1551"/>
      <c r="Z75" s="1551"/>
      <c r="AA75" s="1551"/>
      <c r="AB75" s="1551"/>
      <c r="AC75" s="1551"/>
      <c r="AD75" s="1551"/>
      <c r="AE75" s="1551"/>
      <c r="AF75" s="1551"/>
      <c r="AG75" s="1551"/>
    </row>
    <row r="76" spans="1:33" ht="24">
      <c r="A76" s="2206" t="s">
        <v>2420</v>
      </c>
      <c r="B76" s="2221" t="s">
        <v>2421</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5"/>
      <c r="R76" s="2975"/>
      <c r="S76" s="2975"/>
      <c r="T76" s="2975"/>
      <c r="U76" s="2975"/>
      <c r="V76" s="2975"/>
      <c r="W76" s="2975"/>
      <c r="AA76" s="1552"/>
      <c r="AG76" s="2193"/>
    </row>
    <row r="77" spans="1:33" ht="38.25">
      <c r="A77" s="2206" t="s">
        <v>2424</v>
      </c>
      <c r="B77" s="2210" t="str">
        <f>估价对象房地状况!C20</f>
        <v>区域自然环境：；人文环境；综合评价环境状况一般</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5"/>
      <c r="R77" s="2975"/>
      <c r="S77" s="2975"/>
      <c r="T77" s="2975"/>
      <c r="U77" s="2975"/>
      <c r="V77" s="2975"/>
      <c r="W77" s="2975"/>
      <c r="AA77" s="1552"/>
      <c r="AG77" s="2193"/>
    </row>
    <row r="78" spans="1:33" ht="24.75" thickBot="1">
      <c r="A78" s="2224" t="s">
        <v>2433</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5"/>
      <c r="R78" s="2975"/>
      <c r="S78" s="2975"/>
      <c r="T78" s="2975"/>
      <c r="U78" s="2975"/>
      <c r="V78" s="2975"/>
      <c r="W78" s="2975"/>
      <c r="AA78" s="1552"/>
      <c r="AG78" s="2193"/>
    </row>
    <row r="79" spans="1:33" ht="15">
      <c r="A79" s="2199" t="s">
        <v>2434</v>
      </c>
      <c r="B79" s="2228">
        <f>1+E81</f>
        <v>1</v>
      </c>
      <c r="C79" s="2202"/>
      <c r="D79" s="2202"/>
      <c r="E79" s="2203"/>
      <c r="F79" s="2204"/>
      <c r="G79" s="608"/>
      <c r="H79" s="608"/>
      <c r="I79" s="608"/>
      <c r="J79" s="608"/>
      <c r="K79" s="608"/>
      <c r="L79" s="608"/>
      <c r="M79" s="608"/>
      <c r="N79" s="608"/>
      <c r="Q79" s="2975"/>
      <c r="R79" s="2975"/>
      <c r="S79" s="2975"/>
      <c r="T79" s="2975"/>
      <c r="U79" s="2975"/>
      <c r="V79" s="2975"/>
      <c r="W79" s="2975"/>
      <c r="AA79" s="1552"/>
      <c r="AG79" s="2193"/>
    </row>
    <row r="80" spans="1:33" ht="24.75">
      <c r="A80" s="2206" t="s">
        <v>2400</v>
      </c>
      <c r="B80" s="2218"/>
      <c r="C80" s="2207" t="s">
        <v>2402</v>
      </c>
      <c r="D80" s="2207" t="s">
        <v>2403</v>
      </c>
      <c r="E80" s="2208" t="s">
        <v>2404</v>
      </c>
      <c r="F80" s="2158" t="s">
        <v>2405</v>
      </c>
      <c r="G80" s="2207" t="s">
        <v>2426</v>
      </c>
      <c r="H80" s="2209" t="s">
        <v>2427</v>
      </c>
      <c r="I80" s="2207" t="s">
        <v>2428</v>
      </c>
      <c r="J80" s="1834" t="s">
        <v>2069</v>
      </c>
      <c r="K80" s="1834" t="s">
        <v>2070</v>
      </c>
      <c r="L80" s="1834" t="s">
        <v>2071</v>
      </c>
      <c r="M80" s="1834" t="s">
        <v>2072</v>
      </c>
      <c r="N80" s="1834" t="s">
        <v>2073</v>
      </c>
      <c r="Q80" s="2975"/>
      <c r="R80" s="2975"/>
      <c r="S80" s="2975"/>
      <c r="T80" s="2975"/>
      <c r="U80" s="2975"/>
      <c r="V80" s="2975"/>
      <c r="W80" s="2975"/>
      <c r="AA80" s="1552"/>
      <c r="AG80" s="2193"/>
    </row>
    <row r="81" spans="1:33" ht="38.25">
      <c r="A81" s="2206" t="s">
        <v>2435</v>
      </c>
      <c r="B81" s="2218" t="str">
        <f>估价对象房地状况!G15</f>
        <v>估价对象位于XX开发区，园区建设成熟度XX，产业集聚程度XX</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5"/>
      <c r="R81" s="2975"/>
      <c r="S81" s="2975"/>
      <c r="T81" s="2975"/>
      <c r="U81" s="2975"/>
      <c r="V81" s="2975"/>
      <c r="W81" s="2975"/>
      <c r="AA81" s="1552"/>
      <c r="AG81" s="2193"/>
    </row>
    <row r="82" spans="1:33" ht="51">
      <c r="A82" s="2206" t="s">
        <v>2415</v>
      </c>
      <c r="B82" s="2218" t="str">
        <f>估价对象房地状况!G16</f>
        <v>估价对象周边道路状况、公共交通通达情况、停车便捷程度，综合评价交通便捷度较好</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5"/>
      <c r="R82" s="2975"/>
      <c r="S82" s="2975"/>
      <c r="T82" s="2975"/>
      <c r="U82" s="2975"/>
      <c r="V82" s="2975"/>
      <c r="W82" s="2975"/>
      <c r="AA82" s="1552"/>
      <c r="AG82" s="2193"/>
    </row>
    <row r="83" spans="1:33" ht="24">
      <c r="A83" s="2206" t="s">
        <v>2416</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5"/>
      <c r="R83" s="2975"/>
      <c r="S83" s="2975"/>
      <c r="T83" s="2975"/>
      <c r="U83" s="2975"/>
      <c r="V83" s="2975"/>
      <c r="W83" s="2975"/>
      <c r="AA83" s="1552"/>
      <c r="AG83" s="2193"/>
    </row>
    <row r="84" spans="1:33" ht="14.25">
      <c r="A84" s="2206" t="s">
        <v>2432</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5"/>
      <c r="R84" s="2975"/>
      <c r="S84" s="2975"/>
      <c r="T84" s="2975"/>
      <c r="U84" s="2975"/>
      <c r="V84" s="2975"/>
      <c r="W84" s="2975"/>
      <c r="AA84" s="1552"/>
      <c r="AG84" s="2193"/>
    </row>
    <row r="85" spans="1:33" ht="25.5">
      <c r="A85" s="2206" t="s">
        <v>2422</v>
      </c>
      <c r="B85" s="2223" t="str">
        <f>估价对象房地状况!G19</f>
        <v>估价对象所在区域公共配套设施齐备情况</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5"/>
      <c r="R85" s="2975"/>
      <c r="S85" s="2975"/>
      <c r="T85" s="2975"/>
      <c r="U85" s="2975"/>
      <c r="V85" s="2975"/>
      <c r="W85" s="2975"/>
      <c r="AA85" s="1552"/>
      <c r="AG85" s="2193"/>
    </row>
    <row r="86" spans="1:33" ht="25.5">
      <c r="A86" s="2206" t="s">
        <v>2423</v>
      </c>
      <c r="B86" s="2223" t="str">
        <f>估价对象房地状况!G20</f>
        <v>估价对象所在区域基础设施水平</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5"/>
      <c r="R86" s="2975"/>
      <c r="S86" s="2975"/>
      <c r="T86" s="2975"/>
      <c r="U86" s="2975"/>
      <c r="V86" s="2975"/>
      <c r="W86" s="2975"/>
      <c r="AA86" s="1552"/>
      <c r="AG86" s="2193"/>
    </row>
    <row r="87" spans="1:33" ht="24">
      <c r="A87" s="2206" t="s">
        <v>2420</v>
      </c>
      <c r="B87" s="2221" t="s">
        <v>2421</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5"/>
      <c r="R87" s="2975"/>
      <c r="S87" s="2975"/>
      <c r="T87" s="2975"/>
      <c r="U87" s="2975"/>
      <c r="V87" s="2975"/>
      <c r="W87" s="2975"/>
      <c r="AA87" s="1552"/>
      <c r="AG87" s="2193"/>
    </row>
    <row r="88" spans="1:33" ht="39" thickBot="1">
      <c r="A88" s="2224" t="s">
        <v>2436</v>
      </c>
      <c r="B88" s="2231" t="str">
        <f>估价对象房地状况!G18</f>
        <v>该园区内是否有污染型企业，绿化情况，卫生条件，整体环境状况判断</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5"/>
      <c r="R88" s="2975"/>
      <c r="S88" s="2975"/>
      <c r="T88" s="2975"/>
      <c r="U88" s="2975"/>
      <c r="V88" s="2975"/>
      <c r="W88" s="2975"/>
      <c r="AA88" s="1552"/>
      <c r="AG88" s="2193"/>
    </row>
    <row r="89" spans="1:33">
      <c r="Q89" s="2975"/>
      <c r="R89" s="2975"/>
      <c r="S89" s="2975"/>
      <c r="T89" s="2975"/>
      <c r="U89" s="2975"/>
      <c r="V89" s="2975"/>
      <c r="W89" s="2975"/>
    </row>
    <row r="90" spans="1:33">
      <c r="A90" s="3690" t="s">
        <v>2437</v>
      </c>
      <c r="B90" s="3690"/>
      <c r="C90" s="3690"/>
      <c r="D90" s="3690"/>
      <c r="E90" s="3690"/>
      <c r="F90" s="3690"/>
      <c r="G90" s="3690"/>
      <c r="H90" s="3690"/>
      <c r="I90" s="3690"/>
      <c r="J90" s="3690"/>
      <c r="K90" s="2234"/>
      <c r="L90" s="2234"/>
      <c r="M90" s="2234"/>
      <c r="N90" s="2234"/>
      <c r="Q90" s="2975"/>
      <c r="R90" s="2975"/>
      <c r="S90" s="2975"/>
      <c r="T90" s="2975"/>
      <c r="U90" s="2975"/>
      <c r="V90" s="2975"/>
      <c r="W90" s="2975"/>
    </row>
    <row r="91" spans="1:33">
      <c r="A91" s="3692" t="s">
        <v>2438</v>
      </c>
      <c r="B91" s="3692" t="s">
        <v>2439</v>
      </c>
      <c r="C91" s="2173" t="s">
        <v>2440</v>
      </c>
      <c r="D91" s="2174"/>
      <c r="E91" s="2174"/>
      <c r="F91" s="2174"/>
      <c r="G91" s="2174"/>
      <c r="H91" s="2174"/>
      <c r="I91" s="2174"/>
      <c r="J91" s="2236"/>
      <c r="K91" s="1996"/>
      <c r="L91" s="1996"/>
      <c r="M91" s="1996"/>
      <c r="N91" s="1996"/>
      <c r="Q91" s="2975"/>
      <c r="R91" s="2975"/>
      <c r="S91" s="2975"/>
      <c r="T91" s="2975"/>
      <c r="U91" s="2975"/>
      <c r="V91" s="2975"/>
      <c r="W91" s="2975"/>
    </row>
    <row r="92" spans="1:33">
      <c r="A92" s="3692"/>
      <c r="B92" s="3692"/>
      <c r="C92" s="1959" t="s">
        <v>2293</v>
      </c>
      <c r="D92" s="1959" t="s">
        <v>2294</v>
      </c>
      <c r="E92" s="1959" t="s">
        <v>2295</v>
      </c>
      <c r="F92" s="1959" t="s">
        <v>2296</v>
      </c>
      <c r="G92" s="1959" t="s">
        <v>2297</v>
      </c>
      <c r="H92" s="1959" t="s">
        <v>2298</v>
      </c>
      <c r="I92" s="1959" t="s">
        <v>2299</v>
      </c>
      <c r="J92" s="1959" t="s">
        <v>2300</v>
      </c>
      <c r="K92" s="1959" t="s">
        <v>2301</v>
      </c>
      <c r="L92" s="1959" t="s">
        <v>2302</v>
      </c>
      <c r="M92" s="1959" t="s">
        <v>2303</v>
      </c>
      <c r="N92" s="1959" t="s">
        <v>2304</v>
      </c>
      <c r="Q92" s="2975"/>
      <c r="R92" s="2975"/>
      <c r="S92" s="2975"/>
      <c r="T92" s="2975"/>
      <c r="U92" s="2975"/>
      <c r="V92" s="2975"/>
      <c r="W92" s="2975"/>
    </row>
    <row r="93" spans="1:33">
      <c r="A93" s="3693" t="s">
        <v>2441</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5"/>
      <c r="R93" s="2975"/>
      <c r="S93" s="2975"/>
      <c r="T93" s="2975"/>
      <c r="U93" s="2975"/>
      <c r="V93" s="2975"/>
      <c r="W93" s="2975"/>
    </row>
    <row r="94" spans="1:33">
      <c r="A94" s="3694"/>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5"/>
      <c r="R94" s="2975"/>
      <c r="S94" s="2975"/>
      <c r="T94" s="2975"/>
      <c r="U94" s="2975"/>
      <c r="V94" s="2975"/>
      <c r="W94" s="2975"/>
    </row>
    <row r="95" spans="1:33">
      <c r="A95" s="3694"/>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5"/>
      <c r="R95" s="2975"/>
      <c r="S95" s="2975"/>
      <c r="T95" s="2975"/>
      <c r="U95" s="2975"/>
      <c r="V95" s="2975"/>
      <c r="W95" s="2975"/>
    </row>
    <row r="96" spans="1:33">
      <c r="A96" s="3694"/>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5"/>
      <c r="R96" s="2975"/>
      <c r="S96" s="2975"/>
      <c r="T96" s="2975"/>
      <c r="U96" s="2975"/>
      <c r="V96" s="2975"/>
      <c r="W96" s="2975"/>
    </row>
    <row r="97" spans="1:23">
      <c r="A97" s="3694"/>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5"/>
      <c r="R97" s="2975"/>
      <c r="S97" s="2975"/>
      <c r="T97" s="2975"/>
      <c r="U97" s="2975"/>
      <c r="V97" s="2975"/>
      <c r="W97" s="2975"/>
    </row>
    <row r="98" spans="1:23">
      <c r="A98" s="3694"/>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5"/>
      <c r="R98" s="2975"/>
      <c r="S98" s="2975"/>
      <c r="T98" s="2975"/>
      <c r="U98" s="2975"/>
      <c r="V98" s="2975"/>
      <c r="W98" s="2975"/>
    </row>
    <row r="99" spans="1:23">
      <c r="A99" s="3694"/>
      <c r="B99" s="2237" t="s">
        <v>2309</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5"/>
      <c r="R99" s="2975"/>
      <c r="S99" s="2975"/>
      <c r="T99" s="2975"/>
      <c r="U99" s="2975"/>
      <c r="V99" s="2975"/>
      <c r="W99" s="2975"/>
    </row>
    <row r="100" spans="1:23">
      <c r="A100" s="3695"/>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5"/>
      <c r="R100" s="2975"/>
      <c r="S100" s="2975"/>
      <c r="T100" s="2975"/>
      <c r="U100" s="2975"/>
      <c r="V100" s="2975"/>
      <c r="W100" s="2975"/>
    </row>
    <row r="101" spans="1:23">
      <c r="A101" s="3693" t="s">
        <v>2442</v>
      </c>
      <c r="B101" s="2241" t="s">
        <v>2443</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5"/>
      <c r="R101" s="2975"/>
      <c r="S101" s="2975"/>
      <c r="T101" s="2975"/>
      <c r="U101" s="2975"/>
      <c r="V101" s="2975"/>
      <c r="W101" s="2975"/>
    </row>
    <row r="102" spans="1:23">
      <c r="A102" s="3694"/>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5"/>
      <c r="R102" s="2975"/>
      <c r="S102" s="2975"/>
      <c r="T102" s="2975"/>
      <c r="U102" s="2975"/>
      <c r="V102" s="2975"/>
      <c r="W102" s="2975"/>
    </row>
    <row r="103" spans="1:23">
      <c r="A103" s="3694"/>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5"/>
      <c r="R103" s="2975"/>
      <c r="S103" s="2975"/>
      <c r="T103" s="2975"/>
      <c r="U103" s="2975"/>
      <c r="V103" s="2975"/>
      <c r="W103" s="2975"/>
    </row>
    <row r="104" spans="1:23">
      <c r="A104" s="3694"/>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5"/>
      <c r="R104" s="2975"/>
      <c r="S104" s="2975"/>
      <c r="T104" s="2975"/>
      <c r="U104" s="2975"/>
      <c r="V104" s="2975"/>
      <c r="W104" s="2975"/>
    </row>
    <row r="105" spans="1:23">
      <c r="A105" s="3694"/>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5"/>
      <c r="R105" s="2975"/>
      <c r="S105" s="2975"/>
      <c r="T105" s="2975"/>
      <c r="U105" s="2975"/>
      <c r="V105" s="2975"/>
      <c r="W105" s="2975"/>
    </row>
    <row r="106" spans="1:23">
      <c r="A106" s="3694"/>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5"/>
      <c r="R106" s="2975"/>
      <c r="S106" s="2975"/>
      <c r="T106" s="2975"/>
      <c r="U106" s="2975"/>
      <c r="V106" s="2975"/>
      <c r="W106" s="2975"/>
    </row>
    <row r="107" spans="1:23">
      <c r="A107" s="3694"/>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5"/>
      <c r="R107" s="2975"/>
      <c r="S107" s="2975"/>
      <c r="T107" s="2975"/>
      <c r="U107" s="2975"/>
      <c r="V107" s="2975"/>
      <c r="W107" s="2975"/>
    </row>
    <row r="108" spans="1:23">
      <c r="A108" s="3694"/>
      <c r="B108" s="3696" t="s">
        <v>2444</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5"/>
      <c r="R108" s="2975"/>
      <c r="S108" s="2975"/>
      <c r="T108" s="2975"/>
      <c r="U108" s="2975"/>
      <c r="V108" s="2975"/>
      <c r="W108" s="2975"/>
    </row>
    <row r="109" spans="1:23">
      <c r="A109" s="3695"/>
      <c r="B109" s="3697"/>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5"/>
      <c r="R109" s="2975"/>
      <c r="S109" s="2975"/>
      <c r="T109" s="2975"/>
      <c r="U109" s="2975"/>
      <c r="V109" s="2975"/>
      <c r="W109" s="2975"/>
    </row>
    <row r="110" spans="1:23">
      <c r="A110" s="3691" t="s">
        <v>2445</v>
      </c>
      <c r="B110" s="3691"/>
      <c r="C110" s="3691"/>
      <c r="D110" s="3691"/>
      <c r="E110" s="3691"/>
      <c r="F110" s="3691"/>
      <c r="G110" s="3691"/>
      <c r="H110" s="3691"/>
      <c r="I110" s="3691"/>
      <c r="J110" s="3691"/>
      <c r="K110" s="2008"/>
      <c r="L110" s="2008"/>
      <c r="M110" s="2008"/>
      <c r="N110" s="2008"/>
      <c r="Q110" s="2975"/>
      <c r="R110" s="2975"/>
      <c r="S110" s="2975"/>
      <c r="T110" s="2975"/>
      <c r="U110" s="2975"/>
      <c r="V110" s="2975"/>
      <c r="W110" s="2975"/>
    </row>
    <row r="112" spans="1:23" ht="13.5" thickBot="1"/>
    <row r="113" spans="1:13" ht="25.5" thickBot="1">
      <c r="A113" s="2243" t="s">
        <v>2446</v>
      </c>
      <c r="B113" s="2244">
        <f>G3</f>
        <v>0</v>
      </c>
      <c r="C113" s="2245" t="s">
        <v>2447</v>
      </c>
      <c r="D113" s="2246">
        <f>SUMPRODUCT((A115:A118=F113)*(B114:M114=H113)*B115:M118)</f>
        <v>0</v>
      </c>
      <c r="E113" s="1530" t="s">
        <v>2333</v>
      </c>
      <c r="F113" s="2247" t="str">
        <f>E2</f>
        <v>住宅</v>
      </c>
      <c r="G113" s="1530" t="s">
        <v>2267</v>
      </c>
      <c r="H113" s="2247">
        <f>G2</f>
        <v>0</v>
      </c>
      <c r="I113" s="1530"/>
      <c r="J113" s="2248"/>
      <c r="K113" s="2248"/>
      <c r="L113" s="2248"/>
      <c r="M113" s="2248"/>
    </row>
    <row r="114" spans="1:13">
      <c r="A114" s="2249"/>
      <c r="B114" s="2250" t="s">
        <v>2448</v>
      </c>
      <c r="C114" s="2250" t="s">
        <v>2449</v>
      </c>
      <c r="D114" s="2250" t="s">
        <v>2450</v>
      </c>
      <c r="E114" s="2251" t="s">
        <v>2451</v>
      </c>
      <c r="F114" s="2251" t="s">
        <v>2452</v>
      </c>
      <c r="G114" s="2251" t="s">
        <v>2453</v>
      </c>
      <c r="H114" s="2252" t="s">
        <v>2454</v>
      </c>
      <c r="I114" s="2252" t="s">
        <v>2455</v>
      </c>
      <c r="J114" s="2253" t="s">
        <v>2456</v>
      </c>
      <c r="K114" s="2253" t="s">
        <v>2457</v>
      </c>
      <c r="L114" s="2253" t="s">
        <v>2458</v>
      </c>
      <c r="M114" s="2254" t="s">
        <v>2459</v>
      </c>
    </row>
    <row r="115" spans="1:13">
      <c r="A115" s="2255" t="s">
        <v>2334</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2335</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2336</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5" thickBot="1">
      <c r="A118" s="2258" t="s">
        <v>2337</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9" customWidth="1"/>
    <col min="2" max="2" width="10.25" style="674" customWidth="1"/>
  </cols>
  <sheetData>
    <row r="1" spans="1:6">
      <c r="A1" s="3713" t="s">
        <v>597</v>
      </c>
      <c r="B1" s="3713"/>
    </row>
    <row r="2" spans="1:6" ht="14.25" thickBot="1">
      <c r="A2" s="799"/>
      <c r="B2" s="799"/>
    </row>
    <row r="3" spans="1:6" ht="14.25" thickBot="1">
      <c r="A3" s="799"/>
      <c r="B3" s="799"/>
      <c r="C3" s="800" t="s">
        <v>598</v>
      </c>
      <c r="D3" s="800" t="s">
        <v>599</v>
      </c>
      <c r="E3" s="800" t="s">
        <v>600</v>
      </c>
      <c r="F3" s="800" t="s">
        <v>601</v>
      </c>
    </row>
    <row r="4" spans="1:6" ht="14.25" thickBot="1">
      <c r="A4" s="801" t="s">
        <v>602</v>
      </c>
      <c r="B4" s="802" t="s">
        <v>603</v>
      </c>
      <c r="C4" s="800"/>
      <c r="D4" s="800"/>
      <c r="E4" s="800"/>
      <c r="F4" s="800"/>
    </row>
    <row r="5" spans="1:6" ht="14.25" thickBot="1">
      <c r="A5" s="715" t="s">
        <v>604</v>
      </c>
      <c r="B5" s="716" t="s">
        <v>605</v>
      </c>
      <c r="C5" s="803">
        <v>8.8999999999999996E-2</v>
      </c>
      <c r="D5" s="803">
        <v>7.3999999999999996E-2</v>
      </c>
      <c r="E5" s="803">
        <v>7.4999999999999997E-2</v>
      </c>
      <c r="F5" s="804">
        <v>0.1</v>
      </c>
    </row>
    <row r="6" spans="1:6" ht="14.25" thickBot="1">
      <c r="A6" s="715" t="s">
        <v>160</v>
      </c>
      <c r="B6" s="709" t="s">
        <v>606</v>
      </c>
      <c r="C6" s="805">
        <v>0.1</v>
      </c>
      <c r="D6" s="805">
        <v>9.0999999999999998E-2</v>
      </c>
      <c r="E6" s="805">
        <v>9.0999999999999998E-2</v>
      </c>
      <c r="F6" s="806">
        <v>0.1</v>
      </c>
    </row>
    <row r="7" spans="1:6" ht="14.25" thickBot="1">
      <c r="A7" s="715" t="s">
        <v>160</v>
      </c>
      <c r="B7" s="723" t="s">
        <v>149</v>
      </c>
      <c r="C7" s="805">
        <v>8.5999999999999993E-2</v>
      </c>
      <c r="D7" s="805">
        <v>9.6000000000000002E-2</v>
      </c>
      <c r="E7" s="805">
        <v>7.5999999999999998E-2</v>
      </c>
      <c r="F7" s="806">
        <v>0.1</v>
      </c>
    </row>
    <row r="8" spans="1:6" ht="14.25" thickBot="1">
      <c r="A8" s="715" t="s">
        <v>160</v>
      </c>
      <c r="B8" s="709" t="s">
        <v>161</v>
      </c>
      <c r="C8" s="805">
        <v>9.9000000000000005E-2</v>
      </c>
      <c r="D8" s="805">
        <v>9.8000000000000004E-2</v>
      </c>
      <c r="E8" s="805">
        <v>9.8000000000000004E-2</v>
      </c>
      <c r="F8" s="806">
        <v>0.1</v>
      </c>
    </row>
    <row r="9" spans="1:6" ht="14.25" thickBot="1">
      <c r="A9" s="732" t="s">
        <v>160</v>
      </c>
      <c r="B9" s="724" t="s">
        <v>173</v>
      </c>
      <c r="C9" s="807">
        <v>0.05</v>
      </c>
      <c r="D9" s="808"/>
      <c r="E9" s="808"/>
      <c r="F9" s="809"/>
    </row>
    <row r="10" spans="1:6" ht="14.25" thickBot="1">
      <c r="A10" s="715" t="s">
        <v>220</v>
      </c>
      <c r="B10" s="716" t="s">
        <v>607</v>
      </c>
      <c r="C10" s="803">
        <v>8.8999999999999996E-2</v>
      </c>
      <c r="D10" s="803">
        <v>7.2999999999999995E-2</v>
      </c>
      <c r="E10" s="803">
        <v>8.2000000000000003E-2</v>
      </c>
      <c r="F10" s="804">
        <v>0.1</v>
      </c>
    </row>
    <row r="11" spans="1:6" ht="14.25" thickBot="1">
      <c r="A11" s="715" t="s">
        <v>220</v>
      </c>
      <c r="B11" s="723" t="s">
        <v>136</v>
      </c>
      <c r="C11" s="805">
        <v>8.8999999999999996E-2</v>
      </c>
      <c r="D11" s="805">
        <v>7.2999999999999995E-2</v>
      </c>
      <c r="E11" s="805">
        <v>8.2000000000000003E-2</v>
      </c>
      <c r="F11" s="806">
        <v>0.1</v>
      </c>
    </row>
    <row r="12" spans="1:6" ht="14.25" thickBot="1">
      <c r="A12" s="715" t="s">
        <v>220</v>
      </c>
      <c r="B12" s="723" t="s">
        <v>88</v>
      </c>
      <c r="C12" s="805">
        <v>6.0999999999999999E-2</v>
      </c>
      <c r="D12" s="805">
        <v>7.0999999999999994E-2</v>
      </c>
      <c r="E12" s="805">
        <v>9.6000000000000002E-2</v>
      </c>
      <c r="F12" s="806">
        <v>0.1</v>
      </c>
    </row>
    <row r="13" spans="1:6" ht="14.25" thickBot="1">
      <c r="A13" s="715" t="s">
        <v>220</v>
      </c>
      <c r="B13" s="723" t="s">
        <v>162</v>
      </c>
      <c r="C13" s="805">
        <v>6.9000000000000006E-2</v>
      </c>
      <c r="D13" s="805">
        <v>6.5000000000000002E-2</v>
      </c>
      <c r="E13" s="805">
        <v>6.6000000000000003E-2</v>
      </c>
      <c r="F13" s="806">
        <v>0.1</v>
      </c>
    </row>
    <row r="14" spans="1:6" ht="14.25" thickBot="1">
      <c r="A14" s="715" t="s">
        <v>220</v>
      </c>
      <c r="B14" s="723" t="s">
        <v>174</v>
      </c>
      <c r="C14" s="805">
        <v>0.1</v>
      </c>
      <c r="D14" s="805">
        <v>6.5000000000000002E-2</v>
      </c>
      <c r="E14" s="805">
        <v>7.0000000000000007E-2</v>
      </c>
      <c r="F14" s="806">
        <v>0.1</v>
      </c>
    </row>
    <row r="15" spans="1:6" ht="14.25" thickBot="1">
      <c r="A15" s="715" t="s">
        <v>220</v>
      </c>
      <c r="B15" s="723" t="s">
        <v>186</v>
      </c>
      <c r="C15" s="805">
        <v>9.8000000000000004E-2</v>
      </c>
      <c r="D15" s="805">
        <v>8.8999999999999996E-2</v>
      </c>
      <c r="E15" s="805">
        <v>8.8999999999999996E-2</v>
      </c>
      <c r="F15" s="806">
        <v>0.1</v>
      </c>
    </row>
    <row r="16" spans="1:6" ht="14.25" thickBot="1">
      <c r="A16" s="715" t="s">
        <v>220</v>
      </c>
      <c r="B16" s="723" t="s">
        <v>198</v>
      </c>
      <c r="C16" s="805">
        <v>7.0000000000000007E-2</v>
      </c>
      <c r="D16" s="805">
        <v>9.2999999999999999E-2</v>
      </c>
      <c r="E16" s="805">
        <v>9.6000000000000002E-2</v>
      </c>
      <c r="F16" s="806">
        <v>0.1</v>
      </c>
    </row>
    <row r="17" spans="1:6" ht="14.25" thickBot="1">
      <c r="A17" s="715" t="s">
        <v>220</v>
      </c>
      <c r="B17" s="723" t="s">
        <v>210</v>
      </c>
      <c r="C17" s="805">
        <v>9.5000000000000001E-2</v>
      </c>
      <c r="D17" s="805">
        <v>0.1</v>
      </c>
      <c r="E17" s="805">
        <v>0.1</v>
      </c>
      <c r="F17" s="810"/>
    </row>
    <row r="18" spans="1:6" ht="14.25" thickBot="1">
      <c r="A18" s="715" t="s">
        <v>220</v>
      </c>
      <c r="B18" s="723" t="s">
        <v>223</v>
      </c>
      <c r="C18" s="805">
        <v>7.3999999999999996E-2</v>
      </c>
      <c r="D18" s="805">
        <v>9.9000000000000005E-2</v>
      </c>
      <c r="E18" s="805">
        <v>0.1</v>
      </c>
      <c r="F18" s="810"/>
    </row>
    <row r="19" spans="1:6" ht="14.25" thickBot="1">
      <c r="A19" s="715" t="s">
        <v>220</v>
      </c>
      <c r="B19" s="723" t="s">
        <v>234</v>
      </c>
      <c r="C19" s="805">
        <v>9.9000000000000005E-2</v>
      </c>
      <c r="D19" s="805">
        <v>7.5999999999999998E-2</v>
      </c>
      <c r="E19" s="805">
        <v>8.6999999999999994E-2</v>
      </c>
      <c r="F19" s="810"/>
    </row>
    <row r="20" spans="1:6" ht="14.25" thickBot="1">
      <c r="A20" s="715" t="s">
        <v>220</v>
      </c>
      <c r="B20" s="723" t="s">
        <v>245</v>
      </c>
      <c r="C20" s="805">
        <v>9.8000000000000004E-2</v>
      </c>
      <c r="D20" s="805">
        <v>8.5000000000000006E-2</v>
      </c>
      <c r="E20" s="805">
        <v>8.2000000000000003E-2</v>
      </c>
      <c r="F20" s="810"/>
    </row>
    <row r="21" spans="1:6" ht="14.25" thickBot="1">
      <c r="A21" s="715" t="s">
        <v>220</v>
      </c>
      <c r="B21" s="723" t="s">
        <v>256</v>
      </c>
      <c r="C21" s="805">
        <v>6.6000000000000003E-2</v>
      </c>
      <c r="D21" s="805">
        <v>6.4000000000000001E-2</v>
      </c>
      <c r="E21" s="805">
        <v>6.5000000000000002E-2</v>
      </c>
      <c r="F21" s="810"/>
    </row>
    <row r="22" spans="1:6" ht="14.25" thickBot="1">
      <c r="A22" s="715" t="s">
        <v>220</v>
      </c>
      <c r="B22" s="723" t="s">
        <v>608</v>
      </c>
      <c r="C22" s="805">
        <v>0.08</v>
      </c>
      <c r="D22" s="805">
        <v>9.8000000000000004E-2</v>
      </c>
      <c r="E22" s="805">
        <v>9.8000000000000004E-2</v>
      </c>
      <c r="F22" s="810"/>
    </row>
    <row r="23" spans="1:6" ht="14.25" thickBot="1">
      <c r="A23" s="715" t="s">
        <v>220</v>
      </c>
      <c r="B23" s="723" t="s">
        <v>278</v>
      </c>
      <c r="C23" s="805">
        <v>9.9000000000000005E-2</v>
      </c>
      <c r="D23" s="805">
        <v>9.8000000000000004E-2</v>
      </c>
      <c r="E23" s="805">
        <v>9.0999999999999998E-2</v>
      </c>
      <c r="F23" s="810"/>
    </row>
    <row r="24" spans="1:6" ht="14.25" thickBot="1">
      <c r="A24" s="715" t="s">
        <v>220</v>
      </c>
      <c r="B24" s="723" t="s">
        <v>289</v>
      </c>
      <c r="C24" s="805">
        <v>8.8999999999999996E-2</v>
      </c>
      <c r="D24" s="805">
        <v>9.7000000000000003E-2</v>
      </c>
      <c r="E24" s="805">
        <v>7.0000000000000007E-2</v>
      </c>
      <c r="F24" s="810"/>
    </row>
    <row r="25" spans="1:6" ht="14.25" thickBot="1">
      <c r="A25" s="715" t="s">
        <v>220</v>
      </c>
      <c r="B25" s="723" t="s">
        <v>299</v>
      </c>
      <c r="C25" s="805">
        <v>8.8999999999999996E-2</v>
      </c>
      <c r="D25" s="805">
        <v>0.1</v>
      </c>
      <c r="E25" s="805">
        <v>8.1000000000000003E-2</v>
      </c>
      <c r="F25" s="810"/>
    </row>
    <row r="26" spans="1:6" ht="14.25" thickBot="1">
      <c r="A26" s="715" t="s">
        <v>220</v>
      </c>
      <c r="B26" s="723" t="s">
        <v>309</v>
      </c>
      <c r="C26" s="811"/>
      <c r="D26" s="805">
        <v>9.6000000000000002E-2</v>
      </c>
      <c r="E26" s="805">
        <v>9.2999999999999999E-2</v>
      </c>
      <c r="F26" s="810"/>
    </row>
    <row r="27" spans="1:6" ht="14.25" thickBot="1">
      <c r="A27" s="715" t="s">
        <v>220</v>
      </c>
      <c r="B27" s="723" t="s">
        <v>319</v>
      </c>
      <c r="C27" s="811"/>
      <c r="D27" s="805">
        <v>7.5999999999999998E-2</v>
      </c>
      <c r="E27" s="805">
        <v>9.1999999999999998E-2</v>
      </c>
      <c r="F27" s="810"/>
    </row>
    <row r="28" spans="1:6" ht="14.25" thickBot="1">
      <c r="A28" s="732" t="s">
        <v>220</v>
      </c>
      <c r="B28" s="724" t="s">
        <v>329</v>
      </c>
      <c r="C28" s="808"/>
      <c r="D28" s="807">
        <v>7.5999999999999998E-2</v>
      </c>
      <c r="E28" s="807">
        <v>9.1999999999999998E-2</v>
      </c>
      <c r="F28" s="809"/>
    </row>
    <row r="29" spans="1:6" ht="14.25" thickBot="1">
      <c r="A29" s="715" t="s">
        <v>398</v>
      </c>
      <c r="B29" s="716" t="s">
        <v>609</v>
      </c>
      <c r="C29" s="803">
        <v>6.4000000000000001E-2</v>
      </c>
      <c r="D29" s="803">
        <v>6.5000000000000002E-2</v>
      </c>
      <c r="E29" s="803">
        <v>6.9000000000000006E-2</v>
      </c>
      <c r="F29" s="804">
        <v>0.1</v>
      </c>
    </row>
    <row r="30" spans="1:6" ht="14.25" thickBot="1">
      <c r="A30" s="715" t="s">
        <v>398</v>
      </c>
      <c r="B30" s="723" t="s">
        <v>137</v>
      </c>
      <c r="C30" s="805">
        <v>6.4000000000000001E-2</v>
      </c>
      <c r="D30" s="805">
        <v>9.9000000000000005E-2</v>
      </c>
      <c r="E30" s="805">
        <v>0.1</v>
      </c>
      <c r="F30" s="806">
        <v>0.1</v>
      </c>
    </row>
    <row r="31" spans="1:6" ht="14.25" thickBot="1">
      <c r="A31" s="715" t="s">
        <v>398</v>
      </c>
      <c r="B31" s="723" t="s">
        <v>150</v>
      </c>
      <c r="C31" s="805">
        <v>0.1</v>
      </c>
      <c r="D31" s="805">
        <v>9.5000000000000001E-2</v>
      </c>
      <c r="E31" s="805">
        <v>8.8999999999999996E-2</v>
      </c>
      <c r="F31" s="806">
        <v>0.1</v>
      </c>
    </row>
    <row r="32" spans="1:6" ht="14.25" thickBot="1">
      <c r="A32" s="715" t="s">
        <v>398</v>
      </c>
      <c r="B32" s="723" t="s">
        <v>163</v>
      </c>
      <c r="C32" s="805">
        <v>0.05</v>
      </c>
      <c r="D32" s="805">
        <v>0.05</v>
      </c>
      <c r="E32" s="805">
        <v>8.7999999999999995E-2</v>
      </c>
      <c r="F32" s="806">
        <v>0.1</v>
      </c>
    </row>
    <row r="33" spans="1:6" ht="14.25" thickBot="1">
      <c r="A33" s="715" t="s">
        <v>398</v>
      </c>
      <c r="B33" s="723" t="s">
        <v>175</v>
      </c>
      <c r="C33" s="805">
        <v>7.4999999999999997E-2</v>
      </c>
      <c r="D33" s="805">
        <v>9.4E-2</v>
      </c>
      <c r="E33" s="805">
        <v>9.7000000000000003E-2</v>
      </c>
      <c r="F33" s="806">
        <v>0.1</v>
      </c>
    </row>
    <row r="34" spans="1:6" ht="14.25" thickBot="1">
      <c r="A34" s="715" t="s">
        <v>398</v>
      </c>
      <c r="B34" s="723" t="s">
        <v>187</v>
      </c>
      <c r="C34" s="805">
        <v>9.8000000000000004E-2</v>
      </c>
      <c r="D34" s="805">
        <v>8.5999999999999993E-2</v>
      </c>
      <c r="E34" s="805">
        <v>9.7000000000000003E-2</v>
      </c>
      <c r="F34" s="806">
        <v>0.1</v>
      </c>
    </row>
    <row r="35" spans="1:6" ht="14.25" thickBot="1">
      <c r="A35" s="715" t="s">
        <v>398</v>
      </c>
      <c r="B35" s="723" t="s">
        <v>199</v>
      </c>
      <c r="C35" s="805">
        <v>5.8999999999999997E-2</v>
      </c>
      <c r="D35" s="805">
        <v>6.5000000000000002E-2</v>
      </c>
      <c r="E35" s="805">
        <v>7.0000000000000007E-2</v>
      </c>
      <c r="F35" s="806">
        <v>0.1</v>
      </c>
    </row>
    <row r="36" spans="1:6" ht="14.25" thickBot="1">
      <c r="A36" s="715" t="s">
        <v>398</v>
      </c>
      <c r="B36" s="723" t="s">
        <v>211</v>
      </c>
      <c r="C36" s="805">
        <v>6.3E-2</v>
      </c>
      <c r="D36" s="805">
        <v>0.1</v>
      </c>
      <c r="E36" s="805">
        <v>0.1</v>
      </c>
      <c r="F36" s="806">
        <v>0.1</v>
      </c>
    </row>
    <row r="37" spans="1:6" ht="14.25" thickBot="1">
      <c r="A37" s="715" t="s">
        <v>398</v>
      </c>
      <c r="B37" s="723" t="s">
        <v>224</v>
      </c>
      <c r="C37" s="805">
        <v>7.3999999999999996E-2</v>
      </c>
      <c r="D37" s="805">
        <v>0.1</v>
      </c>
      <c r="E37" s="805">
        <v>0.1</v>
      </c>
      <c r="F37" s="806">
        <v>0.1</v>
      </c>
    </row>
    <row r="38" spans="1:6" ht="14.25" thickBot="1">
      <c r="A38" s="715" t="s">
        <v>398</v>
      </c>
      <c r="B38" s="723" t="s">
        <v>235</v>
      </c>
      <c r="C38" s="805">
        <v>0.1</v>
      </c>
      <c r="D38" s="805">
        <v>9.6000000000000002E-2</v>
      </c>
      <c r="E38" s="805">
        <v>9.6000000000000002E-2</v>
      </c>
      <c r="F38" s="810"/>
    </row>
    <row r="39" spans="1:6" ht="14.25" thickBot="1">
      <c r="A39" s="715" t="s">
        <v>398</v>
      </c>
      <c r="B39" s="723" t="s">
        <v>246</v>
      </c>
      <c r="C39" s="805">
        <v>0.1</v>
      </c>
      <c r="D39" s="805">
        <v>9.6000000000000002E-2</v>
      </c>
      <c r="E39" s="805">
        <v>9.6000000000000002E-2</v>
      </c>
      <c r="F39" s="810"/>
    </row>
    <row r="40" spans="1:6" ht="14.25" thickBot="1">
      <c r="A40" s="715" t="s">
        <v>398</v>
      </c>
      <c r="B40" s="723" t="s">
        <v>257</v>
      </c>
      <c r="C40" s="805">
        <v>9.6000000000000002E-2</v>
      </c>
      <c r="D40" s="805">
        <v>0.1</v>
      </c>
      <c r="E40" s="805">
        <v>9.9000000000000005E-2</v>
      </c>
      <c r="F40" s="810"/>
    </row>
    <row r="41" spans="1:6" ht="14.25" thickBot="1">
      <c r="A41" s="715" t="s">
        <v>398</v>
      </c>
      <c r="B41" s="723" t="s">
        <v>268</v>
      </c>
      <c r="C41" s="805">
        <v>9.6000000000000002E-2</v>
      </c>
      <c r="D41" s="805">
        <v>9.8000000000000004E-2</v>
      </c>
      <c r="E41" s="805">
        <v>9.8000000000000004E-2</v>
      </c>
      <c r="F41" s="810"/>
    </row>
    <row r="42" spans="1:6" ht="14.25" thickBot="1">
      <c r="A42" s="715" t="s">
        <v>398</v>
      </c>
      <c r="B42" s="723" t="s">
        <v>279</v>
      </c>
      <c r="C42" s="805">
        <v>0.1</v>
      </c>
      <c r="D42" s="805">
        <v>8.7999999999999995E-2</v>
      </c>
      <c r="E42" s="805">
        <v>0.1</v>
      </c>
      <c r="F42" s="810"/>
    </row>
    <row r="43" spans="1:6" ht="14.25" thickBot="1">
      <c r="A43" s="715" t="s">
        <v>398</v>
      </c>
      <c r="B43" s="723" t="s">
        <v>290</v>
      </c>
      <c r="C43" s="805">
        <v>9.8000000000000004E-2</v>
      </c>
      <c r="D43" s="805">
        <v>9.7000000000000003E-2</v>
      </c>
      <c r="E43" s="805">
        <v>9.6000000000000002E-2</v>
      </c>
      <c r="F43" s="810"/>
    </row>
    <row r="44" spans="1:6" ht="14.25" thickBot="1">
      <c r="A44" s="715" t="s">
        <v>398</v>
      </c>
      <c r="B44" s="723" t="s">
        <v>300</v>
      </c>
      <c r="C44" s="805">
        <v>8.5999999999999993E-2</v>
      </c>
      <c r="D44" s="805">
        <v>7.9000000000000001E-2</v>
      </c>
      <c r="E44" s="805">
        <v>7.0999999999999994E-2</v>
      </c>
      <c r="F44" s="810"/>
    </row>
    <row r="45" spans="1:6" ht="14.25" thickBot="1">
      <c r="A45" s="715" t="s">
        <v>398</v>
      </c>
      <c r="B45" s="723" t="s">
        <v>310</v>
      </c>
      <c r="C45" s="805">
        <v>9.8000000000000004E-2</v>
      </c>
      <c r="D45" s="805">
        <v>9.6000000000000002E-2</v>
      </c>
      <c r="E45" s="805">
        <v>9.6000000000000002E-2</v>
      </c>
      <c r="F45" s="810"/>
    </row>
    <row r="46" spans="1:6" ht="14.25" thickBot="1">
      <c r="A46" s="715" t="s">
        <v>398</v>
      </c>
      <c r="B46" s="723" t="s">
        <v>320</v>
      </c>
      <c r="C46" s="805">
        <v>8.5999999999999993E-2</v>
      </c>
      <c r="D46" s="805">
        <v>9.8000000000000004E-2</v>
      </c>
      <c r="E46" s="805">
        <v>8.7999999999999995E-2</v>
      </c>
      <c r="F46" s="810"/>
    </row>
    <row r="47" spans="1:6" ht="14.25" thickBot="1">
      <c r="A47" s="715" t="s">
        <v>398</v>
      </c>
      <c r="B47" s="723" t="s">
        <v>330</v>
      </c>
      <c r="C47" s="805">
        <v>9.6000000000000002E-2</v>
      </c>
      <c r="D47" s="811"/>
      <c r="E47" s="805">
        <v>6.9000000000000006E-2</v>
      </c>
      <c r="F47" s="810"/>
    </row>
    <row r="48" spans="1:6" ht="14.25" thickBot="1">
      <c r="A48" s="732" t="s">
        <v>398</v>
      </c>
      <c r="B48" s="724" t="s">
        <v>339</v>
      </c>
      <c r="C48" s="807">
        <v>9.8000000000000004E-2</v>
      </c>
      <c r="D48" s="808"/>
      <c r="E48" s="807">
        <v>9.5000000000000001E-2</v>
      </c>
      <c r="F48" s="809"/>
    </row>
    <row r="49" spans="1:6" ht="14.25" thickBot="1">
      <c r="A49" s="715" t="s">
        <v>87</v>
      </c>
      <c r="B49" s="716" t="s">
        <v>610</v>
      </c>
      <c r="C49" s="803">
        <v>9.7000000000000003E-2</v>
      </c>
      <c r="D49" s="803">
        <v>9.5000000000000001E-2</v>
      </c>
      <c r="E49" s="803">
        <v>9.7000000000000003E-2</v>
      </c>
      <c r="F49" s="804">
        <v>0.1</v>
      </c>
    </row>
    <row r="50" spans="1:6" ht="14.25" thickBot="1">
      <c r="A50" s="715" t="s">
        <v>87</v>
      </c>
      <c r="B50" s="709" t="s">
        <v>138</v>
      </c>
      <c r="C50" s="805">
        <v>7.4999999999999997E-2</v>
      </c>
      <c r="D50" s="805">
        <v>9.5000000000000001E-2</v>
      </c>
      <c r="E50" s="805">
        <v>0.1</v>
      </c>
      <c r="F50" s="806">
        <v>0.1</v>
      </c>
    </row>
    <row r="51" spans="1:6" ht="14.25" thickBot="1">
      <c r="A51" s="715" t="s">
        <v>87</v>
      </c>
      <c r="B51" s="709" t="s">
        <v>151</v>
      </c>
      <c r="C51" s="805">
        <v>9.8000000000000004E-2</v>
      </c>
      <c r="D51" s="805">
        <v>8.8999999999999996E-2</v>
      </c>
      <c r="E51" s="805">
        <v>0.1</v>
      </c>
      <c r="F51" s="806">
        <v>0.1</v>
      </c>
    </row>
    <row r="52" spans="1:6" ht="14.25" thickBot="1">
      <c r="A52" s="715" t="s">
        <v>87</v>
      </c>
      <c r="B52" s="709" t="s">
        <v>164</v>
      </c>
      <c r="C52" s="805">
        <v>9.8000000000000004E-2</v>
      </c>
      <c r="D52" s="805">
        <v>9.7000000000000003E-2</v>
      </c>
      <c r="E52" s="805">
        <v>8.1000000000000003E-2</v>
      </c>
      <c r="F52" s="806">
        <v>0.1</v>
      </c>
    </row>
    <row r="53" spans="1:6" ht="14.25" thickBot="1">
      <c r="A53" s="715" t="s">
        <v>87</v>
      </c>
      <c r="B53" s="709" t="s">
        <v>176</v>
      </c>
      <c r="C53" s="805">
        <v>9.7000000000000003E-2</v>
      </c>
      <c r="D53" s="805">
        <v>7.5999999999999998E-2</v>
      </c>
      <c r="E53" s="805">
        <v>7.0999999999999994E-2</v>
      </c>
      <c r="F53" s="806">
        <v>0.1</v>
      </c>
    </row>
    <row r="54" spans="1:6" ht="14.25" thickBot="1">
      <c r="A54" s="715" t="s">
        <v>87</v>
      </c>
      <c r="B54" s="709" t="s">
        <v>188</v>
      </c>
      <c r="C54" s="805">
        <v>7.5999999999999998E-2</v>
      </c>
      <c r="D54" s="805">
        <v>0.1</v>
      </c>
      <c r="E54" s="805">
        <v>9.9000000000000005E-2</v>
      </c>
      <c r="F54" s="806">
        <v>0.1</v>
      </c>
    </row>
    <row r="55" spans="1:6" ht="14.25" thickBot="1">
      <c r="A55" s="715" t="s">
        <v>87</v>
      </c>
      <c r="B55" s="709" t="s">
        <v>200</v>
      </c>
      <c r="C55" s="805">
        <v>0.1</v>
      </c>
      <c r="D55" s="805">
        <v>0.1</v>
      </c>
      <c r="E55" s="805">
        <v>9.6000000000000002E-2</v>
      </c>
      <c r="F55" s="806">
        <v>0.1</v>
      </c>
    </row>
    <row r="56" spans="1:6" ht="14.25" thickBot="1">
      <c r="A56" s="715" t="s">
        <v>87</v>
      </c>
      <c r="B56" s="709" t="s">
        <v>212</v>
      </c>
      <c r="C56" s="805">
        <v>0.1</v>
      </c>
      <c r="D56" s="805">
        <v>9.6000000000000002E-2</v>
      </c>
      <c r="E56" s="805">
        <v>5.1999999999999998E-2</v>
      </c>
      <c r="F56" s="806">
        <v>0.1</v>
      </c>
    </row>
    <row r="57" spans="1:6" ht="14.25" thickBot="1">
      <c r="A57" s="715" t="s">
        <v>87</v>
      </c>
      <c r="B57" s="709" t="s">
        <v>225</v>
      </c>
      <c r="C57" s="805">
        <v>9.7000000000000003E-2</v>
      </c>
      <c r="D57" s="805">
        <v>9.6000000000000002E-2</v>
      </c>
      <c r="E57" s="805">
        <v>9.6000000000000002E-2</v>
      </c>
      <c r="F57" s="806">
        <v>0.1</v>
      </c>
    </row>
    <row r="58" spans="1:6" ht="14.25" thickBot="1">
      <c r="A58" s="715" t="s">
        <v>87</v>
      </c>
      <c r="B58" s="709" t="s">
        <v>236</v>
      </c>
      <c r="C58" s="805">
        <v>9.6000000000000002E-2</v>
      </c>
      <c r="D58" s="805">
        <v>9.9000000000000005E-2</v>
      </c>
      <c r="E58" s="805">
        <v>9.6000000000000002E-2</v>
      </c>
      <c r="F58" s="806">
        <v>0.1</v>
      </c>
    </row>
    <row r="59" spans="1:6" ht="14.25" thickBot="1">
      <c r="A59" s="715" t="s">
        <v>87</v>
      </c>
      <c r="B59" s="709" t="s">
        <v>247</v>
      </c>
      <c r="C59" s="805">
        <v>7.1999999999999995E-2</v>
      </c>
      <c r="D59" s="805">
        <v>9.6000000000000002E-2</v>
      </c>
      <c r="E59" s="805">
        <v>7.0999999999999994E-2</v>
      </c>
      <c r="F59" s="806">
        <v>0.1</v>
      </c>
    </row>
    <row r="60" spans="1:6" ht="14.25" thickBot="1">
      <c r="A60" s="715" t="s">
        <v>87</v>
      </c>
      <c r="B60" s="709" t="s">
        <v>258</v>
      </c>
      <c r="C60" s="805">
        <v>9.6000000000000002E-2</v>
      </c>
      <c r="D60" s="805">
        <v>8.8999999999999996E-2</v>
      </c>
      <c r="E60" s="805">
        <v>9.6000000000000002E-2</v>
      </c>
      <c r="F60" s="806">
        <v>0.1</v>
      </c>
    </row>
    <row r="61" spans="1:6" ht="14.25" thickBot="1">
      <c r="A61" s="715" t="s">
        <v>87</v>
      </c>
      <c r="B61" s="709" t="s">
        <v>269</v>
      </c>
      <c r="C61" s="805">
        <v>8.8999999999999996E-2</v>
      </c>
      <c r="D61" s="805">
        <v>9.8000000000000004E-2</v>
      </c>
      <c r="E61" s="805">
        <v>8.7999999999999995E-2</v>
      </c>
      <c r="F61" s="810"/>
    </row>
    <row r="62" spans="1:6" ht="14.25" thickBot="1">
      <c r="A62" s="715" t="s">
        <v>87</v>
      </c>
      <c r="B62" s="709" t="s">
        <v>280</v>
      </c>
      <c r="C62" s="805">
        <v>9.8000000000000004E-2</v>
      </c>
      <c r="D62" s="805">
        <v>9.2999999999999999E-2</v>
      </c>
      <c r="E62" s="805">
        <v>9.7000000000000003E-2</v>
      </c>
      <c r="F62" s="810"/>
    </row>
    <row r="63" spans="1:6" ht="14.25" thickBot="1">
      <c r="A63" s="715" t="s">
        <v>87</v>
      </c>
      <c r="B63" s="709" t="s">
        <v>291</v>
      </c>
      <c r="C63" s="805">
        <v>9.6000000000000002E-2</v>
      </c>
      <c r="D63" s="805">
        <v>9.8000000000000004E-2</v>
      </c>
      <c r="E63" s="805">
        <v>0.09</v>
      </c>
      <c r="F63" s="810"/>
    </row>
    <row r="64" spans="1:6" ht="14.25" thickBot="1">
      <c r="A64" s="715" t="s">
        <v>87</v>
      </c>
      <c r="B64" s="709" t="s">
        <v>301</v>
      </c>
      <c r="C64" s="805">
        <v>9.9000000000000005E-2</v>
      </c>
      <c r="D64" s="805">
        <v>9.7000000000000003E-2</v>
      </c>
      <c r="E64" s="805">
        <v>9.9000000000000005E-2</v>
      </c>
      <c r="F64" s="810"/>
    </row>
    <row r="65" spans="1:6" ht="14.25" thickBot="1">
      <c r="A65" s="715" t="s">
        <v>87</v>
      </c>
      <c r="B65" s="709" t="s">
        <v>311</v>
      </c>
      <c r="C65" s="805">
        <v>9.8000000000000004E-2</v>
      </c>
      <c r="D65" s="805">
        <v>9.6000000000000002E-2</v>
      </c>
      <c r="E65" s="805">
        <v>9.6000000000000002E-2</v>
      </c>
      <c r="F65" s="810"/>
    </row>
    <row r="66" spans="1:6" ht="14.25" thickBot="1">
      <c r="A66" s="715" t="s">
        <v>87</v>
      </c>
      <c r="B66" s="709" t="s">
        <v>321</v>
      </c>
      <c r="C66" s="805">
        <v>9.6000000000000002E-2</v>
      </c>
      <c r="D66" s="805">
        <v>9.1999999999999998E-2</v>
      </c>
      <c r="E66" s="805">
        <v>9.6000000000000002E-2</v>
      </c>
      <c r="F66" s="810"/>
    </row>
    <row r="67" spans="1:6" ht="14.25" thickBot="1">
      <c r="A67" s="715" t="s">
        <v>87</v>
      </c>
      <c r="B67" s="709" t="s">
        <v>331</v>
      </c>
      <c r="C67" s="805">
        <v>9.4E-2</v>
      </c>
      <c r="D67" s="805">
        <v>0.1</v>
      </c>
      <c r="E67" s="805">
        <v>8.7999999999999995E-2</v>
      </c>
      <c r="F67" s="810"/>
    </row>
    <row r="68" spans="1:6" ht="14.25" thickBot="1">
      <c r="A68" s="715" t="s">
        <v>87</v>
      </c>
      <c r="B68" s="709" t="s">
        <v>340</v>
      </c>
      <c r="C68" s="805">
        <v>0.1</v>
      </c>
      <c r="D68" s="805">
        <v>8.7999999999999995E-2</v>
      </c>
      <c r="E68" s="805">
        <v>9.7000000000000003E-2</v>
      </c>
      <c r="F68" s="810"/>
    </row>
    <row r="69" spans="1:6" ht="14.25" thickBot="1">
      <c r="A69" s="715" t="s">
        <v>87</v>
      </c>
      <c r="B69" s="709" t="s">
        <v>349</v>
      </c>
      <c r="C69" s="805">
        <v>6.4000000000000001E-2</v>
      </c>
      <c r="D69" s="805">
        <v>0.1</v>
      </c>
      <c r="E69" s="805">
        <v>0.1</v>
      </c>
      <c r="F69" s="810"/>
    </row>
    <row r="70" spans="1:6" ht="14.25" thickBot="1">
      <c r="A70" s="715" t="s">
        <v>87</v>
      </c>
      <c r="B70" s="709" t="s">
        <v>357</v>
      </c>
      <c r="C70" s="805">
        <v>9.0999999999999998E-2</v>
      </c>
      <c r="D70" s="811"/>
      <c r="E70" s="811"/>
      <c r="F70" s="810"/>
    </row>
    <row r="71" spans="1:6" ht="14.25" thickBot="1">
      <c r="A71" s="715" t="s">
        <v>87</v>
      </c>
      <c r="B71" s="709" t="s">
        <v>364</v>
      </c>
      <c r="C71" s="805">
        <v>0.1</v>
      </c>
      <c r="D71" s="811"/>
      <c r="E71" s="811"/>
      <c r="F71" s="810"/>
    </row>
    <row r="72" spans="1:6" ht="14.25" thickBot="1">
      <c r="A72" s="715" t="s">
        <v>87</v>
      </c>
      <c r="B72" s="709" t="s">
        <v>611</v>
      </c>
      <c r="C72" s="811"/>
      <c r="D72" s="811"/>
      <c r="E72" s="811"/>
      <c r="F72" s="806">
        <v>0.05</v>
      </c>
    </row>
    <row r="73" spans="1:6" ht="14.25" thickBot="1">
      <c r="A73" s="715" t="s">
        <v>87</v>
      </c>
      <c r="B73" s="709" t="s">
        <v>612</v>
      </c>
      <c r="C73" s="811"/>
      <c r="D73" s="811"/>
      <c r="E73" s="811"/>
      <c r="F73" s="806">
        <v>0.05</v>
      </c>
    </row>
    <row r="74" spans="1:6" ht="14.25" thickBot="1">
      <c r="A74" s="715" t="s">
        <v>87</v>
      </c>
      <c r="B74" s="709" t="s">
        <v>613</v>
      </c>
      <c r="C74" s="811"/>
      <c r="D74" s="811"/>
      <c r="E74" s="811"/>
      <c r="F74" s="806">
        <v>0.05</v>
      </c>
    </row>
    <row r="75" spans="1:6" ht="14.25" thickBot="1">
      <c r="A75" s="732" t="s">
        <v>87</v>
      </c>
      <c r="B75" s="725" t="s">
        <v>614</v>
      </c>
      <c r="C75" s="808"/>
      <c r="D75" s="808"/>
      <c r="E75" s="808"/>
      <c r="F75" s="812">
        <v>0.05</v>
      </c>
    </row>
    <row r="76" spans="1:6" ht="14.25" thickBot="1">
      <c r="A76" s="715" t="s">
        <v>479</v>
      </c>
      <c r="B76" s="716" t="s">
        <v>615</v>
      </c>
      <c r="C76" s="803">
        <v>0.1</v>
      </c>
      <c r="D76" s="803">
        <v>0.1</v>
      </c>
      <c r="E76" s="803">
        <v>0.1</v>
      </c>
      <c r="F76" s="804">
        <v>0.1</v>
      </c>
    </row>
    <row r="77" spans="1:6" ht="14.25" thickBot="1">
      <c r="A77" s="715" t="s">
        <v>479</v>
      </c>
      <c r="B77" s="709" t="s">
        <v>139</v>
      </c>
      <c r="C77" s="805">
        <v>8.7999999999999995E-2</v>
      </c>
      <c r="D77" s="805">
        <v>8.6999999999999994E-2</v>
      </c>
      <c r="E77" s="805">
        <v>7.9000000000000001E-2</v>
      </c>
      <c r="F77" s="806">
        <v>0.1</v>
      </c>
    </row>
    <row r="78" spans="1:6" ht="14.25" thickBot="1">
      <c r="A78" s="715" t="s">
        <v>479</v>
      </c>
      <c r="B78" s="709" t="s">
        <v>152</v>
      </c>
      <c r="C78" s="805">
        <v>8.6999999999999994E-2</v>
      </c>
      <c r="D78" s="805">
        <v>8.4000000000000005E-2</v>
      </c>
      <c r="E78" s="805">
        <v>9.6000000000000002E-2</v>
      </c>
      <c r="F78" s="806">
        <v>0.1</v>
      </c>
    </row>
    <row r="79" spans="1:6" ht="14.25" thickBot="1">
      <c r="A79" s="715" t="s">
        <v>479</v>
      </c>
      <c r="B79" s="709" t="s">
        <v>165</v>
      </c>
      <c r="C79" s="805">
        <v>9.8000000000000004E-2</v>
      </c>
      <c r="D79" s="805">
        <v>9.8000000000000004E-2</v>
      </c>
      <c r="E79" s="805">
        <v>9.0999999999999998E-2</v>
      </c>
      <c r="F79" s="806">
        <v>0.1</v>
      </c>
    </row>
    <row r="80" spans="1:6" ht="14.25" thickBot="1">
      <c r="A80" s="715" t="s">
        <v>479</v>
      </c>
      <c r="B80" s="709" t="s">
        <v>177</v>
      </c>
      <c r="C80" s="805">
        <v>9.6000000000000002E-2</v>
      </c>
      <c r="D80" s="805">
        <v>9.6000000000000002E-2</v>
      </c>
      <c r="E80" s="805">
        <v>0.1</v>
      </c>
      <c r="F80" s="806">
        <v>0.1</v>
      </c>
    </row>
    <row r="81" spans="1:6" ht="14.25" thickBot="1">
      <c r="A81" s="715" t="s">
        <v>479</v>
      </c>
      <c r="B81" s="709" t="s">
        <v>189</v>
      </c>
      <c r="C81" s="805">
        <v>9.9000000000000005E-2</v>
      </c>
      <c r="D81" s="805">
        <v>9.9000000000000005E-2</v>
      </c>
      <c r="E81" s="805">
        <v>9.8000000000000004E-2</v>
      </c>
      <c r="F81" s="806">
        <v>0.1</v>
      </c>
    </row>
    <row r="82" spans="1:6" ht="14.25" thickBot="1">
      <c r="A82" s="715" t="s">
        <v>479</v>
      </c>
      <c r="B82" s="709" t="s">
        <v>201</v>
      </c>
      <c r="C82" s="805">
        <v>9.9000000000000005E-2</v>
      </c>
      <c r="D82" s="805">
        <v>9.9000000000000005E-2</v>
      </c>
      <c r="E82" s="805">
        <v>9.7000000000000003E-2</v>
      </c>
      <c r="F82" s="806">
        <v>0.1</v>
      </c>
    </row>
    <row r="83" spans="1:6" ht="14.25" thickBot="1">
      <c r="A83" s="715" t="s">
        <v>479</v>
      </c>
      <c r="B83" s="709" t="s">
        <v>213</v>
      </c>
      <c r="C83" s="805">
        <v>9.8000000000000004E-2</v>
      </c>
      <c r="D83" s="805">
        <v>9.8000000000000004E-2</v>
      </c>
      <c r="E83" s="805">
        <v>9.8000000000000004E-2</v>
      </c>
      <c r="F83" s="806">
        <v>0.1</v>
      </c>
    </row>
    <row r="84" spans="1:6" ht="14.25" thickBot="1">
      <c r="A84" s="715" t="s">
        <v>479</v>
      </c>
      <c r="B84" s="709" t="s">
        <v>226</v>
      </c>
      <c r="C84" s="805">
        <v>9.9000000000000005E-2</v>
      </c>
      <c r="D84" s="805">
        <v>9.9000000000000005E-2</v>
      </c>
      <c r="E84" s="805">
        <v>9.9000000000000005E-2</v>
      </c>
      <c r="F84" s="806">
        <v>0.1</v>
      </c>
    </row>
    <row r="85" spans="1:6" ht="14.25" thickBot="1">
      <c r="A85" s="715" t="s">
        <v>479</v>
      </c>
      <c r="B85" s="709" t="s">
        <v>237</v>
      </c>
      <c r="C85" s="805">
        <v>9.9000000000000005E-2</v>
      </c>
      <c r="D85" s="805">
        <v>9.9000000000000005E-2</v>
      </c>
      <c r="E85" s="805">
        <v>9.9000000000000005E-2</v>
      </c>
      <c r="F85" s="806">
        <v>0.1</v>
      </c>
    </row>
    <row r="86" spans="1:6" ht="14.25" thickBot="1">
      <c r="A86" s="715" t="s">
        <v>479</v>
      </c>
      <c r="B86" s="709" t="s">
        <v>248</v>
      </c>
      <c r="C86" s="805">
        <v>0.1</v>
      </c>
      <c r="D86" s="805">
        <v>0.1</v>
      </c>
      <c r="E86" s="805">
        <v>7.6999999999999999E-2</v>
      </c>
      <c r="F86" s="806">
        <v>0.1</v>
      </c>
    </row>
    <row r="87" spans="1:6" ht="14.25" thickBot="1">
      <c r="A87" s="715" t="s">
        <v>479</v>
      </c>
      <c r="B87" s="709" t="s">
        <v>259</v>
      </c>
      <c r="C87" s="805">
        <v>0.1</v>
      </c>
      <c r="D87" s="805">
        <v>0.1</v>
      </c>
      <c r="E87" s="805">
        <v>9.8000000000000004E-2</v>
      </c>
      <c r="F87" s="810"/>
    </row>
    <row r="88" spans="1:6" ht="14.25" thickBot="1">
      <c r="A88" s="715" t="s">
        <v>479</v>
      </c>
      <c r="B88" s="709" t="s">
        <v>270</v>
      </c>
      <c r="C88" s="805">
        <v>9.1999999999999998E-2</v>
      </c>
      <c r="D88" s="805">
        <v>8.5000000000000006E-2</v>
      </c>
      <c r="E88" s="805">
        <v>9.6000000000000002E-2</v>
      </c>
      <c r="F88" s="810"/>
    </row>
    <row r="89" spans="1:6" ht="14.25" thickBot="1">
      <c r="A89" s="715" t="s">
        <v>479</v>
      </c>
      <c r="B89" s="709" t="s">
        <v>281</v>
      </c>
      <c r="C89" s="805">
        <v>0.1</v>
      </c>
      <c r="D89" s="805">
        <v>0.1</v>
      </c>
      <c r="E89" s="805">
        <v>9.7000000000000003E-2</v>
      </c>
      <c r="F89" s="810"/>
    </row>
    <row r="90" spans="1:6" ht="14.25" thickBot="1">
      <c r="A90" s="715" t="s">
        <v>479</v>
      </c>
      <c r="B90" s="709" t="s">
        <v>292</v>
      </c>
      <c r="C90" s="805">
        <v>9.8000000000000004E-2</v>
      </c>
      <c r="D90" s="805">
        <v>9.8000000000000004E-2</v>
      </c>
      <c r="E90" s="805">
        <v>8.7999999999999995E-2</v>
      </c>
      <c r="F90" s="810"/>
    </row>
    <row r="91" spans="1:6" ht="14.25" thickBot="1">
      <c r="A91" s="715" t="s">
        <v>479</v>
      </c>
      <c r="B91" s="709" t="s">
        <v>302</v>
      </c>
      <c r="C91" s="805">
        <v>9.9000000000000005E-2</v>
      </c>
      <c r="D91" s="805">
        <v>9.9000000000000005E-2</v>
      </c>
      <c r="E91" s="805">
        <v>9.0999999999999998E-2</v>
      </c>
      <c r="F91" s="810"/>
    </row>
    <row r="92" spans="1:6" ht="14.25" thickBot="1">
      <c r="A92" s="715" t="s">
        <v>479</v>
      </c>
      <c r="B92" s="709" t="s">
        <v>312</v>
      </c>
      <c r="C92" s="805">
        <v>9.6000000000000002E-2</v>
      </c>
      <c r="D92" s="805">
        <v>9.6000000000000002E-2</v>
      </c>
      <c r="E92" s="805">
        <v>7.2999999999999995E-2</v>
      </c>
      <c r="F92" s="810"/>
    </row>
    <row r="93" spans="1:6" ht="14.25" thickBot="1">
      <c r="A93" s="715" t="s">
        <v>479</v>
      </c>
      <c r="B93" s="709" t="s">
        <v>322</v>
      </c>
      <c r="C93" s="805">
        <v>9.6000000000000002E-2</v>
      </c>
      <c r="D93" s="805">
        <v>9.6000000000000002E-2</v>
      </c>
      <c r="E93" s="805">
        <v>9.9000000000000005E-2</v>
      </c>
      <c r="F93" s="810"/>
    </row>
    <row r="94" spans="1:6" ht="14.25" thickBot="1">
      <c r="A94" s="715" t="s">
        <v>479</v>
      </c>
      <c r="B94" s="709" t="s">
        <v>332</v>
      </c>
      <c r="C94" s="805">
        <v>7.5999999999999998E-2</v>
      </c>
      <c r="D94" s="805">
        <v>7.3999999999999996E-2</v>
      </c>
      <c r="E94" s="805">
        <v>9.7000000000000003E-2</v>
      </c>
      <c r="F94" s="810"/>
    </row>
    <row r="95" spans="1:6" ht="14.25" thickBot="1">
      <c r="A95" s="715" t="s">
        <v>479</v>
      </c>
      <c r="B95" s="709" t="s">
        <v>341</v>
      </c>
      <c r="C95" s="805">
        <v>9.9000000000000005E-2</v>
      </c>
      <c r="D95" s="805">
        <v>9.4E-2</v>
      </c>
      <c r="E95" s="805">
        <v>9.6000000000000002E-2</v>
      </c>
      <c r="F95" s="810"/>
    </row>
    <row r="96" spans="1:6" ht="14.25" thickBot="1">
      <c r="A96" s="715" t="s">
        <v>479</v>
      </c>
      <c r="B96" s="709" t="s">
        <v>350</v>
      </c>
      <c r="C96" s="805">
        <v>9.9000000000000005E-2</v>
      </c>
      <c r="D96" s="805">
        <v>9.9000000000000005E-2</v>
      </c>
      <c r="E96" s="805">
        <v>9.9000000000000005E-2</v>
      </c>
      <c r="F96" s="810"/>
    </row>
    <row r="97" spans="1:6" ht="14.25" thickBot="1">
      <c r="A97" s="715" t="s">
        <v>479</v>
      </c>
      <c r="B97" s="709" t="s">
        <v>358</v>
      </c>
      <c r="C97" s="805">
        <v>9.8000000000000004E-2</v>
      </c>
      <c r="D97" s="805">
        <v>9.8000000000000004E-2</v>
      </c>
      <c r="E97" s="805">
        <v>9.7000000000000003E-2</v>
      </c>
      <c r="F97" s="810"/>
    </row>
    <row r="98" spans="1:6" ht="14.25" thickBot="1">
      <c r="A98" s="715" t="s">
        <v>479</v>
      </c>
      <c r="B98" s="709" t="s">
        <v>365</v>
      </c>
      <c r="C98" s="805">
        <v>0.1</v>
      </c>
      <c r="D98" s="805">
        <v>0.1</v>
      </c>
      <c r="E98" s="805">
        <v>9.7000000000000003E-2</v>
      </c>
      <c r="F98" s="810"/>
    </row>
    <row r="99" spans="1:6" ht="14.25" thickBot="1">
      <c r="A99" s="715" t="s">
        <v>479</v>
      </c>
      <c r="B99" s="709" t="s">
        <v>372</v>
      </c>
      <c r="C99" s="805">
        <v>0.1</v>
      </c>
      <c r="D99" s="805">
        <v>0.1</v>
      </c>
      <c r="E99" s="811"/>
      <c r="F99" s="810"/>
    </row>
    <row r="100" spans="1:6" ht="14.25" thickBot="1">
      <c r="A100" s="715" t="s">
        <v>479</v>
      </c>
      <c r="B100" s="709" t="s">
        <v>379</v>
      </c>
      <c r="C100" s="805">
        <v>0.09</v>
      </c>
      <c r="D100" s="805">
        <v>8.8999999999999996E-2</v>
      </c>
      <c r="E100" s="811"/>
      <c r="F100" s="810"/>
    </row>
    <row r="101" spans="1:6" ht="14.25" thickBot="1">
      <c r="A101" s="715" t="s">
        <v>479</v>
      </c>
      <c r="B101" s="709" t="s">
        <v>386</v>
      </c>
      <c r="C101" s="805">
        <v>9.8000000000000004E-2</v>
      </c>
      <c r="D101" s="805">
        <v>9.7000000000000003E-2</v>
      </c>
      <c r="E101" s="811"/>
      <c r="F101" s="810"/>
    </row>
    <row r="102" spans="1:6" ht="14.25" thickBot="1">
      <c r="A102" s="715" t="s">
        <v>479</v>
      </c>
      <c r="B102" s="709" t="s">
        <v>616</v>
      </c>
      <c r="C102" s="811"/>
      <c r="D102" s="811"/>
      <c r="E102" s="811"/>
      <c r="F102" s="806">
        <v>0.05</v>
      </c>
    </row>
    <row r="103" spans="1:6" ht="24.75" thickBot="1">
      <c r="A103" s="715" t="s">
        <v>479</v>
      </c>
      <c r="B103" s="709" t="s">
        <v>617</v>
      </c>
      <c r="C103" s="811"/>
      <c r="D103" s="811"/>
      <c r="E103" s="811"/>
      <c r="F103" s="806">
        <v>0.05</v>
      </c>
    </row>
    <row r="104" spans="1:6" ht="14.25" thickBot="1">
      <c r="A104" s="715" t="s">
        <v>479</v>
      </c>
      <c r="B104" s="709" t="s">
        <v>618</v>
      </c>
      <c r="C104" s="811"/>
      <c r="D104" s="811"/>
      <c r="E104" s="811"/>
      <c r="F104" s="806">
        <v>0.05</v>
      </c>
    </row>
    <row r="105" spans="1:6" ht="14.25" thickBot="1">
      <c r="A105" s="715" t="s">
        <v>479</v>
      </c>
      <c r="B105" s="709" t="s">
        <v>619</v>
      </c>
      <c r="C105" s="811"/>
      <c r="D105" s="811"/>
      <c r="E105" s="811"/>
      <c r="F105" s="806">
        <v>0.05</v>
      </c>
    </row>
    <row r="106" spans="1:6" ht="14.25" thickBot="1">
      <c r="A106" s="715" t="s">
        <v>479</v>
      </c>
      <c r="B106" s="709" t="s">
        <v>620</v>
      </c>
      <c r="C106" s="811"/>
      <c r="D106" s="811"/>
      <c r="E106" s="811"/>
      <c r="F106" s="806">
        <v>0.05</v>
      </c>
    </row>
    <row r="107" spans="1:6" ht="24.75" thickBot="1">
      <c r="A107" s="715" t="s">
        <v>479</v>
      </c>
      <c r="B107" s="709" t="s">
        <v>621</v>
      </c>
      <c r="C107" s="811"/>
      <c r="D107" s="811"/>
      <c r="E107" s="811"/>
      <c r="F107" s="806">
        <v>0.05</v>
      </c>
    </row>
    <row r="108" spans="1:6" ht="24.75" thickBot="1">
      <c r="A108" s="715" t="s">
        <v>479</v>
      </c>
      <c r="B108" s="709" t="s">
        <v>622</v>
      </c>
      <c r="C108" s="811"/>
      <c r="D108" s="811"/>
      <c r="E108" s="811"/>
      <c r="F108" s="806">
        <v>0.05</v>
      </c>
    </row>
    <row r="109" spans="1:6" ht="24.75" thickBot="1">
      <c r="A109" s="732" t="s">
        <v>479</v>
      </c>
      <c r="B109" s="725" t="s">
        <v>623</v>
      </c>
      <c r="C109" s="808"/>
      <c r="D109" s="808"/>
      <c r="E109" s="808"/>
      <c r="F109" s="812">
        <v>0.05</v>
      </c>
    </row>
    <row r="110" spans="1:6" ht="14.25" thickBot="1">
      <c r="A110" s="715" t="s">
        <v>70</v>
      </c>
      <c r="B110" s="716" t="s">
        <v>624</v>
      </c>
      <c r="C110" s="803">
        <v>0.129</v>
      </c>
      <c r="D110" s="803">
        <v>0.129</v>
      </c>
      <c r="E110" s="803">
        <v>0.126</v>
      </c>
      <c r="F110" s="804">
        <v>0.13</v>
      </c>
    </row>
    <row r="111" spans="1:6" ht="14.25" thickBot="1">
      <c r="A111" s="715" t="s">
        <v>70</v>
      </c>
      <c r="B111" s="709" t="s">
        <v>140</v>
      </c>
      <c r="C111" s="805">
        <v>0.11</v>
      </c>
      <c r="D111" s="805">
        <v>0.11</v>
      </c>
      <c r="E111" s="805">
        <v>9.9000000000000005E-2</v>
      </c>
      <c r="F111" s="806">
        <v>0.128</v>
      </c>
    </row>
    <row r="112" spans="1:6" ht="14.25" thickBot="1">
      <c r="A112" s="715" t="s">
        <v>70</v>
      </c>
      <c r="B112" s="709" t="s">
        <v>153</v>
      </c>
      <c r="C112" s="805">
        <v>0.125</v>
      </c>
      <c r="D112" s="805">
        <v>0.125</v>
      </c>
      <c r="E112" s="805">
        <v>0.12</v>
      </c>
      <c r="F112" s="806">
        <v>0.125</v>
      </c>
    </row>
    <row r="113" spans="1:6" ht="14.25" thickBot="1">
      <c r="A113" s="715" t="s">
        <v>70</v>
      </c>
      <c r="B113" s="709" t="s">
        <v>166</v>
      </c>
      <c r="C113" s="805">
        <v>0.13</v>
      </c>
      <c r="D113" s="805">
        <v>0.13</v>
      </c>
      <c r="E113" s="805">
        <v>0.13</v>
      </c>
      <c r="F113" s="806">
        <v>0.13</v>
      </c>
    </row>
    <row r="114" spans="1:6" ht="14.25" thickBot="1">
      <c r="A114" s="715" t="s">
        <v>70</v>
      </c>
      <c r="B114" s="709" t="s">
        <v>178</v>
      </c>
      <c r="C114" s="805">
        <v>0.123</v>
      </c>
      <c r="D114" s="805">
        <v>0.123</v>
      </c>
      <c r="E114" s="805">
        <v>0.12</v>
      </c>
      <c r="F114" s="806">
        <v>0.13</v>
      </c>
    </row>
    <row r="115" spans="1:6" ht="14.25" thickBot="1">
      <c r="A115" s="715" t="s">
        <v>70</v>
      </c>
      <c r="B115" s="709" t="s">
        <v>190</v>
      </c>
      <c r="C115" s="805">
        <v>0.125</v>
      </c>
      <c r="D115" s="805">
        <v>0.125</v>
      </c>
      <c r="E115" s="805">
        <v>0.11700000000000001</v>
      </c>
      <c r="F115" s="806">
        <v>0.13</v>
      </c>
    </row>
    <row r="116" spans="1:6" ht="14.25" thickBot="1">
      <c r="A116" s="715" t="s">
        <v>70</v>
      </c>
      <c r="B116" s="709" t="s">
        <v>202</v>
      </c>
      <c r="C116" s="805">
        <v>0.11700000000000001</v>
      </c>
      <c r="D116" s="805">
        <v>0.11700000000000001</v>
      </c>
      <c r="E116" s="805">
        <v>8.7999999999999995E-2</v>
      </c>
      <c r="F116" s="806">
        <v>0.13</v>
      </c>
    </row>
    <row r="117" spans="1:6" ht="14.25" thickBot="1">
      <c r="A117" s="715" t="s">
        <v>70</v>
      </c>
      <c r="B117" s="709" t="s">
        <v>214</v>
      </c>
      <c r="C117" s="805">
        <v>0.13</v>
      </c>
      <c r="D117" s="805">
        <v>0.13</v>
      </c>
      <c r="E117" s="805">
        <v>0.129</v>
      </c>
      <c r="F117" s="806">
        <v>0.13</v>
      </c>
    </row>
    <row r="118" spans="1:6" ht="14.25" thickBot="1">
      <c r="A118" s="715" t="s">
        <v>70</v>
      </c>
      <c r="B118" s="709" t="s">
        <v>227</v>
      </c>
      <c r="C118" s="805">
        <v>0.123</v>
      </c>
      <c r="D118" s="805">
        <v>0.123</v>
      </c>
      <c r="E118" s="805">
        <v>0.11600000000000001</v>
      </c>
      <c r="F118" s="806">
        <v>0.13</v>
      </c>
    </row>
    <row r="119" spans="1:6" ht="14.25" thickBot="1">
      <c r="A119" s="715" t="s">
        <v>70</v>
      </c>
      <c r="B119" s="709" t="s">
        <v>238</v>
      </c>
      <c r="C119" s="805">
        <v>0.127</v>
      </c>
      <c r="D119" s="805">
        <v>0.127</v>
      </c>
      <c r="E119" s="805">
        <v>0.124</v>
      </c>
      <c r="F119" s="806">
        <v>0.13</v>
      </c>
    </row>
    <row r="120" spans="1:6" ht="14.25" thickBot="1">
      <c r="A120" s="715" t="s">
        <v>70</v>
      </c>
      <c r="B120" s="709" t="s">
        <v>249</v>
      </c>
      <c r="C120" s="805">
        <v>0.125</v>
      </c>
      <c r="D120" s="805">
        <v>0.125</v>
      </c>
      <c r="E120" s="805">
        <v>0.122</v>
      </c>
      <c r="F120" s="806">
        <v>0.13</v>
      </c>
    </row>
    <row r="121" spans="1:6" ht="14.25" thickBot="1">
      <c r="A121" s="715" t="s">
        <v>70</v>
      </c>
      <c r="B121" s="709" t="s">
        <v>260</v>
      </c>
      <c r="C121" s="805">
        <v>0.13</v>
      </c>
      <c r="D121" s="805">
        <v>0.13</v>
      </c>
      <c r="E121" s="805">
        <v>0.13</v>
      </c>
      <c r="F121" s="806">
        <v>0.13</v>
      </c>
    </row>
    <row r="122" spans="1:6" ht="14.25" thickBot="1">
      <c r="A122" s="715" t="s">
        <v>70</v>
      </c>
      <c r="B122" s="709" t="s">
        <v>271</v>
      </c>
      <c r="C122" s="805">
        <v>0.13</v>
      </c>
      <c r="D122" s="805">
        <v>0.13</v>
      </c>
      <c r="E122" s="805">
        <v>0.125</v>
      </c>
      <c r="F122" s="806">
        <v>0.13</v>
      </c>
    </row>
    <row r="123" spans="1:6" ht="14.25" thickBot="1">
      <c r="A123" s="715" t="s">
        <v>70</v>
      </c>
      <c r="B123" s="709" t="s">
        <v>282</v>
      </c>
      <c r="C123" s="805">
        <v>0.129</v>
      </c>
      <c r="D123" s="805">
        <v>0.129</v>
      </c>
      <c r="E123" s="805">
        <v>0.123</v>
      </c>
      <c r="F123" s="806">
        <v>0.13</v>
      </c>
    </row>
    <row r="124" spans="1:6" ht="14.25" thickBot="1">
      <c r="A124" s="715" t="s">
        <v>70</v>
      </c>
      <c r="B124" s="709" t="s">
        <v>293</v>
      </c>
      <c r="C124" s="805">
        <v>0.10199999999999999</v>
      </c>
      <c r="D124" s="805">
        <v>0.10100000000000001</v>
      </c>
      <c r="E124" s="805">
        <v>0.08</v>
      </c>
      <c r="F124" s="810"/>
    </row>
    <row r="125" spans="1:6" ht="14.25" thickBot="1">
      <c r="A125" s="715" t="s">
        <v>70</v>
      </c>
      <c r="B125" s="709" t="s">
        <v>303</v>
      </c>
      <c r="C125" s="805">
        <v>0.13</v>
      </c>
      <c r="D125" s="805">
        <v>0.13</v>
      </c>
      <c r="E125" s="805">
        <v>0.129</v>
      </c>
      <c r="F125" s="810"/>
    </row>
    <row r="126" spans="1:6" ht="14.25" thickBot="1">
      <c r="A126" s="715" t="s">
        <v>70</v>
      </c>
      <c r="B126" s="709" t="s">
        <v>313</v>
      </c>
      <c r="C126" s="805">
        <v>0.13</v>
      </c>
      <c r="D126" s="805">
        <v>0.13</v>
      </c>
      <c r="E126" s="805">
        <v>0.126</v>
      </c>
      <c r="F126" s="810"/>
    </row>
    <row r="127" spans="1:6" ht="14.25" thickBot="1">
      <c r="A127" s="715" t="s">
        <v>70</v>
      </c>
      <c r="B127" s="709" t="s">
        <v>323</v>
      </c>
      <c r="C127" s="805">
        <v>0.125</v>
      </c>
      <c r="D127" s="805">
        <v>0.125</v>
      </c>
      <c r="E127" s="805">
        <v>0.121</v>
      </c>
      <c r="F127" s="810"/>
    </row>
    <row r="128" spans="1:6" ht="14.25" thickBot="1">
      <c r="A128" s="715" t="s">
        <v>70</v>
      </c>
      <c r="B128" s="709" t="s">
        <v>333</v>
      </c>
      <c r="C128" s="805">
        <v>0.12</v>
      </c>
      <c r="D128" s="805">
        <v>0.12</v>
      </c>
      <c r="E128" s="805">
        <v>0.105</v>
      </c>
      <c r="F128" s="810"/>
    </row>
    <row r="129" spans="1:6" ht="14.25" thickBot="1">
      <c r="A129" s="715" t="s">
        <v>70</v>
      </c>
      <c r="B129" s="709" t="s">
        <v>342</v>
      </c>
      <c r="C129" s="805">
        <v>0.13</v>
      </c>
      <c r="D129" s="805">
        <v>0.13</v>
      </c>
      <c r="E129" s="805">
        <v>0.126</v>
      </c>
      <c r="F129" s="810"/>
    </row>
    <row r="130" spans="1:6" ht="14.25" thickBot="1">
      <c r="A130" s="715" t="s">
        <v>70</v>
      </c>
      <c r="B130" s="709" t="s">
        <v>351</v>
      </c>
      <c r="C130" s="805">
        <v>0.125</v>
      </c>
      <c r="D130" s="805">
        <v>0.125</v>
      </c>
      <c r="E130" s="805">
        <v>0.122</v>
      </c>
      <c r="F130" s="810"/>
    </row>
    <row r="131" spans="1:6" ht="14.25" thickBot="1">
      <c r="A131" s="715" t="s">
        <v>70</v>
      </c>
      <c r="B131" s="709" t="s">
        <v>359</v>
      </c>
      <c r="C131" s="805">
        <v>0.127</v>
      </c>
      <c r="D131" s="805">
        <v>0.126</v>
      </c>
      <c r="E131" s="805">
        <v>0.123</v>
      </c>
      <c r="F131" s="810"/>
    </row>
    <row r="132" spans="1:6" ht="14.25" thickBot="1">
      <c r="A132" s="715" t="s">
        <v>70</v>
      </c>
      <c r="B132" s="709" t="s">
        <v>366</v>
      </c>
      <c r="C132" s="805">
        <v>9.0999999999999998E-2</v>
      </c>
      <c r="D132" s="805">
        <v>0.121</v>
      </c>
      <c r="E132" s="805">
        <v>9.9000000000000005E-2</v>
      </c>
      <c r="F132" s="810"/>
    </row>
    <row r="133" spans="1:6" ht="14.25" thickBot="1">
      <c r="A133" s="715" t="s">
        <v>70</v>
      </c>
      <c r="B133" s="709" t="s">
        <v>373</v>
      </c>
      <c r="C133" s="805">
        <v>0.13</v>
      </c>
      <c r="D133" s="805">
        <v>0.13</v>
      </c>
      <c r="E133" s="805">
        <v>0.129</v>
      </c>
      <c r="F133" s="810"/>
    </row>
    <row r="134" spans="1:6" ht="14.25" thickBot="1">
      <c r="A134" s="715" t="s">
        <v>70</v>
      </c>
      <c r="B134" s="709" t="s">
        <v>625</v>
      </c>
      <c r="C134" s="805">
        <v>6.8000000000000005E-2</v>
      </c>
      <c r="D134" s="805">
        <v>6.5000000000000002E-2</v>
      </c>
      <c r="E134" s="805">
        <v>6.5000000000000002E-2</v>
      </c>
      <c r="F134" s="806">
        <v>0.13</v>
      </c>
    </row>
    <row r="135" spans="1:6" ht="14.25" thickBot="1">
      <c r="A135" s="715" t="s">
        <v>70</v>
      </c>
      <c r="B135" s="709" t="s">
        <v>387</v>
      </c>
      <c r="C135" s="805">
        <v>0.123</v>
      </c>
      <c r="D135" s="805">
        <v>0.123</v>
      </c>
      <c r="E135" s="805">
        <v>0.11</v>
      </c>
      <c r="F135" s="810"/>
    </row>
    <row r="136" spans="1:6" ht="14.25" thickBot="1">
      <c r="A136" s="715" t="s">
        <v>70</v>
      </c>
      <c r="B136" s="709" t="s">
        <v>394</v>
      </c>
      <c r="C136" s="805">
        <v>0.13</v>
      </c>
      <c r="D136" s="805">
        <v>0.13</v>
      </c>
      <c r="E136" s="805">
        <v>0.125</v>
      </c>
      <c r="F136" s="810"/>
    </row>
    <row r="137" spans="1:6" ht="14.25" thickBot="1">
      <c r="A137" s="715" t="s">
        <v>70</v>
      </c>
      <c r="B137" s="709" t="s">
        <v>401</v>
      </c>
      <c r="C137" s="805">
        <v>0.121</v>
      </c>
      <c r="D137" s="805">
        <v>0.122</v>
      </c>
      <c r="E137" s="805">
        <v>0.115</v>
      </c>
      <c r="F137" s="810"/>
    </row>
    <row r="138" spans="1:6" ht="14.25" thickBot="1">
      <c r="A138" s="715" t="s">
        <v>70</v>
      </c>
      <c r="B138" s="709" t="s">
        <v>626</v>
      </c>
      <c r="C138" s="805">
        <v>0.105</v>
      </c>
      <c r="D138" s="805">
        <v>0.125</v>
      </c>
      <c r="E138" s="805">
        <v>0.112</v>
      </c>
      <c r="F138" s="810"/>
    </row>
    <row r="139" spans="1:6" ht="14.25" thickBot="1">
      <c r="A139" s="715" t="s">
        <v>70</v>
      </c>
      <c r="B139" s="709" t="s">
        <v>627</v>
      </c>
      <c r="C139" s="805">
        <v>0.127</v>
      </c>
      <c r="D139" s="805">
        <v>0.127</v>
      </c>
      <c r="E139" s="805">
        <v>0.122</v>
      </c>
      <c r="F139" s="806">
        <v>0.13</v>
      </c>
    </row>
    <row r="140" spans="1:6" ht="14.25" thickBot="1">
      <c r="A140" s="715" t="s">
        <v>70</v>
      </c>
      <c r="B140" s="709" t="s">
        <v>628</v>
      </c>
      <c r="C140" s="805">
        <v>0.125</v>
      </c>
      <c r="D140" s="805">
        <v>0.125</v>
      </c>
      <c r="E140" s="805">
        <v>0.11899999999999999</v>
      </c>
      <c r="F140" s="806">
        <v>0.13</v>
      </c>
    </row>
    <row r="141" spans="1:6" ht="14.25" thickBot="1">
      <c r="A141" s="715" t="s">
        <v>70</v>
      </c>
      <c r="B141" s="709" t="s">
        <v>420</v>
      </c>
      <c r="C141" s="805">
        <v>0.125</v>
      </c>
      <c r="D141" s="805">
        <v>0.125</v>
      </c>
      <c r="E141" s="805">
        <v>0.11700000000000001</v>
      </c>
      <c r="F141" s="810"/>
    </row>
    <row r="142" spans="1:6" ht="14.25" thickBot="1">
      <c r="A142" s="715" t="s">
        <v>70</v>
      </c>
      <c r="B142" s="709" t="s">
        <v>425</v>
      </c>
      <c r="C142" s="805">
        <v>0.125</v>
      </c>
      <c r="D142" s="805">
        <v>0.125</v>
      </c>
      <c r="E142" s="805">
        <v>0.115</v>
      </c>
      <c r="F142" s="810"/>
    </row>
    <row r="143" spans="1:6" ht="14.25" thickBot="1">
      <c r="A143" s="715" t="s">
        <v>70</v>
      </c>
      <c r="B143" s="709" t="s">
        <v>430</v>
      </c>
      <c r="C143" s="805">
        <v>0.121</v>
      </c>
      <c r="D143" s="805">
        <v>0.121</v>
      </c>
      <c r="E143" s="805">
        <v>0.108</v>
      </c>
      <c r="F143" s="810"/>
    </row>
    <row r="144" spans="1:6" ht="14.25" thickBot="1">
      <c r="A144" s="715" t="s">
        <v>70</v>
      </c>
      <c r="B144" s="813" t="s">
        <v>629</v>
      </c>
      <c r="C144" s="814">
        <v>0.126</v>
      </c>
      <c r="D144" s="814">
        <v>0.126</v>
      </c>
      <c r="E144" s="814">
        <v>0.121</v>
      </c>
      <c r="F144" s="810"/>
    </row>
    <row r="145" spans="1:6" ht="14.25" thickBot="1">
      <c r="A145" s="732" t="s">
        <v>70</v>
      </c>
      <c r="B145" s="815" t="s">
        <v>630</v>
      </c>
      <c r="C145" s="816"/>
      <c r="D145" s="816"/>
      <c r="E145" s="816"/>
      <c r="F145" s="817">
        <v>0.05</v>
      </c>
    </row>
    <row r="146" spans="1:6" ht="24.75" thickBot="1">
      <c r="A146" s="818" t="s">
        <v>70</v>
      </c>
      <c r="B146" s="723" t="s">
        <v>631</v>
      </c>
      <c r="C146" s="811"/>
      <c r="D146" s="811"/>
      <c r="E146" s="811"/>
      <c r="F146" s="819">
        <v>0.05</v>
      </c>
    </row>
    <row r="147" spans="1:6" ht="24.75" thickBot="1">
      <c r="A147" s="715" t="s">
        <v>70</v>
      </c>
      <c r="B147" s="709" t="s">
        <v>632</v>
      </c>
      <c r="C147" s="811"/>
      <c r="D147" s="811"/>
      <c r="E147" s="811"/>
      <c r="F147" s="806">
        <v>0.05</v>
      </c>
    </row>
    <row r="148" spans="1:6" ht="24.75" thickBot="1">
      <c r="A148" s="715" t="s">
        <v>70</v>
      </c>
      <c r="B148" s="709" t="s">
        <v>633</v>
      </c>
      <c r="C148" s="811"/>
      <c r="D148" s="811"/>
      <c r="E148" s="811"/>
      <c r="F148" s="806">
        <v>0.05</v>
      </c>
    </row>
    <row r="149" spans="1:6" ht="24.75" thickBot="1">
      <c r="A149" s="715" t="s">
        <v>70</v>
      </c>
      <c r="B149" s="709" t="s">
        <v>634</v>
      </c>
      <c r="C149" s="811"/>
      <c r="D149" s="811"/>
      <c r="E149" s="811"/>
      <c r="F149" s="806">
        <v>0.05</v>
      </c>
    </row>
    <row r="150" spans="1:6" ht="24.75" thickBot="1">
      <c r="A150" s="715" t="s">
        <v>70</v>
      </c>
      <c r="B150" s="709" t="s">
        <v>635</v>
      </c>
      <c r="C150" s="811"/>
      <c r="D150" s="811"/>
      <c r="E150" s="811"/>
      <c r="F150" s="806">
        <v>0.05</v>
      </c>
    </row>
    <row r="151" spans="1:6" ht="24.75" thickBot="1">
      <c r="A151" s="715" t="s">
        <v>70</v>
      </c>
      <c r="B151" s="709" t="s">
        <v>636</v>
      </c>
      <c r="C151" s="811"/>
      <c r="D151" s="811"/>
      <c r="E151" s="811"/>
      <c r="F151" s="806">
        <v>0.05</v>
      </c>
    </row>
    <row r="152" spans="1:6" ht="24.75" thickBot="1">
      <c r="A152" s="715" t="s">
        <v>70</v>
      </c>
      <c r="B152" s="709" t="s">
        <v>463</v>
      </c>
      <c r="C152" s="811"/>
      <c r="D152" s="811"/>
      <c r="E152" s="811"/>
      <c r="F152" s="806">
        <v>0.05</v>
      </c>
    </row>
    <row r="153" spans="1:6" ht="14.25" thickBot="1">
      <c r="A153" s="715" t="s">
        <v>70</v>
      </c>
      <c r="B153" s="709" t="s">
        <v>637</v>
      </c>
      <c r="C153" s="811"/>
      <c r="D153" s="811"/>
      <c r="E153" s="811"/>
      <c r="F153" s="806">
        <v>0.05</v>
      </c>
    </row>
    <row r="154" spans="1:6" ht="14.25" thickBot="1">
      <c r="A154" s="715" t="s">
        <v>70</v>
      </c>
      <c r="B154" s="709" t="s">
        <v>638</v>
      </c>
      <c r="C154" s="811"/>
      <c r="D154" s="811"/>
      <c r="E154" s="811"/>
      <c r="F154" s="806">
        <v>0.05</v>
      </c>
    </row>
    <row r="155" spans="1:6" ht="24.75" thickBot="1">
      <c r="A155" s="715" t="s">
        <v>70</v>
      </c>
      <c r="B155" s="709" t="s">
        <v>639</v>
      </c>
      <c r="C155" s="811"/>
      <c r="D155" s="811"/>
      <c r="E155" s="811"/>
      <c r="F155" s="806">
        <v>0.05</v>
      </c>
    </row>
    <row r="156" spans="1:6" ht="24.75" thickBot="1">
      <c r="A156" s="715" t="s">
        <v>70</v>
      </c>
      <c r="B156" s="709" t="s">
        <v>640</v>
      </c>
      <c r="C156" s="811"/>
      <c r="D156" s="811"/>
      <c r="E156" s="811"/>
      <c r="F156" s="806">
        <v>0.05</v>
      </c>
    </row>
    <row r="157" spans="1:6" ht="14.25" thickBot="1">
      <c r="A157" s="732" t="s">
        <v>70</v>
      </c>
      <c r="B157" s="725" t="s">
        <v>641</v>
      </c>
      <c r="C157" s="808"/>
      <c r="D157" s="808"/>
      <c r="E157" s="808"/>
      <c r="F157" s="812">
        <v>0.05</v>
      </c>
    </row>
    <row r="158" spans="1:6" ht="14.25" thickBot="1">
      <c r="A158" s="715" t="s">
        <v>482</v>
      </c>
      <c r="B158" s="716" t="s">
        <v>642</v>
      </c>
      <c r="C158" s="803">
        <v>0.13</v>
      </c>
      <c r="D158" s="803">
        <v>0.13</v>
      </c>
      <c r="E158" s="803">
        <v>0.13</v>
      </c>
      <c r="F158" s="804">
        <v>0.13</v>
      </c>
    </row>
    <row r="159" spans="1:6" ht="14.25" thickBot="1">
      <c r="A159" s="715" t="s">
        <v>482</v>
      </c>
      <c r="B159" s="709" t="s">
        <v>141</v>
      </c>
      <c r="C159" s="805">
        <v>0.13</v>
      </c>
      <c r="D159" s="805">
        <v>0.13</v>
      </c>
      <c r="E159" s="805">
        <v>0.13</v>
      </c>
      <c r="F159" s="806">
        <v>0.13</v>
      </c>
    </row>
    <row r="160" spans="1:6" ht="14.25" thickBot="1">
      <c r="A160" s="715" t="s">
        <v>482</v>
      </c>
      <c r="B160" s="709" t="s">
        <v>154</v>
      </c>
      <c r="C160" s="805">
        <v>0.13</v>
      </c>
      <c r="D160" s="805">
        <v>0.13</v>
      </c>
      <c r="E160" s="805">
        <v>0.129</v>
      </c>
      <c r="F160" s="806">
        <v>0.13</v>
      </c>
    </row>
    <row r="161" spans="1:6" ht="14.25" thickBot="1">
      <c r="A161" s="715" t="s">
        <v>482</v>
      </c>
      <c r="B161" s="709" t="s">
        <v>167</v>
      </c>
      <c r="C161" s="805">
        <v>0.128</v>
      </c>
      <c r="D161" s="805">
        <v>0.128</v>
      </c>
      <c r="E161" s="805">
        <v>0.125</v>
      </c>
      <c r="F161" s="806">
        <v>0.13</v>
      </c>
    </row>
    <row r="162" spans="1:6" ht="14.25" thickBot="1">
      <c r="A162" s="715" t="s">
        <v>482</v>
      </c>
      <c r="B162" s="709" t="s">
        <v>179</v>
      </c>
      <c r="C162" s="805">
        <v>0.122</v>
      </c>
      <c r="D162" s="805">
        <v>0.122</v>
      </c>
      <c r="E162" s="805">
        <v>0.126</v>
      </c>
      <c r="F162" s="806">
        <v>0.122</v>
      </c>
    </row>
    <row r="163" spans="1:6" ht="14.25" thickBot="1">
      <c r="A163" s="715" t="s">
        <v>482</v>
      </c>
      <c r="B163" s="709" t="s">
        <v>191</v>
      </c>
      <c r="C163" s="805">
        <v>0.13</v>
      </c>
      <c r="D163" s="805">
        <v>0.13</v>
      </c>
      <c r="E163" s="805">
        <v>0.125</v>
      </c>
      <c r="F163" s="806">
        <v>0.13</v>
      </c>
    </row>
    <row r="164" spans="1:6" ht="14.25" thickBot="1">
      <c r="A164" s="715" t="s">
        <v>482</v>
      </c>
      <c r="B164" s="709" t="s">
        <v>203</v>
      </c>
      <c r="C164" s="805">
        <v>0.13</v>
      </c>
      <c r="D164" s="805">
        <v>0.13</v>
      </c>
      <c r="E164" s="805">
        <v>0.13</v>
      </c>
      <c r="F164" s="806">
        <v>0.13</v>
      </c>
    </row>
    <row r="165" spans="1:6" ht="14.25" thickBot="1">
      <c r="A165" s="715" t="s">
        <v>482</v>
      </c>
      <c r="B165" s="709" t="s">
        <v>215</v>
      </c>
      <c r="C165" s="805">
        <v>0.13</v>
      </c>
      <c r="D165" s="805">
        <v>0.13</v>
      </c>
      <c r="E165" s="805">
        <v>0.124</v>
      </c>
      <c r="F165" s="806">
        <v>0.13</v>
      </c>
    </row>
    <row r="166" spans="1:6" ht="14.25" thickBot="1">
      <c r="A166" s="715" t="s">
        <v>482</v>
      </c>
      <c r="B166" s="709" t="s">
        <v>228</v>
      </c>
      <c r="C166" s="805">
        <v>0.13</v>
      </c>
      <c r="D166" s="805">
        <v>0.13</v>
      </c>
      <c r="E166" s="805">
        <v>0.13</v>
      </c>
      <c r="F166" s="806">
        <v>0.13</v>
      </c>
    </row>
    <row r="167" spans="1:6" ht="14.25" thickBot="1">
      <c r="A167" s="715" t="s">
        <v>482</v>
      </c>
      <c r="B167" s="709" t="s">
        <v>239</v>
      </c>
      <c r="C167" s="805">
        <v>0.125</v>
      </c>
      <c r="D167" s="805">
        <v>0.125</v>
      </c>
      <c r="E167" s="805">
        <v>0.121</v>
      </c>
      <c r="F167" s="810"/>
    </row>
    <row r="168" spans="1:6" ht="14.25" thickBot="1">
      <c r="A168" s="715" t="s">
        <v>482</v>
      </c>
      <c r="B168" s="709" t="s">
        <v>250</v>
      </c>
      <c r="C168" s="805">
        <v>0.13</v>
      </c>
      <c r="D168" s="805">
        <v>0.13</v>
      </c>
      <c r="E168" s="805">
        <v>0.126</v>
      </c>
      <c r="F168" s="810"/>
    </row>
    <row r="169" spans="1:6" ht="14.25" thickBot="1">
      <c r="A169" s="715" t="s">
        <v>482</v>
      </c>
      <c r="B169" s="709" t="s">
        <v>261</v>
      </c>
      <c r="C169" s="805">
        <v>0.128</v>
      </c>
      <c r="D169" s="805">
        <v>0.129</v>
      </c>
      <c r="E169" s="805">
        <v>0.13</v>
      </c>
      <c r="F169" s="810"/>
    </row>
    <row r="170" spans="1:6" ht="14.25" thickBot="1">
      <c r="A170" s="715" t="s">
        <v>482</v>
      </c>
      <c r="B170" s="709" t="s">
        <v>272</v>
      </c>
      <c r="C170" s="805">
        <v>0.14099999999999999</v>
      </c>
      <c r="D170" s="805">
        <v>0.13</v>
      </c>
      <c r="E170" s="805">
        <v>0.125</v>
      </c>
      <c r="F170" s="810"/>
    </row>
    <row r="171" spans="1:6" ht="14.25" thickBot="1">
      <c r="A171" s="715" t="s">
        <v>482</v>
      </c>
      <c r="B171" s="709" t="s">
        <v>643</v>
      </c>
      <c r="C171" s="805">
        <v>0.127</v>
      </c>
      <c r="D171" s="805">
        <v>0.126</v>
      </c>
      <c r="E171" s="805">
        <v>0.126</v>
      </c>
      <c r="F171" s="806">
        <v>0.11799999999999999</v>
      </c>
    </row>
    <row r="172" spans="1:6" ht="14.25" thickBot="1">
      <c r="A172" s="715" t="s">
        <v>482</v>
      </c>
      <c r="B172" s="709" t="s">
        <v>644</v>
      </c>
      <c r="C172" s="805">
        <v>0.13</v>
      </c>
      <c r="D172" s="805">
        <v>0.13</v>
      </c>
      <c r="E172" s="805">
        <v>0.13</v>
      </c>
      <c r="F172" s="810"/>
    </row>
    <row r="173" spans="1:6" ht="14.25" thickBot="1">
      <c r="A173" s="715" t="s">
        <v>482</v>
      </c>
      <c r="B173" s="709" t="s">
        <v>304</v>
      </c>
      <c r="C173" s="805">
        <v>0.13</v>
      </c>
      <c r="D173" s="805">
        <v>0.13</v>
      </c>
      <c r="E173" s="805">
        <v>0.13</v>
      </c>
      <c r="F173" s="810"/>
    </row>
    <row r="174" spans="1:6" ht="14.25" thickBot="1">
      <c r="A174" s="715" t="s">
        <v>482</v>
      </c>
      <c r="B174" s="709" t="s">
        <v>645</v>
      </c>
      <c r="C174" s="805">
        <v>0.13</v>
      </c>
      <c r="D174" s="805">
        <v>0.13</v>
      </c>
      <c r="E174" s="805">
        <v>0.13</v>
      </c>
      <c r="F174" s="806">
        <v>0.13</v>
      </c>
    </row>
    <row r="175" spans="1:6" ht="14.25" thickBot="1">
      <c r="A175" s="715" t="s">
        <v>482</v>
      </c>
      <c r="B175" s="709" t="s">
        <v>646</v>
      </c>
      <c r="C175" s="805">
        <v>0.13</v>
      </c>
      <c r="D175" s="805">
        <v>0.13</v>
      </c>
      <c r="E175" s="805">
        <v>0.13</v>
      </c>
      <c r="F175" s="806">
        <v>0.13</v>
      </c>
    </row>
    <row r="176" spans="1:6" ht="14.25" thickBot="1">
      <c r="A176" s="715" t="s">
        <v>482</v>
      </c>
      <c r="B176" s="709" t="s">
        <v>334</v>
      </c>
      <c r="C176" s="805">
        <v>0.13</v>
      </c>
      <c r="D176" s="805">
        <v>0.13</v>
      </c>
      <c r="E176" s="805">
        <v>0.13</v>
      </c>
      <c r="F176" s="806">
        <v>0.13</v>
      </c>
    </row>
    <row r="177" spans="1:6" ht="14.25" thickBot="1">
      <c r="A177" s="715" t="s">
        <v>482</v>
      </c>
      <c r="B177" s="709" t="s">
        <v>647</v>
      </c>
      <c r="C177" s="805">
        <v>0.13</v>
      </c>
      <c r="D177" s="805">
        <v>0.13</v>
      </c>
      <c r="E177" s="805">
        <v>0.13</v>
      </c>
      <c r="F177" s="806">
        <v>0.13</v>
      </c>
    </row>
    <row r="178" spans="1:6" ht="14.25" thickBot="1">
      <c r="A178" s="715" t="s">
        <v>482</v>
      </c>
      <c r="B178" s="709" t="s">
        <v>352</v>
      </c>
      <c r="C178" s="805">
        <v>0.13</v>
      </c>
      <c r="D178" s="805">
        <v>0.13</v>
      </c>
      <c r="E178" s="805">
        <v>0.13</v>
      </c>
      <c r="F178" s="806">
        <v>0.127</v>
      </c>
    </row>
    <row r="179" spans="1:6" ht="14.25" thickBot="1">
      <c r="A179" s="715" t="s">
        <v>482</v>
      </c>
      <c r="B179" s="709" t="s">
        <v>360</v>
      </c>
      <c r="C179" s="805">
        <v>0.13</v>
      </c>
      <c r="D179" s="805">
        <v>0.13</v>
      </c>
      <c r="E179" s="805">
        <v>0.13</v>
      </c>
      <c r="F179" s="810"/>
    </row>
    <row r="180" spans="1:6" ht="14.25" thickBot="1">
      <c r="A180" s="715" t="s">
        <v>482</v>
      </c>
      <c r="B180" s="709" t="s">
        <v>648</v>
      </c>
      <c r="C180" s="805">
        <v>0.13</v>
      </c>
      <c r="D180" s="805">
        <v>0.13</v>
      </c>
      <c r="E180" s="805">
        <v>0.125</v>
      </c>
      <c r="F180" s="806">
        <v>0.13</v>
      </c>
    </row>
    <row r="181" spans="1:6" ht="14.25" thickBot="1">
      <c r="A181" s="715" t="s">
        <v>482</v>
      </c>
      <c r="B181" s="709" t="s">
        <v>374</v>
      </c>
      <c r="C181" s="805">
        <v>0.122</v>
      </c>
      <c r="D181" s="805">
        <v>0.123</v>
      </c>
      <c r="E181" s="805">
        <v>0.126</v>
      </c>
      <c r="F181" s="806">
        <v>0.121</v>
      </c>
    </row>
    <row r="182" spans="1:6" ht="14.25" thickBot="1">
      <c r="A182" s="715" t="s">
        <v>482</v>
      </c>
      <c r="B182" s="709" t="s">
        <v>381</v>
      </c>
      <c r="C182" s="805">
        <v>0.125</v>
      </c>
      <c r="D182" s="805">
        <v>0.125</v>
      </c>
      <c r="E182" s="805">
        <v>0.11700000000000001</v>
      </c>
      <c r="F182" s="806">
        <v>0.13</v>
      </c>
    </row>
    <row r="183" spans="1:6" ht="14.25" thickBot="1">
      <c r="A183" s="715" t="s">
        <v>482</v>
      </c>
      <c r="B183" s="709" t="s">
        <v>388</v>
      </c>
      <c r="C183" s="805">
        <v>0.127</v>
      </c>
      <c r="D183" s="805">
        <v>0.127</v>
      </c>
      <c r="E183" s="805">
        <v>0.128</v>
      </c>
      <c r="F183" s="810"/>
    </row>
    <row r="184" spans="1:6" ht="14.25" thickBot="1">
      <c r="A184" s="715" t="s">
        <v>482</v>
      </c>
      <c r="B184" s="709" t="s">
        <v>395</v>
      </c>
      <c r="C184" s="805">
        <v>0.125</v>
      </c>
      <c r="D184" s="805">
        <v>0.125</v>
      </c>
      <c r="E184" s="805">
        <v>0.127</v>
      </c>
      <c r="F184" s="810"/>
    </row>
    <row r="185" spans="1:6" ht="14.25" thickBot="1">
      <c r="A185" s="715" t="s">
        <v>482</v>
      </c>
      <c r="B185" s="709" t="s">
        <v>649</v>
      </c>
      <c r="C185" s="805">
        <v>0.127</v>
      </c>
      <c r="D185" s="805">
        <v>0.127</v>
      </c>
      <c r="E185" s="805">
        <v>0.128</v>
      </c>
      <c r="F185" s="806">
        <v>0.13</v>
      </c>
    </row>
    <row r="186" spans="1:6" ht="24.75" thickBot="1">
      <c r="A186" s="715" t="s">
        <v>482</v>
      </c>
      <c r="B186" s="709" t="s">
        <v>650</v>
      </c>
      <c r="C186" s="811"/>
      <c r="D186" s="811"/>
      <c r="E186" s="811"/>
      <c r="F186" s="806">
        <v>0.05</v>
      </c>
    </row>
    <row r="187" spans="1:6" ht="14.25" thickBot="1">
      <c r="A187" s="715" t="s">
        <v>482</v>
      </c>
      <c r="B187" s="709" t="s">
        <v>651</v>
      </c>
      <c r="C187" s="811"/>
      <c r="D187" s="811"/>
      <c r="E187" s="811"/>
      <c r="F187" s="806">
        <v>0.05</v>
      </c>
    </row>
    <row r="188" spans="1:6" ht="14.25" thickBot="1">
      <c r="A188" s="715" t="s">
        <v>482</v>
      </c>
      <c r="B188" s="709" t="s">
        <v>652</v>
      </c>
      <c r="C188" s="811"/>
      <c r="D188" s="811"/>
      <c r="E188" s="811"/>
      <c r="F188" s="806">
        <v>0.05</v>
      </c>
    </row>
    <row r="189" spans="1:6" ht="24.75" thickBot="1">
      <c r="A189" s="715" t="s">
        <v>482</v>
      </c>
      <c r="B189" s="709" t="s">
        <v>653</v>
      </c>
      <c r="C189" s="811"/>
      <c r="D189" s="811"/>
      <c r="E189" s="811"/>
      <c r="F189" s="806">
        <v>0.05</v>
      </c>
    </row>
    <row r="190" spans="1:6" ht="24.75" thickBot="1">
      <c r="A190" s="715" t="s">
        <v>482</v>
      </c>
      <c r="B190" s="709" t="s">
        <v>654</v>
      </c>
      <c r="C190" s="811"/>
      <c r="D190" s="811"/>
      <c r="E190" s="811"/>
      <c r="F190" s="806">
        <v>0.05</v>
      </c>
    </row>
    <row r="191" spans="1:6" ht="24.75" thickBot="1">
      <c r="A191" s="715" t="s">
        <v>482</v>
      </c>
      <c r="B191" s="709" t="s">
        <v>655</v>
      </c>
      <c r="C191" s="811"/>
      <c r="D191" s="811"/>
      <c r="E191" s="811"/>
      <c r="F191" s="806">
        <v>0.05</v>
      </c>
    </row>
    <row r="192" spans="1:6" ht="24.75" thickBot="1">
      <c r="A192" s="715" t="s">
        <v>482</v>
      </c>
      <c r="B192" s="709" t="s">
        <v>656</v>
      </c>
      <c r="C192" s="811"/>
      <c r="D192" s="811"/>
      <c r="E192" s="811"/>
      <c r="F192" s="806">
        <v>0.05</v>
      </c>
    </row>
    <row r="193" spans="1:6" ht="24.75" thickBot="1">
      <c r="A193" s="715" t="s">
        <v>482</v>
      </c>
      <c r="B193" s="709" t="s">
        <v>657</v>
      </c>
      <c r="C193" s="811"/>
      <c r="D193" s="811"/>
      <c r="E193" s="811"/>
      <c r="F193" s="806">
        <v>0.05</v>
      </c>
    </row>
    <row r="194" spans="1:6" ht="24.75" thickBot="1">
      <c r="A194" s="715" t="s">
        <v>482</v>
      </c>
      <c r="B194" s="709" t="s">
        <v>658</v>
      </c>
      <c r="C194" s="811"/>
      <c r="D194" s="811"/>
      <c r="E194" s="811"/>
      <c r="F194" s="806">
        <v>0.05</v>
      </c>
    </row>
    <row r="195" spans="1:6" ht="14.25" thickBot="1">
      <c r="A195" s="715" t="s">
        <v>482</v>
      </c>
      <c r="B195" s="709" t="s">
        <v>659</v>
      </c>
      <c r="C195" s="811"/>
      <c r="D195" s="811"/>
      <c r="E195" s="811"/>
      <c r="F195" s="806">
        <v>0.05</v>
      </c>
    </row>
    <row r="196" spans="1:6" ht="24.75" thickBot="1">
      <c r="A196" s="715" t="s">
        <v>482</v>
      </c>
      <c r="B196" s="709" t="s">
        <v>660</v>
      </c>
      <c r="C196" s="811"/>
      <c r="D196" s="811"/>
      <c r="E196" s="811"/>
      <c r="F196" s="806">
        <v>0.05</v>
      </c>
    </row>
    <row r="197" spans="1:6" ht="24.75" thickBot="1">
      <c r="A197" s="715" t="s">
        <v>482</v>
      </c>
      <c r="B197" s="709" t="s">
        <v>661</v>
      </c>
      <c r="C197" s="811"/>
      <c r="D197" s="811"/>
      <c r="E197" s="811"/>
      <c r="F197" s="806">
        <v>0.05</v>
      </c>
    </row>
    <row r="198" spans="1:6" ht="24.75" thickBot="1">
      <c r="A198" s="715" t="s">
        <v>482</v>
      </c>
      <c r="B198" s="709" t="s">
        <v>662</v>
      </c>
      <c r="C198" s="811"/>
      <c r="D198" s="811"/>
      <c r="E198" s="811"/>
      <c r="F198" s="806">
        <v>0.05</v>
      </c>
    </row>
    <row r="199" spans="1:6" ht="24.75" thickBot="1">
      <c r="A199" s="715" t="s">
        <v>482</v>
      </c>
      <c r="B199" s="709" t="s">
        <v>663</v>
      </c>
      <c r="C199" s="811"/>
      <c r="D199" s="811"/>
      <c r="E199" s="811"/>
      <c r="F199" s="806">
        <v>0.05</v>
      </c>
    </row>
    <row r="200" spans="1:6" ht="24.75" thickBot="1">
      <c r="A200" s="715" t="s">
        <v>482</v>
      </c>
      <c r="B200" s="709" t="s">
        <v>664</v>
      </c>
      <c r="C200" s="811"/>
      <c r="D200" s="811"/>
      <c r="E200" s="811"/>
      <c r="F200" s="806">
        <v>0.05</v>
      </c>
    </row>
    <row r="201" spans="1:6" ht="24.75" thickBot="1">
      <c r="A201" s="715" t="s">
        <v>482</v>
      </c>
      <c r="B201" s="709" t="s">
        <v>665</v>
      </c>
      <c r="C201" s="811"/>
      <c r="D201" s="811"/>
      <c r="E201" s="811"/>
      <c r="F201" s="806">
        <v>0.05</v>
      </c>
    </row>
    <row r="202" spans="1:6" ht="24.75" thickBot="1">
      <c r="A202" s="715" t="s">
        <v>482</v>
      </c>
      <c r="B202" s="709" t="s">
        <v>666</v>
      </c>
      <c r="C202" s="811"/>
      <c r="D202" s="811"/>
      <c r="E202" s="811"/>
      <c r="F202" s="806">
        <v>0.05</v>
      </c>
    </row>
    <row r="203" spans="1:6" ht="24.75" thickBot="1">
      <c r="A203" s="715" t="s">
        <v>482</v>
      </c>
      <c r="B203" s="709" t="s">
        <v>667</v>
      </c>
      <c r="C203" s="811"/>
      <c r="D203" s="811"/>
      <c r="E203" s="811"/>
      <c r="F203" s="806">
        <v>0.05</v>
      </c>
    </row>
    <row r="204" spans="1:6" ht="14.25" thickBot="1">
      <c r="A204" s="715" t="s">
        <v>482</v>
      </c>
      <c r="B204" s="709" t="s">
        <v>668</v>
      </c>
      <c r="C204" s="811"/>
      <c r="D204" s="811"/>
      <c r="E204" s="811"/>
      <c r="F204" s="806">
        <v>0.05</v>
      </c>
    </row>
    <row r="205" spans="1:6" ht="14.25" thickBot="1">
      <c r="A205" s="732" t="s">
        <v>482</v>
      </c>
      <c r="B205" s="725" t="s">
        <v>669</v>
      </c>
      <c r="C205" s="808"/>
      <c r="D205" s="808"/>
      <c r="E205" s="808"/>
      <c r="F205" s="812">
        <v>0.05</v>
      </c>
    </row>
    <row r="206" spans="1:6" ht="14.25" thickBot="1">
      <c r="A206" s="715" t="s">
        <v>484</v>
      </c>
      <c r="B206" s="716" t="s">
        <v>670</v>
      </c>
      <c r="C206" s="803">
        <v>0.15</v>
      </c>
      <c r="D206" s="803">
        <v>0.15</v>
      </c>
      <c r="E206" s="803">
        <v>0.15</v>
      </c>
      <c r="F206" s="804">
        <v>0.15</v>
      </c>
    </row>
    <row r="207" spans="1:6" ht="14.25" thickBot="1">
      <c r="A207" s="715" t="s">
        <v>484</v>
      </c>
      <c r="B207" s="709" t="s">
        <v>142</v>
      </c>
      <c r="C207" s="805">
        <v>0.15</v>
      </c>
      <c r="D207" s="805">
        <v>0.15</v>
      </c>
      <c r="E207" s="805">
        <v>0.15</v>
      </c>
      <c r="F207" s="806">
        <v>0.14399999999999999</v>
      </c>
    </row>
    <row r="208" spans="1:6" ht="14.25" thickBot="1">
      <c r="A208" s="715" t="s">
        <v>484</v>
      </c>
      <c r="B208" s="709" t="s">
        <v>155</v>
      </c>
      <c r="C208" s="805">
        <v>0.15</v>
      </c>
      <c r="D208" s="805">
        <v>0.15</v>
      </c>
      <c r="E208" s="805">
        <v>0.15</v>
      </c>
      <c r="F208" s="806">
        <v>0.15</v>
      </c>
    </row>
    <row r="209" spans="1:6" ht="14.25" thickBot="1">
      <c r="A209" s="715" t="s">
        <v>484</v>
      </c>
      <c r="B209" s="709" t="s">
        <v>168</v>
      </c>
      <c r="C209" s="805">
        <v>0.13700000000000001</v>
      </c>
      <c r="D209" s="805">
        <v>0.13700000000000001</v>
      </c>
      <c r="E209" s="805">
        <v>0.14000000000000001</v>
      </c>
      <c r="F209" s="806">
        <v>0.11700000000000001</v>
      </c>
    </row>
    <row r="210" spans="1:6" ht="14.25" thickBot="1">
      <c r="A210" s="715" t="s">
        <v>484</v>
      </c>
      <c r="B210" s="709" t="s">
        <v>671</v>
      </c>
      <c r="C210" s="805">
        <v>0.15</v>
      </c>
      <c r="D210" s="805">
        <v>0.15</v>
      </c>
      <c r="E210" s="805">
        <v>0.15</v>
      </c>
      <c r="F210" s="806">
        <v>0.13800000000000001</v>
      </c>
    </row>
    <row r="211" spans="1:6" ht="14.25" thickBot="1">
      <c r="A211" s="715" t="s">
        <v>484</v>
      </c>
      <c r="B211" s="709" t="s">
        <v>672</v>
      </c>
      <c r="C211" s="805">
        <v>0.13700000000000001</v>
      </c>
      <c r="D211" s="805">
        <v>0.13500000000000001</v>
      </c>
      <c r="E211" s="805">
        <v>0.13600000000000001</v>
      </c>
      <c r="F211" s="806">
        <v>0.1</v>
      </c>
    </row>
    <row r="212" spans="1:6" ht="14.25" thickBot="1">
      <c r="A212" s="715" t="s">
        <v>484</v>
      </c>
      <c r="B212" s="709" t="s">
        <v>673</v>
      </c>
      <c r="C212" s="805">
        <v>0.15</v>
      </c>
      <c r="D212" s="805">
        <v>0.15</v>
      </c>
      <c r="E212" s="805">
        <v>0.14799999999999999</v>
      </c>
      <c r="F212" s="806">
        <v>0.13600000000000001</v>
      </c>
    </row>
    <row r="213" spans="1:6" ht="14.25" thickBot="1">
      <c r="A213" s="715" t="s">
        <v>484</v>
      </c>
      <c r="B213" s="709" t="s">
        <v>216</v>
      </c>
      <c r="C213" s="805">
        <v>0.15</v>
      </c>
      <c r="D213" s="805">
        <v>0.15</v>
      </c>
      <c r="E213" s="805">
        <v>0.15</v>
      </c>
      <c r="F213" s="806">
        <v>0.13800000000000001</v>
      </c>
    </row>
    <row r="214" spans="1:6" ht="14.25" thickBot="1">
      <c r="A214" s="715" t="s">
        <v>484</v>
      </c>
      <c r="B214" s="709" t="s">
        <v>229</v>
      </c>
      <c r="C214" s="805">
        <v>9.0999999999999998E-2</v>
      </c>
      <c r="D214" s="805">
        <v>0.09</v>
      </c>
      <c r="E214" s="805">
        <v>9.1999999999999998E-2</v>
      </c>
      <c r="F214" s="810"/>
    </row>
    <row r="215" spans="1:6" ht="14.25" thickBot="1">
      <c r="A215" s="715" t="s">
        <v>484</v>
      </c>
      <c r="B215" s="709" t="s">
        <v>674</v>
      </c>
      <c r="C215" s="805">
        <v>0.15</v>
      </c>
      <c r="D215" s="805">
        <v>0.15</v>
      </c>
      <c r="E215" s="805">
        <v>0.15</v>
      </c>
      <c r="F215" s="806">
        <v>0.15</v>
      </c>
    </row>
    <row r="216" spans="1:6" ht="14.25" thickBot="1">
      <c r="A216" s="715" t="s">
        <v>484</v>
      </c>
      <c r="B216" s="709" t="s">
        <v>251</v>
      </c>
      <c r="C216" s="805">
        <v>0.14699999999999999</v>
      </c>
      <c r="D216" s="805">
        <v>0.14699999999999999</v>
      </c>
      <c r="E216" s="805">
        <v>0.15</v>
      </c>
      <c r="F216" s="806">
        <v>0.14000000000000001</v>
      </c>
    </row>
    <row r="217" spans="1:6" ht="14.25" thickBot="1">
      <c r="A217" s="715" t="s">
        <v>484</v>
      </c>
      <c r="B217" s="709" t="s">
        <v>262</v>
      </c>
      <c r="C217" s="805">
        <v>0.15</v>
      </c>
      <c r="D217" s="805">
        <v>0.15</v>
      </c>
      <c r="E217" s="805">
        <v>0.15</v>
      </c>
      <c r="F217" s="806">
        <v>0.15</v>
      </c>
    </row>
    <row r="218" spans="1:6" ht="14.25" thickBot="1">
      <c r="A218" s="715" t="s">
        <v>484</v>
      </c>
      <c r="B218" s="709" t="s">
        <v>675</v>
      </c>
      <c r="C218" s="805">
        <v>0.15</v>
      </c>
      <c r="D218" s="805">
        <v>0.15</v>
      </c>
      <c r="E218" s="805">
        <v>0.15</v>
      </c>
      <c r="F218" s="806">
        <v>0.15</v>
      </c>
    </row>
    <row r="219" spans="1:6" ht="14.25" thickBot="1">
      <c r="A219" s="715" t="s">
        <v>484</v>
      </c>
      <c r="B219" s="709" t="s">
        <v>284</v>
      </c>
      <c r="C219" s="805">
        <v>0.15</v>
      </c>
      <c r="D219" s="805">
        <v>0.15</v>
      </c>
      <c r="E219" s="805">
        <v>0.15</v>
      </c>
      <c r="F219" s="806">
        <v>0.14799999999999999</v>
      </c>
    </row>
    <row r="220" spans="1:6" ht="14.25" thickBot="1">
      <c r="A220" s="715" t="s">
        <v>484</v>
      </c>
      <c r="B220" s="709" t="s">
        <v>676</v>
      </c>
      <c r="C220" s="805">
        <v>0.15</v>
      </c>
      <c r="D220" s="805">
        <v>0.15</v>
      </c>
      <c r="E220" s="805">
        <v>0.15</v>
      </c>
      <c r="F220" s="806">
        <v>0.15</v>
      </c>
    </row>
    <row r="221" spans="1:6" ht="14.25" thickBot="1">
      <c r="A221" s="715" t="s">
        <v>484</v>
      </c>
      <c r="B221" s="709" t="s">
        <v>305</v>
      </c>
      <c r="C221" s="805"/>
      <c r="D221" s="811"/>
      <c r="E221" s="811"/>
      <c r="F221" s="806">
        <v>0.14799999999999999</v>
      </c>
    </row>
    <row r="222" spans="1:6" ht="14.25" thickBot="1">
      <c r="A222" s="715" t="s">
        <v>484</v>
      </c>
      <c r="B222" s="709" t="s">
        <v>315</v>
      </c>
      <c r="C222" s="805"/>
      <c r="D222" s="811"/>
      <c r="E222" s="811"/>
      <c r="F222" s="806">
        <v>0.1</v>
      </c>
    </row>
    <row r="223" spans="1:6" ht="14.25" thickBot="1">
      <c r="A223" s="715" t="s">
        <v>484</v>
      </c>
      <c r="B223" s="709" t="s">
        <v>325</v>
      </c>
      <c r="C223" s="805"/>
      <c r="D223" s="811"/>
      <c r="E223" s="811"/>
      <c r="F223" s="806">
        <v>0.15</v>
      </c>
    </row>
    <row r="224" spans="1:6" ht="14.25" thickBot="1">
      <c r="A224" s="715" t="s">
        <v>484</v>
      </c>
      <c r="B224" s="709" t="s">
        <v>335</v>
      </c>
      <c r="C224" s="805"/>
      <c r="D224" s="811"/>
      <c r="E224" s="811"/>
      <c r="F224" s="806">
        <v>0.15</v>
      </c>
    </row>
    <row r="225" spans="1:6" ht="14.25" thickBot="1">
      <c r="A225" s="715" t="s">
        <v>484</v>
      </c>
      <c r="B225" s="709" t="s">
        <v>677</v>
      </c>
      <c r="C225" s="805">
        <v>0.15</v>
      </c>
      <c r="D225" s="805">
        <v>0.15</v>
      </c>
      <c r="E225" s="805">
        <v>0.15</v>
      </c>
      <c r="F225" s="806">
        <v>0.15</v>
      </c>
    </row>
    <row r="226" spans="1:6" ht="14.25" thickBot="1">
      <c r="A226" s="715" t="s">
        <v>484</v>
      </c>
      <c r="B226" s="709" t="s">
        <v>353</v>
      </c>
      <c r="C226" s="805">
        <v>0.15</v>
      </c>
      <c r="D226" s="805">
        <v>0.15</v>
      </c>
      <c r="E226" s="805">
        <v>0.15</v>
      </c>
      <c r="F226" s="806">
        <v>0.14799999999999999</v>
      </c>
    </row>
    <row r="227" spans="1:6" ht="14.25" thickBot="1">
      <c r="A227" s="715" t="s">
        <v>484</v>
      </c>
      <c r="B227" s="709" t="s">
        <v>678</v>
      </c>
      <c r="C227" s="805">
        <v>0.15</v>
      </c>
      <c r="D227" s="805">
        <v>0.15</v>
      </c>
      <c r="E227" s="805">
        <v>0.15</v>
      </c>
      <c r="F227" s="806">
        <v>0.15</v>
      </c>
    </row>
    <row r="228" spans="1:6" ht="14.25" thickBot="1">
      <c r="A228" s="715" t="s">
        <v>484</v>
      </c>
      <c r="B228" s="709" t="s">
        <v>368</v>
      </c>
      <c r="C228" s="805">
        <v>0.15</v>
      </c>
      <c r="D228" s="805">
        <v>0.15</v>
      </c>
      <c r="E228" s="805">
        <v>0.15</v>
      </c>
      <c r="F228" s="806">
        <v>0.15</v>
      </c>
    </row>
    <row r="229" spans="1:6" ht="14.25" thickBot="1">
      <c r="A229" s="715" t="s">
        <v>484</v>
      </c>
      <c r="B229" s="709" t="s">
        <v>375</v>
      </c>
      <c r="C229" s="805">
        <v>0.15</v>
      </c>
      <c r="D229" s="805">
        <v>0.15</v>
      </c>
      <c r="E229" s="805">
        <v>0.15</v>
      </c>
      <c r="F229" s="810"/>
    </row>
    <row r="230" spans="1:6" ht="14.25" thickBot="1">
      <c r="A230" s="715" t="s">
        <v>484</v>
      </c>
      <c r="B230" s="709" t="s">
        <v>382</v>
      </c>
      <c r="C230" s="805">
        <v>0.14499999999999999</v>
      </c>
      <c r="D230" s="805">
        <v>0.14499999999999999</v>
      </c>
      <c r="E230" s="805">
        <v>0.14399999999999999</v>
      </c>
      <c r="F230" s="810"/>
    </row>
    <row r="231" spans="1:6" ht="14.25" thickBot="1">
      <c r="A231" s="715" t="s">
        <v>484</v>
      </c>
      <c r="B231" s="709" t="s">
        <v>679</v>
      </c>
      <c r="C231" s="805">
        <v>0.128</v>
      </c>
      <c r="D231" s="805">
        <v>0.125</v>
      </c>
      <c r="E231" s="805">
        <v>0.13200000000000001</v>
      </c>
      <c r="F231" s="810"/>
    </row>
    <row r="232" spans="1:6" ht="14.25" thickBot="1">
      <c r="A232" s="715" t="s">
        <v>484</v>
      </c>
      <c r="B232" s="709" t="s">
        <v>680</v>
      </c>
      <c r="C232" s="805">
        <v>0.14499999999999999</v>
      </c>
      <c r="D232" s="805">
        <v>0.14399999999999999</v>
      </c>
      <c r="E232" s="805">
        <v>0.14599999999999999</v>
      </c>
      <c r="F232" s="806">
        <v>0.13800000000000001</v>
      </c>
    </row>
    <row r="233" spans="1:6" ht="14.25" thickBot="1">
      <c r="A233" s="715" t="s">
        <v>484</v>
      </c>
      <c r="B233" s="709" t="s">
        <v>681</v>
      </c>
      <c r="C233" s="805">
        <v>0.14499999999999999</v>
      </c>
      <c r="D233" s="805">
        <v>0.14299999999999999</v>
      </c>
      <c r="E233" s="805">
        <v>0.14199999999999999</v>
      </c>
      <c r="F233" s="810"/>
    </row>
    <row r="234" spans="1:6" ht="14.25" thickBot="1">
      <c r="A234" s="715" t="s">
        <v>484</v>
      </c>
      <c r="B234" s="709" t="s">
        <v>682</v>
      </c>
      <c r="C234" s="805">
        <v>0.14000000000000001</v>
      </c>
      <c r="D234" s="805">
        <v>0.14000000000000001</v>
      </c>
      <c r="E234" s="805">
        <v>0.14399999999999999</v>
      </c>
      <c r="F234" s="810"/>
    </row>
    <row r="235" spans="1:6" ht="14.25" thickBot="1">
      <c r="A235" s="715" t="s">
        <v>484</v>
      </c>
      <c r="B235" s="709" t="s">
        <v>683</v>
      </c>
      <c r="C235" s="805">
        <v>0.14099999999999999</v>
      </c>
      <c r="D235" s="805">
        <v>0.14199999999999999</v>
      </c>
      <c r="E235" s="805">
        <v>0.14499999999999999</v>
      </c>
      <c r="F235" s="806">
        <v>0.15</v>
      </c>
    </row>
    <row r="236" spans="1:6" ht="14.25" thickBot="1">
      <c r="A236" s="715" t="s">
        <v>484</v>
      </c>
      <c r="B236" s="709" t="s">
        <v>417</v>
      </c>
      <c r="C236" s="811"/>
      <c r="D236" s="811"/>
      <c r="E236" s="811"/>
      <c r="F236" s="806">
        <v>0.14299999999999999</v>
      </c>
    </row>
    <row r="237" spans="1:6" ht="24.75" thickBot="1">
      <c r="A237" s="715" t="s">
        <v>484</v>
      </c>
      <c r="B237" s="709" t="s">
        <v>684</v>
      </c>
      <c r="C237" s="811"/>
      <c r="D237" s="811"/>
      <c r="E237" s="811"/>
      <c r="F237" s="806">
        <v>0.05</v>
      </c>
    </row>
    <row r="238" spans="1:6" ht="24.75" thickBot="1">
      <c r="A238" s="715" t="s">
        <v>484</v>
      </c>
      <c r="B238" s="709" t="s">
        <v>685</v>
      </c>
      <c r="C238" s="811"/>
      <c r="D238" s="811"/>
      <c r="E238" s="811"/>
      <c r="F238" s="806">
        <v>0.05</v>
      </c>
    </row>
    <row r="239" spans="1:6" ht="24.75" thickBot="1">
      <c r="A239" s="715" t="s">
        <v>484</v>
      </c>
      <c r="B239" s="709" t="s">
        <v>686</v>
      </c>
      <c r="C239" s="811"/>
      <c r="D239" s="811"/>
      <c r="E239" s="811"/>
      <c r="F239" s="806">
        <v>0.05</v>
      </c>
    </row>
    <row r="240" spans="1:6" ht="24.75" thickBot="1">
      <c r="A240" s="715" t="s">
        <v>484</v>
      </c>
      <c r="B240" s="709" t="s">
        <v>687</v>
      </c>
      <c r="C240" s="811"/>
      <c r="D240" s="811"/>
      <c r="E240" s="811"/>
      <c r="F240" s="806">
        <v>0.05</v>
      </c>
    </row>
    <row r="241" spans="1:6" ht="24.75" thickBot="1">
      <c r="A241" s="715" t="s">
        <v>484</v>
      </c>
      <c r="B241" s="709" t="s">
        <v>688</v>
      </c>
      <c r="C241" s="811"/>
      <c r="D241" s="811"/>
      <c r="E241" s="811"/>
      <c r="F241" s="806">
        <v>0.05</v>
      </c>
    </row>
    <row r="242" spans="1:6" ht="24.75" thickBot="1">
      <c r="A242" s="715" t="s">
        <v>484</v>
      </c>
      <c r="B242" s="709" t="s">
        <v>689</v>
      </c>
      <c r="C242" s="811"/>
      <c r="D242" s="811"/>
      <c r="E242" s="811"/>
      <c r="F242" s="806">
        <v>0.05</v>
      </c>
    </row>
    <row r="243" spans="1:6" ht="24.75" thickBot="1">
      <c r="A243" s="715" t="s">
        <v>484</v>
      </c>
      <c r="B243" s="709" t="s">
        <v>690</v>
      </c>
      <c r="C243" s="811"/>
      <c r="D243" s="811"/>
      <c r="E243" s="811"/>
      <c r="F243" s="806">
        <v>0.05</v>
      </c>
    </row>
    <row r="244" spans="1:6" ht="24.75" thickBot="1">
      <c r="A244" s="732" t="s">
        <v>484</v>
      </c>
      <c r="B244" s="725" t="s">
        <v>691</v>
      </c>
      <c r="C244" s="808"/>
      <c r="D244" s="808"/>
      <c r="E244" s="808"/>
      <c r="F244" s="812">
        <v>0.05</v>
      </c>
    </row>
    <row r="245" spans="1:6" ht="14.25" thickBot="1">
      <c r="A245" s="715" t="s">
        <v>486</v>
      </c>
      <c r="B245" s="716" t="s">
        <v>692</v>
      </c>
      <c r="C245" s="803">
        <v>0.15</v>
      </c>
      <c r="D245" s="803">
        <v>0.15</v>
      </c>
      <c r="E245" s="803">
        <v>0.15</v>
      </c>
      <c r="F245" s="804">
        <v>0.14299999999999999</v>
      </c>
    </row>
    <row r="246" spans="1:6" ht="14.25" thickBot="1">
      <c r="A246" s="715" t="s">
        <v>486</v>
      </c>
      <c r="B246" s="709" t="s">
        <v>143</v>
      </c>
      <c r="C246" s="805">
        <v>0.15</v>
      </c>
      <c r="D246" s="805">
        <v>0.15</v>
      </c>
      <c r="E246" s="805">
        <v>0.15</v>
      </c>
      <c r="F246" s="806">
        <v>0.114</v>
      </c>
    </row>
    <row r="247" spans="1:6" ht="14.25" thickBot="1">
      <c r="A247" s="715" t="s">
        <v>486</v>
      </c>
      <c r="B247" s="709" t="s">
        <v>693</v>
      </c>
      <c r="C247" s="805">
        <v>0.15</v>
      </c>
      <c r="D247" s="805">
        <v>0.15</v>
      </c>
      <c r="E247" s="805">
        <v>0.15</v>
      </c>
      <c r="F247" s="806">
        <v>0.15</v>
      </c>
    </row>
    <row r="248" spans="1:6" ht="14.25" thickBot="1">
      <c r="A248" s="715" t="s">
        <v>486</v>
      </c>
      <c r="B248" s="709" t="s">
        <v>694</v>
      </c>
      <c r="C248" s="805">
        <v>0.15</v>
      </c>
      <c r="D248" s="805">
        <v>0.15</v>
      </c>
      <c r="E248" s="805">
        <v>0.15</v>
      </c>
      <c r="F248" s="806">
        <v>0.14000000000000001</v>
      </c>
    </row>
    <row r="249" spans="1:6" ht="14.25" thickBot="1">
      <c r="A249" s="715" t="s">
        <v>486</v>
      </c>
      <c r="B249" s="709" t="s">
        <v>695</v>
      </c>
      <c r="C249" s="805">
        <v>0.15</v>
      </c>
      <c r="D249" s="805">
        <v>0.14899999999999999</v>
      </c>
      <c r="E249" s="805">
        <v>0.15</v>
      </c>
      <c r="F249" s="806">
        <v>0.1</v>
      </c>
    </row>
    <row r="250" spans="1:6" ht="14.25" thickBot="1">
      <c r="A250" s="715" t="s">
        <v>486</v>
      </c>
      <c r="B250" s="709" t="s">
        <v>696</v>
      </c>
      <c r="C250" s="805">
        <v>0.15</v>
      </c>
      <c r="D250" s="805">
        <v>0.15</v>
      </c>
      <c r="E250" s="805">
        <v>0.15</v>
      </c>
      <c r="F250" s="806">
        <v>0.14399999999999999</v>
      </c>
    </row>
    <row r="251" spans="1:6" ht="14.25" thickBot="1">
      <c r="A251" s="715" t="s">
        <v>486</v>
      </c>
      <c r="B251" s="709" t="s">
        <v>205</v>
      </c>
      <c r="C251" s="805">
        <v>0.15</v>
      </c>
      <c r="D251" s="805">
        <v>0.15</v>
      </c>
      <c r="E251" s="805">
        <v>0.15</v>
      </c>
      <c r="F251" s="806">
        <v>0.14299999999999999</v>
      </c>
    </row>
    <row r="252" spans="1:6" ht="14.25" thickBot="1">
      <c r="A252" s="715" t="s">
        <v>486</v>
      </c>
      <c r="B252" s="709" t="s">
        <v>217</v>
      </c>
      <c r="C252" s="805">
        <v>0.15</v>
      </c>
      <c r="D252" s="805">
        <v>0.15</v>
      </c>
      <c r="E252" s="805">
        <v>0.15</v>
      </c>
      <c r="F252" s="806">
        <v>0.1</v>
      </c>
    </row>
    <row r="253" spans="1:6" ht="14.25" thickBot="1">
      <c r="A253" s="715" t="s">
        <v>486</v>
      </c>
      <c r="B253" s="709" t="s">
        <v>230</v>
      </c>
      <c r="C253" s="805">
        <v>0.15</v>
      </c>
      <c r="D253" s="805">
        <v>0.15</v>
      </c>
      <c r="E253" s="805">
        <v>0.15</v>
      </c>
      <c r="F253" s="806">
        <v>0.1</v>
      </c>
    </row>
    <row r="254" spans="1:6" ht="14.25" thickBot="1">
      <c r="A254" s="715" t="s">
        <v>486</v>
      </c>
      <c r="B254" s="709" t="s">
        <v>241</v>
      </c>
      <c r="C254" s="811"/>
      <c r="D254" s="811"/>
      <c r="E254" s="811"/>
      <c r="F254" s="806">
        <v>0.15</v>
      </c>
    </row>
    <row r="255" spans="1:6" ht="14.25" thickBot="1">
      <c r="A255" s="715" t="s">
        <v>486</v>
      </c>
      <c r="B255" s="709" t="s">
        <v>252</v>
      </c>
      <c r="C255" s="811"/>
      <c r="D255" s="811"/>
      <c r="E255" s="811"/>
      <c r="F255" s="806">
        <v>0.14299999999999999</v>
      </c>
    </row>
    <row r="256" spans="1:6" ht="14.25" thickBot="1">
      <c r="A256" s="715" t="s">
        <v>486</v>
      </c>
      <c r="B256" s="709" t="s">
        <v>697</v>
      </c>
      <c r="C256" s="805">
        <v>0.14599999999999999</v>
      </c>
      <c r="D256" s="805">
        <v>0.14699999999999999</v>
      </c>
      <c r="E256" s="805">
        <v>0.15</v>
      </c>
      <c r="F256" s="806">
        <v>0.13200000000000001</v>
      </c>
    </row>
    <row r="257" spans="1:6" ht="14.25" thickBot="1">
      <c r="A257" s="715" t="s">
        <v>486</v>
      </c>
      <c r="B257" s="709" t="s">
        <v>274</v>
      </c>
      <c r="C257" s="805">
        <v>0.15</v>
      </c>
      <c r="D257" s="805">
        <v>0.15</v>
      </c>
      <c r="E257" s="805">
        <v>0.15</v>
      </c>
      <c r="F257" s="806">
        <v>0.13900000000000001</v>
      </c>
    </row>
    <row r="258" spans="1:6" ht="14.25" thickBot="1">
      <c r="A258" s="715" t="s">
        <v>486</v>
      </c>
      <c r="B258" s="709" t="s">
        <v>285</v>
      </c>
      <c r="C258" s="805">
        <v>0.15</v>
      </c>
      <c r="D258" s="805">
        <v>0.15</v>
      </c>
      <c r="E258" s="805">
        <v>0.15</v>
      </c>
      <c r="F258" s="806">
        <v>0.13</v>
      </c>
    </row>
    <row r="259" spans="1:6" ht="14.25" thickBot="1">
      <c r="A259" s="715" t="s">
        <v>486</v>
      </c>
      <c r="B259" s="709" t="s">
        <v>698</v>
      </c>
      <c r="C259" s="805">
        <v>0.14799999999999999</v>
      </c>
      <c r="D259" s="805">
        <v>0.14899999999999999</v>
      </c>
      <c r="E259" s="805">
        <v>0.15</v>
      </c>
      <c r="F259" s="806">
        <v>0.13700000000000001</v>
      </c>
    </row>
    <row r="260" spans="1:6" ht="14.25" thickBot="1">
      <c r="A260" s="715" t="s">
        <v>486</v>
      </c>
      <c r="B260" s="709" t="s">
        <v>306</v>
      </c>
      <c r="C260" s="805">
        <v>0.15</v>
      </c>
      <c r="D260" s="805">
        <v>0.15</v>
      </c>
      <c r="E260" s="805">
        <v>0.15</v>
      </c>
      <c r="F260" s="806">
        <v>0.14199999999999999</v>
      </c>
    </row>
    <row r="261" spans="1:6" ht="14.25" thickBot="1">
      <c r="A261" s="715" t="s">
        <v>486</v>
      </c>
      <c r="B261" s="709" t="s">
        <v>316</v>
      </c>
      <c r="C261" s="805">
        <v>0.15</v>
      </c>
      <c r="D261" s="805">
        <v>0.15</v>
      </c>
      <c r="E261" s="805">
        <v>0.14899999999999999</v>
      </c>
      <c r="F261" s="806">
        <v>0.14799999999999999</v>
      </c>
    </row>
    <row r="262" spans="1:6" ht="14.25" thickBot="1">
      <c r="A262" s="715" t="s">
        <v>486</v>
      </c>
      <c r="B262" s="709" t="s">
        <v>326</v>
      </c>
      <c r="C262" s="805">
        <v>0.15</v>
      </c>
      <c r="D262" s="805">
        <v>0.15</v>
      </c>
      <c r="E262" s="805">
        <v>0.15</v>
      </c>
      <c r="F262" s="810"/>
    </row>
    <row r="263" spans="1:6" ht="14.25" thickBot="1">
      <c r="A263" s="715" t="s">
        <v>486</v>
      </c>
      <c r="B263" s="709" t="s">
        <v>699</v>
      </c>
      <c r="C263" s="805">
        <v>0.14899999999999999</v>
      </c>
      <c r="D263" s="805">
        <v>0.14899999999999999</v>
      </c>
      <c r="E263" s="805">
        <v>0.15</v>
      </c>
      <c r="F263" s="806">
        <v>0.13</v>
      </c>
    </row>
    <row r="264" spans="1:6" ht="14.25" thickBot="1">
      <c r="A264" s="715" t="s">
        <v>486</v>
      </c>
      <c r="B264" s="709" t="s">
        <v>345</v>
      </c>
      <c r="C264" s="805">
        <v>0.14799999999999999</v>
      </c>
      <c r="D264" s="805">
        <v>0.14699999999999999</v>
      </c>
      <c r="E264" s="805">
        <v>0.15</v>
      </c>
      <c r="F264" s="806">
        <v>7.8E-2</v>
      </c>
    </row>
    <row r="265" spans="1:6" ht="14.25" thickBot="1">
      <c r="A265" s="715" t="s">
        <v>486</v>
      </c>
      <c r="B265" s="709" t="s">
        <v>354</v>
      </c>
      <c r="C265" s="805">
        <v>0.15</v>
      </c>
      <c r="D265" s="805">
        <v>0.15</v>
      </c>
      <c r="E265" s="805">
        <v>0.15</v>
      </c>
      <c r="F265" s="806">
        <v>7.3999999999999996E-2</v>
      </c>
    </row>
    <row r="266" spans="1:6" ht="14.25" thickBot="1">
      <c r="A266" s="715" t="s">
        <v>486</v>
      </c>
      <c r="B266" s="709" t="s">
        <v>362</v>
      </c>
      <c r="C266" s="805">
        <v>0.14699999999999999</v>
      </c>
      <c r="D266" s="805">
        <v>0.14699999999999999</v>
      </c>
      <c r="E266" s="805">
        <v>0.15</v>
      </c>
      <c r="F266" s="806">
        <v>0.14299999999999999</v>
      </c>
    </row>
    <row r="267" spans="1:6" ht="14.25" thickBot="1">
      <c r="A267" s="715" t="s">
        <v>486</v>
      </c>
      <c r="B267" s="709" t="s">
        <v>369</v>
      </c>
      <c r="C267" s="805">
        <v>0.14199999999999999</v>
      </c>
      <c r="D267" s="805">
        <v>0.14299999999999999</v>
      </c>
      <c r="E267" s="805">
        <v>0.15</v>
      </c>
      <c r="F267" s="810"/>
    </row>
    <row r="268" spans="1:6" ht="14.25" thickBot="1">
      <c r="A268" s="715" t="s">
        <v>486</v>
      </c>
      <c r="B268" s="709" t="s">
        <v>700</v>
      </c>
      <c r="C268" s="805">
        <v>0.15</v>
      </c>
      <c r="D268" s="805">
        <v>0.15</v>
      </c>
      <c r="E268" s="805">
        <v>0.15</v>
      </c>
      <c r="F268" s="806">
        <v>0.13</v>
      </c>
    </row>
    <row r="269" spans="1:6" ht="14.25" thickBot="1">
      <c r="A269" s="715" t="s">
        <v>486</v>
      </c>
      <c r="B269" s="709" t="s">
        <v>383</v>
      </c>
      <c r="C269" s="805">
        <v>0.15</v>
      </c>
      <c r="D269" s="805">
        <v>0.15</v>
      </c>
      <c r="E269" s="805">
        <v>0.15</v>
      </c>
      <c r="F269" s="806">
        <v>0.14299999999999999</v>
      </c>
    </row>
    <row r="270" spans="1:6" ht="14.25" thickBot="1">
      <c r="A270" s="715" t="s">
        <v>486</v>
      </c>
      <c r="B270" s="709" t="s">
        <v>390</v>
      </c>
      <c r="C270" s="805">
        <v>0.14499999999999999</v>
      </c>
      <c r="D270" s="805">
        <v>0.14499999999999999</v>
      </c>
      <c r="E270" s="805">
        <v>0.15</v>
      </c>
      <c r="F270" s="806">
        <v>0.14699999999999999</v>
      </c>
    </row>
    <row r="271" spans="1:6" ht="14.25" thickBot="1">
      <c r="A271" s="715" t="s">
        <v>486</v>
      </c>
      <c r="B271" s="709" t="s">
        <v>397</v>
      </c>
      <c r="C271" s="805">
        <v>0.15</v>
      </c>
      <c r="D271" s="805">
        <v>0.15</v>
      </c>
      <c r="E271" s="805">
        <v>0.15</v>
      </c>
      <c r="F271" s="806">
        <v>0.13800000000000001</v>
      </c>
    </row>
    <row r="272" spans="1:6" ht="14.25" thickBot="1">
      <c r="A272" s="715" t="s">
        <v>486</v>
      </c>
      <c r="B272" s="709" t="s">
        <v>404</v>
      </c>
      <c r="C272" s="811"/>
      <c r="D272" s="811"/>
      <c r="E272" s="811"/>
      <c r="F272" s="806">
        <v>0.14000000000000001</v>
      </c>
    </row>
    <row r="273" spans="1:6" ht="14.25" thickBot="1">
      <c r="A273" s="715" t="s">
        <v>486</v>
      </c>
      <c r="B273" s="709" t="s">
        <v>701</v>
      </c>
      <c r="C273" s="805">
        <v>0.14199999999999999</v>
      </c>
      <c r="D273" s="805">
        <v>0.14299999999999999</v>
      </c>
      <c r="E273" s="805">
        <v>0.15</v>
      </c>
      <c r="F273" s="806">
        <v>0.1</v>
      </c>
    </row>
    <row r="274" spans="1:6" ht="14.25" thickBot="1">
      <c r="A274" s="715" t="s">
        <v>486</v>
      </c>
      <c r="B274" s="709" t="s">
        <v>702</v>
      </c>
      <c r="C274" s="805">
        <v>0.14799999999999999</v>
      </c>
      <c r="D274" s="805">
        <v>0.14799999999999999</v>
      </c>
      <c r="E274" s="805">
        <v>0.15</v>
      </c>
      <c r="F274" s="806">
        <v>6.7000000000000004E-2</v>
      </c>
    </row>
    <row r="275" spans="1:6" ht="14.25" thickBot="1">
      <c r="A275" s="715" t="s">
        <v>486</v>
      </c>
      <c r="B275" s="709" t="s">
        <v>703</v>
      </c>
      <c r="C275" s="805">
        <v>0.15</v>
      </c>
      <c r="D275" s="805">
        <v>0.15</v>
      </c>
      <c r="E275" s="805">
        <v>0.15</v>
      </c>
      <c r="F275" s="806">
        <v>0.15</v>
      </c>
    </row>
    <row r="276" spans="1:6" ht="14.25" thickBot="1">
      <c r="A276" s="715" t="s">
        <v>486</v>
      </c>
      <c r="B276" s="709" t="s">
        <v>704</v>
      </c>
      <c r="C276" s="805">
        <v>0.14499999999999999</v>
      </c>
      <c r="D276" s="805">
        <v>0.14299999999999999</v>
      </c>
      <c r="E276" s="805">
        <v>0.15</v>
      </c>
      <c r="F276" s="806">
        <v>5.8999999999999997E-2</v>
      </c>
    </row>
    <row r="277" spans="1:6" ht="14.25" thickBot="1">
      <c r="A277" s="715" t="s">
        <v>486</v>
      </c>
      <c r="B277" s="709" t="s">
        <v>705</v>
      </c>
      <c r="C277" s="805">
        <v>0.15</v>
      </c>
      <c r="D277" s="805">
        <v>0.15</v>
      </c>
      <c r="E277" s="805">
        <v>0.15</v>
      </c>
      <c r="F277" s="806">
        <v>0.121</v>
      </c>
    </row>
    <row r="278" spans="1:6" ht="14.25" thickBot="1">
      <c r="A278" s="715" t="s">
        <v>486</v>
      </c>
      <c r="B278" s="709" t="s">
        <v>706</v>
      </c>
      <c r="C278" s="805">
        <v>0.15</v>
      </c>
      <c r="D278" s="805">
        <v>0.15</v>
      </c>
      <c r="E278" s="805">
        <v>0.15</v>
      </c>
      <c r="F278" s="806">
        <v>0.13800000000000001</v>
      </c>
    </row>
    <row r="279" spans="1:6" ht="24.75" thickBot="1">
      <c r="A279" s="715" t="s">
        <v>486</v>
      </c>
      <c r="B279" s="709" t="s">
        <v>707</v>
      </c>
      <c r="C279" s="811"/>
      <c r="D279" s="811"/>
      <c r="E279" s="811"/>
      <c r="F279" s="806">
        <v>0.05</v>
      </c>
    </row>
    <row r="280" spans="1:6" ht="24.75" thickBot="1">
      <c r="A280" s="715" t="s">
        <v>486</v>
      </c>
      <c r="B280" s="709" t="s">
        <v>708</v>
      </c>
      <c r="C280" s="811"/>
      <c r="D280" s="811"/>
      <c r="E280" s="811"/>
      <c r="F280" s="806">
        <v>0.05</v>
      </c>
    </row>
    <row r="281" spans="1:6" ht="24.75" thickBot="1">
      <c r="A281" s="715" t="s">
        <v>486</v>
      </c>
      <c r="B281" s="709" t="s">
        <v>709</v>
      </c>
      <c r="C281" s="811"/>
      <c r="D281" s="811"/>
      <c r="E281" s="811"/>
      <c r="F281" s="806">
        <v>0.05</v>
      </c>
    </row>
    <row r="282" spans="1:6" ht="24.75" thickBot="1">
      <c r="A282" s="715" t="s">
        <v>486</v>
      </c>
      <c r="B282" s="709" t="s">
        <v>710</v>
      </c>
      <c r="C282" s="811"/>
      <c r="D282" s="811"/>
      <c r="E282" s="811"/>
      <c r="F282" s="806">
        <v>0.05</v>
      </c>
    </row>
    <row r="283" spans="1:6" ht="24.75" thickBot="1">
      <c r="A283" s="715" t="s">
        <v>486</v>
      </c>
      <c r="B283" s="709" t="s">
        <v>711</v>
      </c>
      <c r="C283" s="811"/>
      <c r="D283" s="811"/>
      <c r="E283" s="811"/>
      <c r="F283" s="806">
        <v>0.05</v>
      </c>
    </row>
    <row r="284" spans="1:6" ht="24.75" thickBot="1">
      <c r="A284" s="715" t="s">
        <v>486</v>
      </c>
      <c r="B284" s="709" t="s">
        <v>712</v>
      </c>
      <c r="C284" s="811"/>
      <c r="D284" s="811"/>
      <c r="E284" s="811"/>
      <c r="F284" s="806">
        <v>0.05</v>
      </c>
    </row>
    <row r="285" spans="1:6" ht="24.75" thickBot="1">
      <c r="A285" s="715" t="s">
        <v>486</v>
      </c>
      <c r="B285" s="709" t="s">
        <v>713</v>
      </c>
      <c r="C285" s="811"/>
      <c r="D285" s="811"/>
      <c r="E285" s="811"/>
      <c r="F285" s="806">
        <v>0.05</v>
      </c>
    </row>
    <row r="286" spans="1:6" ht="24.75" thickBot="1">
      <c r="A286" s="715" t="s">
        <v>486</v>
      </c>
      <c r="B286" s="709" t="s">
        <v>714</v>
      </c>
      <c r="C286" s="811"/>
      <c r="D286" s="811"/>
      <c r="E286" s="811"/>
      <c r="F286" s="806">
        <v>0.05</v>
      </c>
    </row>
    <row r="287" spans="1:6" ht="24.75" thickBot="1">
      <c r="A287" s="715" t="s">
        <v>486</v>
      </c>
      <c r="B287" s="709" t="s">
        <v>715</v>
      </c>
      <c r="C287" s="811"/>
      <c r="D287" s="811"/>
      <c r="E287" s="811"/>
      <c r="F287" s="806">
        <v>0.05</v>
      </c>
    </row>
    <row r="288" spans="1:6" ht="24.75" thickBot="1">
      <c r="A288" s="715" t="s">
        <v>486</v>
      </c>
      <c r="B288" s="709" t="s">
        <v>716</v>
      </c>
      <c r="C288" s="811"/>
      <c r="D288" s="811"/>
      <c r="E288" s="811"/>
      <c r="F288" s="806">
        <v>0.05</v>
      </c>
    </row>
    <row r="289" spans="1:6" ht="24.75" thickBot="1">
      <c r="A289" s="732" t="s">
        <v>486</v>
      </c>
      <c r="B289" s="725" t="s">
        <v>717</v>
      </c>
      <c r="C289" s="808"/>
      <c r="D289" s="808"/>
      <c r="E289" s="808"/>
      <c r="F289" s="812">
        <v>0.05</v>
      </c>
    </row>
    <row r="290" spans="1:6" ht="14.25" thickBot="1">
      <c r="A290" s="715" t="s">
        <v>490</v>
      </c>
      <c r="B290" s="716" t="s">
        <v>718</v>
      </c>
      <c r="C290" s="803">
        <v>0.15</v>
      </c>
      <c r="D290" s="803">
        <v>0.15</v>
      </c>
      <c r="E290" s="803">
        <v>0.15</v>
      </c>
      <c r="F290" s="820"/>
    </row>
    <row r="291" spans="1:6" ht="14.25" thickBot="1">
      <c r="A291" s="715" t="s">
        <v>490</v>
      </c>
      <c r="B291" s="709" t="s">
        <v>144</v>
      </c>
      <c r="C291" s="805">
        <v>0.15</v>
      </c>
      <c r="D291" s="805">
        <v>0.15</v>
      </c>
      <c r="E291" s="805">
        <v>0.15</v>
      </c>
      <c r="F291" s="810"/>
    </row>
    <row r="292" spans="1:6" ht="14.25" thickBot="1">
      <c r="A292" s="715" t="s">
        <v>490</v>
      </c>
      <c r="B292" s="709" t="s">
        <v>719</v>
      </c>
      <c r="C292" s="805">
        <v>0.15</v>
      </c>
      <c r="D292" s="805">
        <v>0.15</v>
      </c>
      <c r="E292" s="805">
        <v>0.15</v>
      </c>
      <c r="F292" s="806">
        <v>0.14699999999999999</v>
      </c>
    </row>
    <row r="293" spans="1:6" ht="14.25" thickBot="1">
      <c r="A293" s="715" t="s">
        <v>490</v>
      </c>
      <c r="B293" s="709" t="s">
        <v>720</v>
      </c>
      <c r="C293" s="811"/>
      <c r="D293" s="811"/>
      <c r="E293" s="811"/>
      <c r="F293" s="806">
        <v>0.1</v>
      </c>
    </row>
    <row r="294" spans="1:6" ht="14.25" thickBot="1">
      <c r="A294" s="715" t="s">
        <v>490</v>
      </c>
      <c r="B294" s="709" t="s">
        <v>721</v>
      </c>
      <c r="C294" s="805">
        <v>0.15</v>
      </c>
      <c r="D294" s="805">
        <v>0.15</v>
      </c>
      <c r="E294" s="805">
        <v>0.15</v>
      </c>
      <c r="F294" s="806">
        <v>0.15</v>
      </c>
    </row>
    <row r="295" spans="1:6" ht="14.25" thickBot="1">
      <c r="A295" s="715" t="s">
        <v>490</v>
      </c>
      <c r="B295" s="709" t="s">
        <v>182</v>
      </c>
      <c r="C295" s="805">
        <v>0.15</v>
      </c>
      <c r="D295" s="805">
        <v>0.15</v>
      </c>
      <c r="E295" s="805">
        <v>0.15</v>
      </c>
      <c r="F295" s="806">
        <v>0.15</v>
      </c>
    </row>
    <row r="296" spans="1:6" ht="14.25" thickBot="1">
      <c r="A296" s="715" t="s">
        <v>490</v>
      </c>
      <c r="B296" s="709" t="s">
        <v>722</v>
      </c>
      <c r="C296" s="805">
        <v>0.15</v>
      </c>
      <c r="D296" s="805">
        <v>0.15</v>
      </c>
      <c r="E296" s="805">
        <v>0.15</v>
      </c>
      <c r="F296" s="806">
        <v>0.15</v>
      </c>
    </row>
    <row r="297" spans="1:6" ht="14.25" thickBot="1">
      <c r="A297" s="715" t="s">
        <v>490</v>
      </c>
      <c r="B297" s="709" t="s">
        <v>723</v>
      </c>
      <c r="C297" s="805">
        <v>0.14799999999999999</v>
      </c>
      <c r="D297" s="805">
        <v>0.14899999999999999</v>
      </c>
      <c r="E297" s="805">
        <v>0.15</v>
      </c>
      <c r="F297" s="806">
        <v>0.13700000000000001</v>
      </c>
    </row>
    <row r="298" spans="1:6" ht="14.25" thickBot="1">
      <c r="A298" s="715" t="s">
        <v>490</v>
      </c>
      <c r="B298" s="709" t="s">
        <v>218</v>
      </c>
      <c r="C298" s="805">
        <v>0.13400000000000001</v>
      </c>
      <c r="D298" s="805">
        <v>0.13400000000000001</v>
      </c>
      <c r="E298" s="805">
        <v>0.14499999999999999</v>
      </c>
      <c r="F298" s="806">
        <v>0.14799999999999999</v>
      </c>
    </row>
    <row r="299" spans="1:6" ht="14.25" thickBot="1">
      <c r="A299" s="715" t="s">
        <v>490</v>
      </c>
      <c r="B299" s="709" t="s">
        <v>231</v>
      </c>
      <c r="C299" s="805">
        <v>0.15</v>
      </c>
      <c r="D299" s="805">
        <v>0.15</v>
      </c>
      <c r="E299" s="805">
        <v>0.15</v>
      </c>
      <c r="F299" s="810"/>
    </row>
    <row r="300" spans="1:6" ht="14.25" thickBot="1">
      <c r="A300" s="715" t="s">
        <v>490</v>
      </c>
      <c r="B300" s="709" t="s">
        <v>724</v>
      </c>
      <c r="C300" s="805">
        <v>0.15</v>
      </c>
      <c r="D300" s="805">
        <v>0.15</v>
      </c>
      <c r="E300" s="805">
        <v>0.15</v>
      </c>
      <c r="F300" s="806">
        <v>0.15</v>
      </c>
    </row>
    <row r="301" spans="1:6" ht="14.25" thickBot="1">
      <c r="A301" s="715" t="s">
        <v>490</v>
      </c>
      <c r="B301" s="709" t="s">
        <v>253</v>
      </c>
      <c r="C301" s="805">
        <v>0.15</v>
      </c>
      <c r="D301" s="805">
        <v>0.15</v>
      </c>
      <c r="E301" s="805">
        <v>0.15</v>
      </c>
      <c r="F301" s="810"/>
    </row>
    <row r="302" spans="1:6" ht="14.25" thickBot="1">
      <c r="A302" s="715" t="s">
        <v>490</v>
      </c>
      <c r="B302" s="709" t="s">
        <v>725</v>
      </c>
      <c r="C302" s="805">
        <v>0.15</v>
      </c>
      <c r="D302" s="805">
        <v>0.15</v>
      </c>
      <c r="E302" s="805">
        <v>0.15</v>
      </c>
      <c r="F302" s="806">
        <v>0.15</v>
      </c>
    </row>
    <row r="303" spans="1:6" ht="14.25" thickBot="1">
      <c r="A303" s="715" t="s">
        <v>490</v>
      </c>
      <c r="B303" s="709" t="s">
        <v>275</v>
      </c>
      <c r="C303" s="805">
        <v>0.15</v>
      </c>
      <c r="D303" s="805">
        <v>0.15</v>
      </c>
      <c r="E303" s="805">
        <v>0.15</v>
      </c>
      <c r="F303" s="806">
        <v>0.15</v>
      </c>
    </row>
    <row r="304" spans="1:6" ht="14.25" thickBot="1">
      <c r="A304" s="715" t="s">
        <v>490</v>
      </c>
      <c r="B304" s="709" t="s">
        <v>286</v>
      </c>
      <c r="C304" s="805">
        <v>0.15</v>
      </c>
      <c r="D304" s="805">
        <v>0.15</v>
      </c>
      <c r="E304" s="805">
        <v>0.15</v>
      </c>
      <c r="F304" s="810"/>
    </row>
    <row r="305" spans="1:6" ht="14.25" thickBot="1">
      <c r="A305" s="715" t="s">
        <v>490</v>
      </c>
      <c r="B305" s="709" t="s">
        <v>726</v>
      </c>
      <c r="C305" s="805">
        <v>0.15</v>
      </c>
      <c r="D305" s="805">
        <v>0.15</v>
      </c>
      <c r="E305" s="805">
        <v>0.15</v>
      </c>
      <c r="F305" s="806">
        <v>0.14000000000000001</v>
      </c>
    </row>
    <row r="306" spans="1:6" ht="14.25" thickBot="1">
      <c r="A306" s="715" t="s">
        <v>490</v>
      </c>
      <c r="B306" s="709" t="s">
        <v>307</v>
      </c>
      <c r="C306" s="805">
        <v>0.15</v>
      </c>
      <c r="D306" s="805">
        <v>0.15</v>
      </c>
      <c r="E306" s="805">
        <v>0.15</v>
      </c>
      <c r="F306" s="810"/>
    </row>
    <row r="307" spans="1:6" ht="14.25" thickBot="1">
      <c r="A307" s="715" t="s">
        <v>490</v>
      </c>
      <c r="B307" s="709" t="s">
        <v>727</v>
      </c>
      <c r="C307" s="805">
        <v>0.15</v>
      </c>
      <c r="D307" s="805">
        <v>0.15</v>
      </c>
      <c r="E307" s="805">
        <v>0.15</v>
      </c>
      <c r="F307" s="806">
        <v>0.14299999999999999</v>
      </c>
    </row>
    <row r="308" spans="1:6" ht="14.25" thickBot="1">
      <c r="A308" s="715" t="s">
        <v>490</v>
      </c>
      <c r="B308" s="709" t="s">
        <v>327</v>
      </c>
      <c r="C308" s="805">
        <v>0.15</v>
      </c>
      <c r="D308" s="805">
        <v>0.15</v>
      </c>
      <c r="E308" s="805">
        <v>0.15</v>
      </c>
      <c r="F308" s="806">
        <v>0.15</v>
      </c>
    </row>
    <row r="309" spans="1:6" ht="14.25" thickBot="1">
      <c r="A309" s="715" t="s">
        <v>490</v>
      </c>
      <c r="B309" s="709" t="s">
        <v>337</v>
      </c>
      <c r="C309" s="805">
        <v>0.15</v>
      </c>
      <c r="D309" s="805">
        <v>0.15</v>
      </c>
      <c r="E309" s="805">
        <v>0.15</v>
      </c>
      <c r="F309" s="810"/>
    </row>
    <row r="310" spans="1:6" ht="14.25" thickBot="1">
      <c r="A310" s="715" t="s">
        <v>490</v>
      </c>
      <c r="B310" s="709" t="s">
        <v>728</v>
      </c>
      <c r="C310" s="805">
        <v>0.15</v>
      </c>
      <c r="D310" s="805">
        <v>0.15</v>
      </c>
      <c r="E310" s="805">
        <v>0.15</v>
      </c>
      <c r="F310" s="806">
        <v>0.13700000000000001</v>
      </c>
    </row>
    <row r="311" spans="1:6" ht="14.25" thickBot="1">
      <c r="A311" s="715" t="s">
        <v>490</v>
      </c>
      <c r="B311" s="709" t="s">
        <v>729</v>
      </c>
      <c r="C311" s="805">
        <v>0.15</v>
      </c>
      <c r="D311" s="805">
        <v>0.15</v>
      </c>
      <c r="E311" s="805">
        <v>0.15</v>
      </c>
      <c r="F311" s="806">
        <v>0.15</v>
      </c>
    </row>
    <row r="312" spans="1:6" ht="14.25" thickBot="1">
      <c r="A312" s="715" t="s">
        <v>490</v>
      </c>
      <c r="B312" s="709" t="s">
        <v>363</v>
      </c>
      <c r="C312" s="805">
        <v>0.15</v>
      </c>
      <c r="D312" s="805">
        <v>0.15</v>
      </c>
      <c r="E312" s="805">
        <v>0.15</v>
      </c>
      <c r="F312" s="806">
        <v>0.1</v>
      </c>
    </row>
    <row r="313" spans="1:6" ht="14.25" thickBot="1">
      <c r="A313" s="715" t="s">
        <v>490</v>
      </c>
      <c r="B313" s="709" t="s">
        <v>730</v>
      </c>
      <c r="C313" s="805">
        <v>0.15</v>
      </c>
      <c r="D313" s="805">
        <v>0.15</v>
      </c>
      <c r="E313" s="805">
        <v>0.15</v>
      </c>
      <c r="F313" s="806">
        <v>0.15</v>
      </c>
    </row>
    <row r="314" spans="1:6" ht="24.75" thickBot="1">
      <c r="A314" s="715" t="s">
        <v>490</v>
      </c>
      <c r="B314" s="709" t="s">
        <v>731</v>
      </c>
      <c r="C314" s="811"/>
      <c r="D314" s="811"/>
      <c r="E314" s="811"/>
      <c r="F314" s="806">
        <v>0.05</v>
      </c>
    </row>
    <row r="315" spans="1:6" ht="24.75" thickBot="1">
      <c r="A315" s="715" t="s">
        <v>490</v>
      </c>
      <c r="B315" s="709" t="s">
        <v>732</v>
      </c>
      <c r="C315" s="811"/>
      <c r="D315" s="811"/>
      <c r="E315" s="811"/>
      <c r="F315" s="806">
        <v>0.05</v>
      </c>
    </row>
    <row r="316" spans="1:6" ht="24.75" thickBot="1">
      <c r="A316" s="732" t="s">
        <v>490</v>
      </c>
      <c r="B316" s="725" t="s">
        <v>733</v>
      </c>
      <c r="C316" s="808"/>
      <c r="D316" s="808"/>
      <c r="E316" s="808"/>
      <c r="F316" s="812">
        <v>0.05</v>
      </c>
    </row>
    <row r="317" spans="1:6" ht="14.25" thickBot="1">
      <c r="A317" s="715" t="s">
        <v>734</v>
      </c>
      <c r="B317" s="716" t="s">
        <v>735</v>
      </c>
      <c r="C317" s="803">
        <v>0.15</v>
      </c>
      <c r="D317" s="803">
        <v>0.15</v>
      </c>
      <c r="E317" s="803">
        <v>0.15</v>
      </c>
      <c r="F317" s="804">
        <v>0.15</v>
      </c>
    </row>
    <row r="318" spans="1:6" ht="14.25" thickBot="1">
      <c r="A318" s="715" t="s">
        <v>734</v>
      </c>
      <c r="B318" s="709" t="s">
        <v>736</v>
      </c>
      <c r="C318" s="805">
        <v>0.107</v>
      </c>
      <c r="D318" s="805">
        <v>0.11</v>
      </c>
      <c r="E318" s="805">
        <v>0.112</v>
      </c>
      <c r="F318" s="810"/>
    </row>
    <row r="319" spans="1:6" ht="14.25" thickBot="1">
      <c r="A319" s="715" t="s">
        <v>734</v>
      </c>
      <c r="B319" s="709" t="s">
        <v>737</v>
      </c>
      <c r="C319" s="805">
        <v>0.15</v>
      </c>
      <c r="D319" s="805">
        <v>0.15</v>
      </c>
      <c r="E319" s="805">
        <v>0.15</v>
      </c>
      <c r="F319" s="806">
        <v>0.15</v>
      </c>
    </row>
    <row r="320" spans="1:6" ht="14.25" thickBot="1">
      <c r="A320" s="715" t="s">
        <v>734</v>
      </c>
      <c r="B320" s="709" t="s">
        <v>171</v>
      </c>
      <c r="C320" s="805">
        <v>0.15</v>
      </c>
      <c r="D320" s="805">
        <v>0.15</v>
      </c>
      <c r="E320" s="805">
        <v>0.15</v>
      </c>
      <c r="F320" s="810"/>
    </row>
    <row r="321" spans="1:6" ht="14.25" thickBot="1">
      <c r="A321" s="715" t="s">
        <v>734</v>
      </c>
      <c r="B321" s="709" t="s">
        <v>738</v>
      </c>
      <c r="C321" s="805">
        <v>0.15</v>
      </c>
      <c r="D321" s="805">
        <v>0.15</v>
      </c>
      <c r="E321" s="805">
        <v>0.15</v>
      </c>
      <c r="F321" s="810"/>
    </row>
    <row r="322" spans="1:6" ht="14.25" thickBot="1">
      <c r="A322" s="715" t="s">
        <v>734</v>
      </c>
      <c r="B322" s="709" t="s">
        <v>739</v>
      </c>
      <c r="C322" s="805">
        <v>0.15</v>
      </c>
      <c r="D322" s="805">
        <v>0.15</v>
      </c>
      <c r="E322" s="805">
        <v>0.15</v>
      </c>
      <c r="F322" s="806">
        <v>0.15</v>
      </c>
    </row>
    <row r="323" spans="1:6" ht="14.25" thickBot="1">
      <c r="A323" s="715" t="s">
        <v>734</v>
      </c>
      <c r="B323" s="709" t="s">
        <v>740</v>
      </c>
      <c r="C323" s="805">
        <v>0.15</v>
      </c>
      <c r="D323" s="805">
        <v>0.15</v>
      </c>
      <c r="E323" s="805">
        <v>0.15</v>
      </c>
      <c r="F323" s="810"/>
    </row>
    <row r="324" spans="1:6" ht="14.25" thickBot="1">
      <c r="A324" s="715" t="s">
        <v>734</v>
      </c>
      <c r="B324" s="709" t="s">
        <v>741</v>
      </c>
      <c r="C324" s="805">
        <v>0.15</v>
      </c>
      <c r="D324" s="805">
        <v>0.15</v>
      </c>
      <c r="E324" s="805">
        <v>0.15</v>
      </c>
      <c r="F324" s="810"/>
    </row>
    <row r="325" spans="1:6" ht="14.25" thickBot="1">
      <c r="A325" s="715" t="s">
        <v>734</v>
      </c>
      <c r="B325" s="709" t="s">
        <v>742</v>
      </c>
      <c r="C325" s="805">
        <v>0.15</v>
      </c>
      <c r="D325" s="805">
        <v>0.15</v>
      </c>
      <c r="E325" s="805">
        <v>0.15</v>
      </c>
      <c r="F325" s="806">
        <v>0.14699999999999999</v>
      </c>
    </row>
    <row r="326" spans="1:6" ht="14.25" thickBot="1">
      <c r="A326" s="715" t="s">
        <v>734</v>
      </c>
      <c r="B326" s="709" t="s">
        <v>243</v>
      </c>
      <c r="C326" s="805">
        <v>0.15</v>
      </c>
      <c r="D326" s="805">
        <v>0.15</v>
      </c>
      <c r="E326" s="805">
        <v>0.15</v>
      </c>
      <c r="F326" s="810"/>
    </row>
    <row r="327" spans="1:6" ht="14.25" thickBot="1">
      <c r="A327" s="715" t="s">
        <v>734</v>
      </c>
      <c r="B327" s="709" t="s">
        <v>743</v>
      </c>
      <c r="C327" s="805">
        <v>0.15</v>
      </c>
      <c r="D327" s="805">
        <v>0.15</v>
      </c>
      <c r="E327" s="805">
        <v>0.15</v>
      </c>
      <c r="F327" s="806">
        <v>0.15</v>
      </c>
    </row>
    <row r="328" spans="1:6" ht="14.25" thickBot="1">
      <c r="A328" s="715" t="s">
        <v>734</v>
      </c>
      <c r="B328" s="709" t="s">
        <v>265</v>
      </c>
      <c r="C328" s="805">
        <v>0.15</v>
      </c>
      <c r="D328" s="805">
        <v>0.15</v>
      </c>
      <c r="E328" s="805">
        <v>0.15</v>
      </c>
      <c r="F328" s="806">
        <v>0.14099999999999999</v>
      </c>
    </row>
    <row r="329" spans="1:6" ht="14.25" thickBot="1">
      <c r="A329" s="715" t="s">
        <v>734</v>
      </c>
      <c r="B329" s="709" t="s">
        <v>276</v>
      </c>
      <c r="C329" s="805">
        <v>0.15</v>
      </c>
      <c r="D329" s="805">
        <v>0.15</v>
      </c>
      <c r="E329" s="805">
        <v>0.15</v>
      </c>
      <c r="F329" s="806">
        <v>0.15</v>
      </c>
    </row>
    <row r="330" spans="1:6" ht="14.25" thickBot="1">
      <c r="A330" s="715" t="s">
        <v>734</v>
      </c>
      <c r="B330" s="709" t="s">
        <v>287</v>
      </c>
      <c r="C330" s="805">
        <v>0.15</v>
      </c>
      <c r="D330" s="805">
        <v>0.15</v>
      </c>
      <c r="E330" s="805">
        <v>0.15</v>
      </c>
      <c r="F330" s="810"/>
    </row>
    <row r="331" spans="1:6" ht="14.25" thickBot="1">
      <c r="A331" s="715" t="s">
        <v>734</v>
      </c>
      <c r="B331" s="709" t="s">
        <v>744</v>
      </c>
      <c r="C331" s="805">
        <v>0.15</v>
      </c>
      <c r="D331" s="805">
        <v>0.15</v>
      </c>
      <c r="E331" s="805">
        <v>0.15</v>
      </c>
      <c r="F331" s="806">
        <v>0.15</v>
      </c>
    </row>
    <row r="332" spans="1:6" ht="14.25" thickBot="1">
      <c r="A332" s="715" t="s">
        <v>734</v>
      </c>
      <c r="B332" s="709" t="s">
        <v>308</v>
      </c>
      <c r="C332" s="805">
        <v>0.15</v>
      </c>
      <c r="D332" s="805">
        <v>0.15</v>
      </c>
      <c r="E332" s="805">
        <v>0.15</v>
      </c>
      <c r="F332" s="806">
        <v>0.15</v>
      </c>
    </row>
    <row r="333" spans="1:6" ht="14.25" thickBot="1">
      <c r="A333" s="715" t="s">
        <v>734</v>
      </c>
      <c r="B333" s="709" t="s">
        <v>745</v>
      </c>
      <c r="C333" s="805">
        <v>0.15</v>
      </c>
      <c r="D333" s="805">
        <v>0.15</v>
      </c>
      <c r="E333" s="805">
        <v>0.15</v>
      </c>
      <c r="F333" s="806">
        <v>0.14099999999999999</v>
      </c>
    </row>
    <row r="334" spans="1:6" ht="14.25" thickBot="1">
      <c r="A334" s="715" t="s">
        <v>734</v>
      </c>
      <c r="B334" s="709" t="s">
        <v>328</v>
      </c>
      <c r="C334" s="805">
        <v>0.15</v>
      </c>
      <c r="D334" s="805">
        <v>0.15</v>
      </c>
      <c r="E334" s="805">
        <v>0.15</v>
      </c>
      <c r="F334" s="806">
        <v>0.15</v>
      </c>
    </row>
    <row r="335" spans="1:6" ht="14.25" thickBot="1">
      <c r="A335" s="715" t="s">
        <v>734</v>
      </c>
      <c r="B335" s="709" t="s">
        <v>338</v>
      </c>
      <c r="C335" s="805">
        <v>0.15</v>
      </c>
      <c r="D335" s="805">
        <v>0.15</v>
      </c>
      <c r="E335" s="805">
        <v>0.15</v>
      </c>
      <c r="F335" s="810"/>
    </row>
    <row r="336" spans="1:6" ht="14.25" thickBot="1">
      <c r="A336" s="715" t="s">
        <v>734</v>
      </c>
      <c r="B336" s="709" t="s">
        <v>746</v>
      </c>
      <c r="C336" s="805">
        <v>0.15</v>
      </c>
      <c r="D336" s="805">
        <v>0.15</v>
      </c>
      <c r="E336" s="805">
        <v>0.15</v>
      </c>
      <c r="F336" s="806">
        <v>0.11799999999999999</v>
      </c>
    </row>
    <row r="337" spans="1:6" ht="14.25" thickBot="1">
      <c r="A337" s="732" t="s">
        <v>734</v>
      </c>
      <c r="B337" s="725" t="s">
        <v>356</v>
      </c>
      <c r="C337" s="808"/>
      <c r="D337" s="808"/>
      <c r="E337" s="808"/>
      <c r="F337" s="812">
        <v>0.14299999999999999</v>
      </c>
    </row>
    <row r="338" spans="1:6" ht="14.25" thickBot="1">
      <c r="A338" s="715" t="s">
        <v>747</v>
      </c>
      <c r="B338" s="716" t="s">
        <v>748</v>
      </c>
      <c r="C338" s="803">
        <v>0.15</v>
      </c>
      <c r="D338" s="803">
        <v>0.15</v>
      </c>
      <c r="E338" s="803">
        <v>0.15</v>
      </c>
      <c r="F338" s="820"/>
    </row>
    <row r="339" spans="1:6" ht="14.25" thickBot="1">
      <c r="A339" s="715" t="s">
        <v>747</v>
      </c>
      <c r="B339" s="709" t="s">
        <v>749</v>
      </c>
      <c r="C339" s="805">
        <v>0.15</v>
      </c>
      <c r="D339" s="805">
        <v>0.15</v>
      </c>
      <c r="E339" s="805">
        <v>0.15</v>
      </c>
      <c r="F339" s="810"/>
    </row>
    <row r="340" spans="1:6" ht="14.25" thickBot="1">
      <c r="A340" s="715" t="s">
        <v>747</v>
      </c>
      <c r="B340" s="709" t="s">
        <v>750</v>
      </c>
      <c r="C340" s="805">
        <v>0.15</v>
      </c>
      <c r="D340" s="805">
        <v>0.15</v>
      </c>
      <c r="E340" s="805">
        <v>0.15</v>
      </c>
      <c r="F340" s="810"/>
    </row>
    <row r="341" spans="1:6" ht="14.25" thickBot="1">
      <c r="A341" s="715" t="s">
        <v>747</v>
      </c>
      <c r="B341" s="709" t="s">
        <v>751</v>
      </c>
      <c r="C341" s="805">
        <v>0.15</v>
      </c>
      <c r="D341" s="805">
        <v>0.15</v>
      </c>
      <c r="E341" s="805">
        <v>0.15</v>
      </c>
      <c r="F341" s="806">
        <v>0.15</v>
      </c>
    </row>
    <row r="342" spans="1:6" ht="14.25" thickBot="1">
      <c r="A342" s="715" t="s">
        <v>747</v>
      </c>
      <c r="B342" s="709" t="s">
        <v>752</v>
      </c>
      <c r="C342" s="805">
        <v>0.15</v>
      </c>
      <c r="D342" s="805">
        <v>0.15</v>
      </c>
      <c r="E342" s="805">
        <v>0.15</v>
      </c>
      <c r="F342" s="806">
        <v>0.15</v>
      </c>
    </row>
    <row r="343" spans="1:6" ht="14.25" thickBot="1">
      <c r="A343" s="715" t="s">
        <v>747</v>
      </c>
      <c r="B343" s="709" t="s">
        <v>753</v>
      </c>
      <c r="C343" s="805">
        <v>0.15</v>
      </c>
      <c r="D343" s="805">
        <v>0.15</v>
      </c>
      <c r="E343" s="805">
        <v>0.15</v>
      </c>
      <c r="F343" s="806">
        <v>0.15</v>
      </c>
    </row>
    <row r="344" spans="1:6" ht="14.25" thickBot="1">
      <c r="A344" s="732" t="s">
        <v>747</v>
      </c>
      <c r="B344" s="725" t="s">
        <v>754</v>
      </c>
      <c r="C344" s="807">
        <v>0.15</v>
      </c>
      <c r="D344" s="807">
        <v>0.15</v>
      </c>
      <c r="E344" s="807">
        <v>0.15</v>
      </c>
      <c r="F344" s="81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3" customWidth="1"/>
    <col min="2" max="2" width="40.625" style="936" customWidth="1"/>
    <col min="3" max="3" width="9" style="937"/>
    <col min="4" max="5" width="9" style="938"/>
    <col min="6" max="6" width="9" style="939"/>
    <col min="7" max="7" width="1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13.5">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24">
      <c r="A4" s="680" t="s">
        <v>533</v>
      </c>
      <c r="B4" s="686" t="str">
        <f>估价对象房地状况!C4</f>
        <v>估价对象位于XX商圈，周边商业氛围成熟，人流量大，商业繁华度好</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24">
      <c r="A5" s="680" t="s">
        <v>535</v>
      </c>
      <c r="B5" s="691" t="str">
        <f>估价对象房地状况!C6</f>
        <v>估价对象周边道路状况、公共交通通达情况、停车便捷程度，综合评价交通便捷度较好</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25">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25">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14.25">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25">
      <c r="A10" s="693" t="s">
        <v>540</v>
      </c>
      <c r="B10" s="879" t="str">
        <f>估价对象房地状况!C7</f>
        <v>估价对象所在区域公共配套设施齐备情况</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25">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15" thickBot="1">
      <c r="A12" s="694" t="s">
        <v>542</v>
      </c>
      <c r="B12" s="695" t="str">
        <f>估价对象房地状况!C9</f>
        <v>区域自然环境：；人文环境；综合评价环境状况一般</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24">
      <c r="A15" s="680" t="s">
        <v>543</v>
      </c>
      <c r="B15" s="686" t="str">
        <f>估价对象房地状况!C5</f>
        <v>估价对象位于XX商圈，周边办公楼项目较多，入驻率高，办公集聚程度较好</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24">
      <c r="A16" s="680" t="s">
        <v>535</v>
      </c>
      <c r="B16" s="681" t="str">
        <f>估价对象房地状况!C6</f>
        <v>估价对象周边道路状况、公共交通通达情况、停车便捷程度，综合评价交通便捷度较好</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25">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25">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14.25">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25">
      <c r="A21" s="680" t="s">
        <v>540</v>
      </c>
      <c r="B21" s="879" t="str">
        <f>估价对象房地状况!C7</f>
        <v>估价对象所在区域公共配套设施齐备情况</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25">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15" thickBot="1">
      <c r="A23" s="694" t="s">
        <v>542</v>
      </c>
      <c r="B23" s="698" t="str">
        <f>估价对象房地状况!C9</f>
        <v>区域自然环境：；人文环境；综合评价环境状况一般</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13.5">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24">
      <c r="A26" s="680" t="s">
        <v>544</v>
      </c>
      <c r="B26" s="686" t="str">
        <f>估价对象房地状况!C3</f>
        <v>估价对象周边居住用地比例、居住小区规模和社区发展完善程度，综合评价居住社区成熟度一般</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24">
      <c r="A27" s="680" t="s">
        <v>535</v>
      </c>
      <c r="B27" s="681" t="str">
        <f>估价对象房地状况!C6</f>
        <v>估价对象周边道路状况、公共交通通达情况、停车便捷程度，综合评价交通便捷度较好</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25">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25">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25">
      <c r="A30" s="680" t="s">
        <v>540</v>
      </c>
      <c r="B30" s="879" t="str">
        <f>估价对象房地状况!C7</f>
        <v>估价对象所在区域公共配套设施齐备情况</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25">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14.25">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14.25">
      <c r="A33" s="680" t="s">
        <v>542</v>
      </c>
      <c r="B33" s="686" t="str">
        <f>估价对象房地状况!C9</f>
        <v>区域自然环境：；人文环境；综合评价环境状况一般</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15"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5">
      <c r="A35" s="675" t="s">
        <v>134</v>
      </c>
      <c r="B35" s="676">
        <f>1+F37</f>
        <v>1.0127999999999999</v>
      </c>
      <c r="C35" s="931"/>
      <c r="D35" s="678"/>
      <c r="E35" s="678"/>
      <c r="F35" s="679"/>
      <c r="G35" s="929"/>
      <c r="H35" s="925"/>
      <c r="I35" s="674"/>
      <c r="J35" s="674"/>
      <c r="K35" s="674"/>
      <c r="L35" s="674"/>
      <c r="M35" s="674"/>
    </row>
    <row r="36" spans="1:13" ht="13.5">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24">
      <c r="A37" s="680" t="s">
        <v>547</v>
      </c>
      <c r="B37" s="681" t="str">
        <f>估价对象房地状况!G3</f>
        <v>估价对象位于XX开发区，园区建设成熟度XX，产业集聚程度XX</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24">
      <c r="A38" s="680" t="s">
        <v>535</v>
      </c>
      <c r="B38" s="681" t="str">
        <f>估价对象房地状况!G4</f>
        <v>估价对象周边道路状况、公共交通通达情况、停车便捷程度，综合评价交通便捷度较好</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25">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25">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25">
      <c r="A41" s="680" t="s">
        <v>540</v>
      </c>
      <c r="B41" s="879" t="str">
        <f>估价对象房地状况!G19</f>
        <v>估价对象所在区域公共配套设施齐备情况</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25">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14.25">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24.75" thickBot="1">
      <c r="A44" s="694" t="s">
        <v>548</v>
      </c>
      <c r="B44" s="701" t="str">
        <f>估价对象房地状况!G18</f>
        <v>该园区内是否有污染型企业，绿化情况，卫生条件，整体环境状况判断</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9" customWidth="1"/>
    <col min="2" max="5" width="10.25" style="674" customWidth="1"/>
    <col min="6" max="6" width="9" style="674"/>
    <col min="7" max="7" width="9" style="703"/>
    <col min="8" max="8" width="9" style="674"/>
    <col min="9" max="9" width="9" style="703"/>
    <col min="10" max="16384" width="9" style="674"/>
  </cols>
  <sheetData>
    <row r="1" spans="1:20">
      <c r="A1" s="3713" t="s">
        <v>105</v>
      </c>
      <c r="B1" s="3713"/>
      <c r="C1" s="3713"/>
      <c r="D1" s="3713"/>
      <c r="E1" s="3713"/>
      <c r="F1" s="3713"/>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4.25" thickBot="1">
      <c r="A2" s="3714" t="s">
        <v>118</v>
      </c>
      <c r="B2" s="3714"/>
      <c r="C2" s="3714"/>
      <c r="D2" s="3714"/>
      <c r="E2" s="3714"/>
      <c r="F2" s="3714"/>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15"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16"/>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304"/>
  </cols>
  <sheetData>
    <row r="1" spans="1:13" ht="19.5" customHeight="1" thickBot="1">
      <c r="A1" s="3310" t="s">
        <v>502</v>
      </c>
      <c r="B1" s="3311" t="s">
        <v>106</v>
      </c>
      <c r="C1" s="3311" t="s">
        <v>107</v>
      </c>
      <c r="D1" s="3311" t="s">
        <v>108</v>
      </c>
      <c r="E1" s="3311" t="s">
        <v>109</v>
      </c>
      <c r="F1" s="3311" t="s">
        <v>110</v>
      </c>
      <c r="G1" s="3311" t="s">
        <v>111</v>
      </c>
      <c r="H1" s="3311" t="s">
        <v>112</v>
      </c>
      <c r="I1" s="3311" t="s">
        <v>113</v>
      </c>
      <c r="J1" s="3311" t="s">
        <v>114</v>
      </c>
      <c r="K1" s="3311" t="s">
        <v>115</v>
      </c>
      <c r="L1" s="3311" t="s">
        <v>116</v>
      </c>
      <c r="M1" s="3312" t="s">
        <v>117</v>
      </c>
    </row>
    <row r="2" spans="1:13" ht="19.5" customHeight="1">
      <c r="A2" s="3264" t="s">
        <v>2803</v>
      </c>
      <c r="B2" s="3265">
        <v>3.5</v>
      </c>
      <c r="C2" s="3265">
        <v>3.5</v>
      </c>
      <c r="D2" s="3266">
        <v>2.5</v>
      </c>
      <c r="E2" s="3266">
        <v>2.5</v>
      </c>
      <c r="F2" s="3266">
        <v>2.5</v>
      </c>
      <c r="G2" s="3266">
        <v>2.5</v>
      </c>
      <c r="H2" s="3266">
        <v>2.5</v>
      </c>
      <c r="I2" s="3265">
        <v>2</v>
      </c>
      <c r="J2" s="3265">
        <v>2</v>
      </c>
      <c r="K2" s="3265">
        <v>2</v>
      </c>
      <c r="L2" s="3265">
        <v>2</v>
      </c>
      <c r="M2" s="3267">
        <v>2</v>
      </c>
    </row>
    <row r="3" spans="1:13" ht="19.5" customHeight="1">
      <c r="A3" s="3268" t="s">
        <v>2804</v>
      </c>
      <c r="B3" s="3269">
        <v>3.5</v>
      </c>
      <c r="C3" s="3269">
        <v>3.5</v>
      </c>
      <c r="D3" s="3270">
        <v>2.5</v>
      </c>
      <c r="E3" s="3270">
        <v>2.5</v>
      </c>
      <c r="F3" s="3270">
        <v>2.5</v>
      </c>
      <c r="G3" s="3270">
        <v>2.5</v>
      </c>
      <c r="H3" s="3270">
        <v>2.5</v>
      </c>
      <c r="I3" s="3269">
        <v>2</v>
      </c>
      <c r="J3" s="3269">
        <v>2</v>
      </c>
      <c r="K3" s="3269">
        <v>2</v>
      </c>
      <c r="L3" s="3269">
        <v>2</v>
      </c>
      <c r="M3" s="3271">
        <v>2</v>
      </c>
    </row>
    <row r="4" spans="1:13" ht="19.5" customHeight="1">
      <c r="A4" s="3268" t="s">
        <v>2805</v>
      </c>
      <c r="B4" s="3270">
        <v>2.5</v>
      </c>
      <c r="C4" s="3270">
        <v>2.5</v>
      </c>
      <c r="D4" s="3270">
        <v>2.5</v>
      </c>
      <c r="E4" s="3270">
        <v>2.5</v>
      </c>
      <c r="F4" s="3270">
        <v>2.5</v>
      </c>
      <c r="G4" s="3270">
        <v>2.5</v>
      </c>
      <c r="H4" s="3270">
        <v>2.5</v>
      </c>
      <c r="I4" s="3269">
        <v>1.5</v>
      </c>
      <c r="J4" s="3269">
        <v>1.5</v>
      </c>
      <c r="K4" s="3269">
        <v>1.5</v>
      </c>
      <c r="L4" s="3269">
        <v>1.5</v>
      </c>
      <c r="M4" s="3271">
        <v>1.5</v>
      </c>
    </row>
    <row r="5" spans="1:13" ht="19.5" customHeight="1">
      <c r="A5" s="3272" t="s">
        <v>2806</v>
      </c>
      <c r="B5" s="3269">
        <v>1.5</v>
      </c>
      <c r="C5" s="3269">
        <v>1.5</v>
      </c>
      <c r="D5" s="3269">
        <v>1.5</v>
      </c>
      <c r="E5" s="3269">
        <v>1.5</v>
      </c>
      <c r="F5" s="3269">
        <v>1.5</v>
      </c>
      <c r="G5" s="3269">
        <v>1.2</v>
      </c>
      <c r="H5" s="3269">
        <v>1.2</v>
      </c>
      <c r="I5" s="3269">
        <v>1</v>
      </c>
      <c r="J5" s="3269">
        <v>1</v>
      </c>
      <c r="K5" s="3269">
        <v>1</v>
      </c>
      <c r="L5" s="3269">
        <v>1</v>
      </c>
      <c r="M5" s="3271">
        <v>1</v>
      </c>
    </row>
    <row r="6" spans="1:13" ht="19.5" customHeight="1">
      <c r="A6" s="3273" t="s">
        <v>2807</v>
      </c>
      <c r="B6" s="3274">
        <v>2.5</v>
      </c>
      <c r="C6" s="3274">
        <v>2.5</v>
      </c>
      <c r="D6" s="3274">
        <v>2</v>
      </c>
      <c r="E6" s="3274">
        <v>2</v>
      </c>
      <c r="F6" s="3274">
        <v>2</v>
      </c>
      <c r="G6" s="3274">
        <v>2</v>
      </c>
      <c r="H6" s="3274">
        <v>2</v>
      </c>
      <c r="I6" s="3275">
        <v>1.5</v>
      </c>
      <c r="J6" s="3275">
        <v>1.5</v>
      </c>
      <c r="K6" s="3275">
        <v>1.5</v>
      </c>
      <c r="L6" s="3275">
        <v>1.5</v>
      </c>
      <c r="M6" s="3276">
        <v>1.5</v>
      </c>
    </row>
    <row r="7" spans="1:13" ht="19.5" customHeight="1" thickBot="1">
      <c r="A7" s="3277" t="s">
        <v>2808</v>
      </c>
      <c r="B7" s="3278">
        <v>2.5</v>
      </c>
      <c r="C7" s="3278">
        <v>2.5</v>
      </c>
      <c r="D7" s="3278">
        <v>2</v>
      </c>
      <c r="E7" s="3278">
        <v>2</v>
      </c>
      <c r="F7" s="3278">
        <v>2</v>
      </c>
      <c r="G7" s="3278">
        <v>2</v>
      </c>
      <c r="H7" s="3278">
        <v>2</v>
      </c>
      <c r="I7" s="3279">
        <v>1.5</v>
      </c>
      <c r="J7" s="3279">
        <v>1.5</v>
      </c>
      <c r="K7" s="3279">
        <v>1.5</v>
      </c>
      <c r="L7" s="3279">
        <v>1.5</v>
      </c>
      <c r="M7" s="3280">
        <v>1.5</v>
      </c>
    </row>
    <row r="8" spans="1:13" ht="19.5" customHeight="1">
      <c r="A8" s="3303" t="s">
        <v>503</v>
      </c>
      <c r="B8" s="3281">
        <v>80</v>
      </c>
      <c r="C8" s="3281">
        <v>80</v>
      </c>
      <c r="D8" s="3281">
        <v>70</v>
      </c>
      <c r="E8" s="3281">
        <v>70</v>
      </c>
      <c r="F8" s="3281">
        <v>70</v>
      </c>
      <c r="G8" s="3281">
        <v>70</v>
      </c>
      <c r="H8" s="3281">
        <v>70</v>
      </c>
      <c r="I8" s="3281">
        <v>60</v>
      </c>
      <c r="J8" s="3281">
        <v>60</v>
      </c>
      <c r="K8" s="3281">
        <v>60</v>
      </c>
      <c r="L8" s="3281">
        <v>60</v>
      </c>
      <c r="M8" s="3282">
        <v>60</v>
      </c>
    </row>
    <row r="9" spans="1:13" ht="19.5" customHeight="1">
      <c r="A9" s="3305" t="s">
        <v>504</v>
      </c>
      <c r="B9" s="3283">
        <v>70</v>
      </c>
      <c r="C9" s="3283">
        <v>70</v>
      </c>
      <c r="D9" s="3283">
        <v>60</v>
      </c>
      <c r="E9" s="3283">
        <v>60</v>
      </c>
      <c r="F9" s="3283">
        <v>60</v>
      </c>
      <c r="G9" s="3283">
        <v>60</v>
      </c>
      <c r="H9" s="3283">
        <v>60</v>
      </c>
      <c r="I9" s="3283">
        <v>50</v>
      </c>
      <c r="J9" s="3283">
        <v>50</v>
      </c>
      <c r="K9" s="3283">
        <v>50</v>
      </c>
      <c r="L9" s="3283">
        <v>50</v>
      </c>
      <c r="M9" s="3284">
        <v>50</v>
      </c>
    </row>
    <row r="10" spans="1:13" ht="19.5" customHeight="1">
      <c r="A10" s="3305" t="s">
        <v>505</v>
      </c>
      <c r="B10" s="3283">
        <v>20</v>
      </c>
      <c r="C10" s="3283">
        <v>20</v>
      </c>
      <c r="D10" s="3283">
        <v>15</v>
      </c>
      <c r="E10" s="3283">
        <v>15</v>
      </c>
      <c r="F10" s="3283">
        <v>15</v>
      </c>
      <c r="G10" s="3283">
        <v>15</v>
      </c>
      <c r="H10" s="3283">
        <v>15</v>
      </c>
      <c r="I10" s="3283">
        <v>10</v>
      </c>
      <c r="J10" s="3283">
        <v>10</v>
      </c>
      <c r="K10" s="3283">
        <v>10</v>
      </c>
      <c r="L10" s="3283">
        <v>10</v>
      </c>
      <c r="M10" s="3284">
        <v>10</v>
      </c>
    </row>
    <row r="11" spans="1:13" ht="19.5" customHeight="1">
      <c r="A11" s="3305" t="s">
        <v>506</v>
      </c>
      <c r="B11" s="3283">
        <v>30</v>
      </c>
      <c r="C11" s="3283">
        <v>30</v>
      </c>
      <c r="D11" s="3283">
        <v>25</v>
      </c>
      <c r="E11" s="3283">
        <v>25</v>
      </c>
      <c r="F11" s="3283">
        <v>25</v>
      </c>
      <c r="G11" s="3283">
        <v>25</v>
      </c>
      <c r="H11" s="3283">
        <v>25</v>
      </c>
      <c r="I11" s="3283">
        <v>20</v>
      </c>
      <c r="J11" s="3283">
        <v>20</v>
      </c>
      <c r="K11" s="3283">
        <v>20</v>
      </c>
      <c r="L11" s="3283">
        <v>20</v>
      </c>
      <c r="M11" s="3284">
        <v>20</v>
      </c>
    </row>
    <row r="12" spans="1:13" ht="19.5" customHeight="1">
      <c r="A12" s="3305" t="s">
        <v>507</v>
      </c>
      <c r="B12" s="3283">
        <v>45</v>
      </c>
      <c r="C12" s="3283">
        <v>45</v>
      </c>
      <c r="D12" s="3283">
        <v>40</v>
      </c>
      <c r="E12" s="3283">
        <v>40</v>
      </c>
      <c r="F12" s="3283">
        <v>40</v>
      </c>
      <c r="G12" s="3283">
        <v>40</v>
      </c>
      <c r="H12" s="3283">
        <v>40</v>
      </c>
      <c r="I12" s="3283">
        <v>35</v>
      </c>
      <c r="J12" s="3283">
        <v>35</v>
      </c>
      <c r="K12" s="3283">
        <v>35</v>
      </c>
      <c r="L12" s="3283">
        <v>35</v>
      </c>
      <c r="M12" s="3284">
        <v>35</v>
      </c>
    </row>
    <row r="13" spans="1:13" ht="19.5" customHeight="1">
      <c r="A13" s="3305" t="s">
        <v>508</v>
      </c>
      <c r="B13" s="3283">
        <v>60</v>
      </c>
      <c r="C13" s="3283">
        <v>60</v>
      </c>
      <c r="D13" s="3283">
        <v>50</v>
      </c>
      <c r="E13" s="3283">
        <v>50</v>
      </c>
      <c r="F13" s="3283">
        <v>50</v>
      </c>
      <c r="G13" s="3283">
        <v>50</v>
      </c>
      <c r="H13" s="3283">
        <v>50</v>
      </c>
      <c r="I13" s="3283">
        <v>40</v>
      </c>
      <c r="J13" s="3283">
        <v>40</v>
      </c>
      <c r="K13" s="3283">
        <v>40</v>
      </c>
      <c r="L13" s="3283">
        <v>40</v>
      </c>
      <c r="M13" s="3284">
        <v>40</v>
      </c>
    </row>
    <row r="14" spans="1:13" ht="19.5" customHeight="1">
      <c r="A14" s="3305" t="s">
        <v>509</v>
      </c>
      <c r="B14" s="3283">
        <v>50</v>
      </c>
      <c r="C14" s="3283">
        <v>50</v>
      </c>
      <c r="D14" s="3283">
        <v>40</v>
      </c>
      <c r="E14" s="3283">
        <v>40</v>
      </c>
      <c r="F14" s="3283">
        <v>40</v>
      </c>
      <c r="G14" s="3283">
        <v>40</v>
      </c>
      <c r="H14" s="3283">
        <v>40</v>
      </c>
      <c r="I14" s="3283">
        <v>30</v>
      </c>
      <c r="J14" s="3283">
        <v>30</v>
      </c>
      <c r="K14" s="3283">
        <v>30</v>
      </c>
      <c r="L14" s="3283">
        <v>30</v>
      </c>
      <c r="M14" s="3284">
        <v>30</v>
      </c>
    </row>
    <row r="15" spans="1:13" ht="19.5" customHeight="1">
      <c r="A15" s="3306" t="s">
        <v>510</v>
      </c>
      <c r="B15" s="3285">
        <v>20</v>
      </c>
      <c r="C15" s="3285">
        <v>20</v>
      </c>
      <c r="D15" s="3285">
        <v>15</v>
      </c>
      <c r="E15" s="3285">
        <v>15</v>
      </c>
      <c r="F15" s="3285">
        <v>15</v>
      </c>
      <c r="G15" s="3285">
        <v>15</v>
      </c>
      <c r="H15" s="3285">
        <v>15</v>
      </c>
      <c r="I15" s="3285">
        <v>10</v>
      </c>
      <c r="J15" s="3285">
        <v>10</v>
      </c>
      <c r="K15" s="3285">
        <v>10</v>
      </c>
      <c r="L15" s="3285">
        <v>10</v>
      </c>
      <c r="M15" s="3286">
        <v>10</v>
      </c>
    </row>
    <row r="16" spans="1:13" ht="19.5" customHeight="1">
      <c r="A16" s="3283" t="s">
        <v>511</v>
      </c>
      <c r="B16" s="3307">
        <v>0</v>
      </c>
      <c r="C16" s="3307">
        <v>0</v>
      </c>
      <c r="D16" s="3307">
        <v>0</v>
      </c>
      <c r="E16" s="3307">
        <v>0</v>
      </c>
      <c r="F16" s="3307">
        <v>0</v>
      </c>
      <c r="G16" s="3307">
        <v>0</v>
      </c>
      <c r="H16" s="3307">
        <v>0</v>
      </c>
      <c r="I16" s="3307">
        <v>0</v>
      </c>
      <c r="J16" s="3307">
        <v>0</v>
      </c>
      <c r="K16" s="3307">
        <v>0</v>
      </c>
      <c r="L16" s="3307">
        <v>0</v>
      </c>
      <c r="M16" s="3307">
        <v>0</v>
      </c>
    </row>
    <row r="17" spans="1:13" ht="19.5" customHeight="1">
      <c r="A17" s="3283" t="s">
        <v>2478</v>
      </c>
      <c r="B17" s="3307">
        <f>SUM(B8:B15)</f>
        <v>375</v>
      </c>
      <c r="C17" s="3307">
        <f t="shared" ref="C17:H17" si="0">SUM(C8:C15)</f>
        <v>375</v>
      </c>
      <c r="D17" s="3307">
        <f t="shared" si="0"/>
        <v>315</v>
      </c>
      <c r="E17" s="3307">
        <f t="shared" si="0"/>
        <v>315</v>
      </c>
      <c r="F17" s="3307">
        <f t="shared" si="0"/>
        <v>315</v>
      </c>
      <c r="G17" s="3307">
        <f t="shared" si="0"/>
        <v>315</v>
      </c>
      <c r="H17" s="3307">
        <f t="shared" si="0"/>
        <v>315</v>
      </c>
      <c r="I17" s="3307">
        <f>SUM(I8:I12,I15)</f>
        <v>185</v>
      </c>
      <c r="J17" s="3307">
        <f t="shared" ref="J17:M17" si="1">SUM(J8:J12,J15)</f>
        <v>185</v>
      </c>
      <c r="K17" s="3307">
        <f t="shared" si="1"/>
        <v>185</v>
      </c>
      <c r="L17" s="3307">
        <f t="shared" si="1"/>
        <v>185</v>
      </c>
      <c r="M17" s="3307">
        <f t="shared" si="1"/>
        <v>185</v>
      </c>
    </row>
    <row r="18" spans="1:13" ht="19.5" customHeight="1">
      <c r="A18" s="3313" t="s">
        <v>512</v>
      </c>
      <c r="B18" s="3313"/>
      <c r="C18" s="3314"/>
      <c r="D18" s="3314"/>
      <c r="E18" s="3313"/>
      <c r="F18" s="3314"/>
      <c r="G18" s="3314"/>
    </row>
    <row r="19" spans="1:13" ht="19.5" customHeight="1" thickBot="1">
      <c r="A19" s="3285" t="s">
        <v>2809</v>
      </c>
      <c r="B19" s="3288" t="s">
        <v>2810</v>
      </c>
      <c r="C19" s="3315" t="s">
        <v>561</v>
      </c>
      <c r="D19" s="3287"/>
      <c r="E19" s="3283" t="s">
        <v>3027</v>
      </c>
      <c r="F19" s="3316"/>
      <c r="G19" s="3316"/>
    </row>
    <row r="20" spans="1:13" ht="19.5" customHeight="1">
      <c r="A20" s="3721" t="s">
        <v>2803</v>
      </c>
      <c r="B20" s="3724" t="s">
        <v>2811</v>
      </c>
      <c r="C20" s="3289" t="s">
        <v>2812</v>
      </c>
      <c r="D20" s="3290"/>
      <c r="E20" s="3291">
        <v>1</v>
      </c>
      <c r="F20" s="3292" t="s">
        <v>2813</v>
      </c>
      <c r="G20" s="3292"/>
    </row>
    <row r="21" spans="1:13" ht="19.5" customHeight="1">
      <c r="A21" s="3722"/>
      <c r="B21" s="3720"/>
      <c r="C21" s="740" t="s">
        <v>2814</v>
      </c>
      <c r="D21" s="741"/>
      <c r="E21" s="3293">
        <v>1</v>
      </c>
      <c r="F21" s="3292" t="s">
        <v>2815</v>
      </c>
      <c r="G21" s="3292"/>
    </row>
    <row r="22" spans="1:13" ht="19.5" customHeight="1">
      <c r="A22" s="3722"/>
      <c r="B22" s="3720"/>
      <c r="C22" s="740" t="s">
        <v>2816</v>
      </c>
      <c r="D22" s="741"/>
      <c r="E22" s="3293">
        <v>0.9</v>
      </c>
      <c r="F22" s="3292" t="s">
        <v>2817</v>
      </c>
      <c r="G22" s="3292"/>
    </row>
    <row r="23" spans="1:13" ht="19.5" customHeight="1">
      <c r="A23" s="3722"/>
      <c r="B23" s="3720"/>
      <c r="C23" s="740" t="s">
        <v>2818</v>
      </c>
      <c r="D23" s="741"/>
      <c r="E23" s="3293">
        <v>0.9</v>
      </c>
      <c r="F23" s="3292" t="s">
        <v>2819</v>
      </c>
      <c r="G23" s="3292"/>
    </row>
    <row r="24" spans="1:13" ht="19.5" customHeight="1">
      <c r="A24" s="3722"/>
      <c r="B24" s="3720"/>
      <c r="C24" s="740" t="s">
        <v>2820</v>
      </c>
      <c r="D24" s="741"/>
      <c r="E24" s="3293">
        <v>0.8</v>
      </c>
      <c r="F24" s="3292" t="s">
        <v>2821</v>
      </c>
      <c r="G24" s="3292"/>
    </row>
    <row r="25" spans="1:13" ht="19.5" customHeight="1" thickBot="1">
      <c r="A25" s="3723"/>
      <c r="B25" s="3725"/>
      <c r="C25" s="3294" t="s">
        <v>2822</v>
      </c>
      <c r="D25" s="3295"/>
      <c r="E25" s="3296">
        <v>0.8</v>
      </c>
      <c r="F25" s="3292" t="s">
        <v>2823</v>
      </c>
      <c r="G25" s="3292"/>
    </row>
    <row r="26" spans="1:13" ht="19.5" customHeight="1" thickBot="1">
      <c r="A26" s="3297" t="s">
        <v>2804</v>
      </c>
      <c r="B26" s="3298" t="s">
        <v>2811</v>
      </c>
      <c r="C26" s="3299" t="s">
        <v>2824</v>
      </c>
      <c r="D26" s="3300"/>
      <c r="E26" s="3301">
        <v>1</v>
      </c>
      <c r="F26" s="3292" t="s">
        <v>2865</v>
      </c>
      <c r="G26" s="3292"/>
    </row>
    <row r="27" spans="1:13" ht="19.5" customHeight="1">
      <c r="A27" s="3726" t="s">
        <v>2808</v>
      </c>
      <c r="B27" s="3724" t="s">
        <v>2808</v>
      </c>
      <c r="C27" s="3289" t="s">
        <v>2825</v>
      </c>
      <c r="D27" s="3290"/>
      <c r="E27" s="3291">
        <v>1</v>
      </c>
      <c r="F27" s="3292" t="s">
        <v>2866</v>
      </c>
      <c r="G27" s="3292"/>
    </row>
    <row r="28" spans="1:13" ht="19.5" customHeight="1">
      <c r="A28" s="3727"/>
      <c r="B28" s="3720"/>
      <c r="C28" s="740" t="s">
        <v>2826</v>
      </c>
      <c r="D28" s="741"/>
      <c r="E28" s="3293">
        <v>1</v>
      </c>
      <c r="F28" s="3292" t="s">
        <v>2867</v>
      </c>
      <c r="G28" s="3292"/>
    </row>
    <row r="29" spans="1:13" ht="19.5" customHeight="1">
      <c r="A29" s="3727"/>
      <c r="B29" s="3720"/>
      <c r="C29" s="740" t="s">
        <v>2827</v>
      </c>
      <c r="D29" s="741"/>
      <c r="E29" s="3293">
        <v>0.8</v>
      </c>
      <c r="F29" s="3292" t="s">
        <v>2868</v>
      </c>
      <c r="G29" s="3292"/>
    </row>
    <row r="30" spans="1:13" ht="19.5" customHeight="1">
      <c r="A30" s="3727"/>
      <c r="B30" s="3720"/>
      <c r="C30" s="740" t="s">
        <v>2828</v>
      </c>
      <c r="D30" s="741"/>
      <c r="E30" s="3293">
        <v>0.8</v>
      </c>
      <c r="F30" s="3292" t="s">
        <v>2869</v>
      </c>
      <c r="G30" s="3292"/>
    </row>
    <row r="31" spans="1:13" ht="19.5" customHeight="1">
      <c r="A31" s="3727"/>
      <c r="B31" s="3720"/>
      <c r="C31" s="740" t="s">
        <v>2829</v>
      </c>
      <c r="D31" s="741"/>
      <c r="E31" s="3293">
        <v>0.8</v>
      </c>
      <c r="F31" s="3292" t="s">
        <v>2870</v>
      </c>
      <c r="G31" s="3292"/>
    </row>
    <row r="32" spans="1:13" ht="19.5" customHeight="1">
      <c r="A32" s="3727"/>
      <c r="B32" s="3720"/>
      <c r="C32" s="740" t="s">
        <v>2830</v>
      </c>
      <c r="D32" s="741"/>
      <c r="E32" s="3293">
        <v>0.7</v>
      </c>
      <c r="F32" s="3292" t="s">
        <v>2871</v>
      </c>
      <c r="G32" s="3292"/>
    </row>
    <row r="33" spans="1:7" ht="19.5" customHeight="1">
      <c r="A33" s="3727"/>
      <c r="B33" s="3720"/>
      <c r="C33" s="740" t="s">
        <v>2831</v>
      </c>
      <c r="D33" s="741"/>
      <c r="E33" s="3293">
        <v>0.8</v>
      </c>
      <c r="F33" s="3292" t="s">
        <v>2872</v>
      </c>
      <c r="G33" s="3292"/>
    </row>
    <row r="34" spans="1:7" ht="19.5" customHeight="1">
      <c r="A34" s="3727"/>
      <c r="B34" s="3720"/>
      <c r="C34" s="740" t="s">
        <v>2832</v>
      </c>
      <c r="D34" s="741"/>
      <c r="E34" s="3293">
        <v>0.6</v>
      </c>
      <c r="F34" s="3292" t="s">
        <v>2873</v>
      </c>
      <c r="G34" s="3292"/>
    </row>
    <row r="35" spans="1:7" ht="19.5" customHeight="1">
      <c r="A35" s="3727"/>
      <c r="B35" s="3720"/>
      <c r="C35" s="740" t="s">
        <v>2833</v>
      </c>
      <c r="D35" s="741"/>
      <c r="E35" s="3293">
        <v>0.2</v>
      </c>
      <c r="F35" s="3292" t="s">
        <v>2874</v>
      </c>
      <c r="G35" s="3292"/>
    </row>
    <row r="36" spans="1:7" ht="19.5" customHeight="1">
      <c r="A36" s="3727"/>
      <c r="B36" s="3720"/>
      <c r="C36" s="740" t="s">
        <v>2834</v>
      </c>
      <c r="D36" s="741"/>
      <c r="E36" s="3293">
        <v>0.2</v>
      </c>
      <c r="F36" s="3292" t="s">
        <v>2875</v>
      </c>
      <c r="G36" s="3292"/>
    </row>
    <row r="37" spans="1:7" ht="19.5" customHeight="1">
      <c r="A37" s="3727"/>
      <c r="B37" s="3718" t="s">
        <v>2835</v>
      </c>
      <c r="C37" s="740" t="s">
        <v>2836</v>
      </c>
      <c r="D37" s="741"/>
      <c r="E37" s="3293">
        <v>0.6</v>
      </c>
      <c r="F37" s="3292" t="s">
        <v>2876</v>
      </c>
      <c r="G37" s="3292"/>
    </row>
    <row r="38" spans="1:7" ht="19.5" customHeight="1">
      <c r="A38" s="3727"/>
      <c r="B38" s="3720"/>
      <c r="C38" s="740" t="s">
        <v>2837</v>
      </c>
      <c r="D38" s="741"/>
      <c r="E38" s="3293">
        <v>0.6</v>
      </c>
      <c r="F38" s="3292" t="s">
        <v>2877</v>
      </c>
      <c r="G38" s="3292"/>
    </row>
    <row r="39" spans="1:7" ht="19.5" customHeight="1" thickBot="1">
      <c r="A39" s="3728"/>
      <c r="B39" s="3725"/>
      <c r="C39" s="3294" t="s">
        <v>2838</v>
      </c>
      <c r="D39" s="3295"/>
      <c r="E39" s="3296">
        <v>0.6</v>
      </c>
      <c r="F39" s="3292" t="s">
        <v>2878</v>
      </c>
      <c r="G39" s="3292"/>
    </row>
    <row r="40" spans="1:7" ht="19.5" customHeight="1" thickBot="1">
      <c r="A40" s="3297" t="s">
        <v>2839</v>
      </c>
      <c r="B40" s="3298" t="s">
        <v>2839</v>
      </c>
      <c r="C40" s="3299" t="s">
        <v>2840</v>
      </c>
      <c r="D40" s="3300"/>
      <c r="E40" s="3301">
        <v>1</v>
      </c>
      <c r="F40" s="3292" t="s">
        <v>2879</v>
      </c>
      <c r="G40" s="3292"/>
    </row>
    <row r="41" spans="1:7" ht="19.5" customHeight="1">
      <c r="A41" s="3721" t="s">
        <v>2841</v>
      </c>
      <c r="B41" s="3724" t="s">
        <v>2842</v>
      </c>
      <c r="C41" s="3289" t="s">
        <v>2843</v>
      </c>
      <c r="D41" s="3290"/>
      <c r="E41" s="3291">
        <v>1</v>
      </c>
      <c r="F41" s="3292" t="s">
        <v>2844</v>
      </c>
      <c r="G41" s="3292"/>
    </row>
    <row r="42" spans="1:7" ht="19.5" customHeight="1">
      <c r="A42" s="3722"/>
      <c r="B42" s="3720"/>
      <c r="C42" s="740" t="s">
        <v>2845</v>
      </c>
      <c r="D42" s="741"/>
      <c r="E42" s="3293">
        <v>1</v>
      </c>
      <c r="F42" s="3292" t="s">
        <v>2846</v>
      </c>
      <c r="G42" s="3292"/>
    </row>
    <row r="43" spans="1:7" ht="19.5" customHeight="1">
      <c r="A43" s="3722"/>
      <c r="B43" s="3719"/>
      <c r="C43" s="740" t="s">
        <v>2847</v>
      </c>
      <c r="D43" s="741"/>
      <c r="E43" s="3293">
        <v>1.5</v>
      </c>
      <c r="F43" s="3292" t="s">
        <v>2848</v>
      </c>
      <c r="G43" s="3292"/>
    </row>
    <row r="44" spans="1:7" ht="19.5" customHeight="1">
      <c r="A44" s="3722"/>
      <c r="B44" s="3302" t="s">
        <v>2808</v>
      </c>
      <c r="C44" s="740" t="s">
        <v>2807</v>
      </c>
      <c r="D44" s="741"/>
      <c r="E44" s="3293">
        <v>2</v>
      </c>
      <c r="F44" s="3292" t="s">
        <v>2849</v>
      </c>
      <c r="G44" s="3292"/>
    </row>
    <row r="45" spans="1:7" ht="19.5" customHeight="1">
      <c r="A45" s="3722"/>
      <c r="B45" s="3718" t="s">
        <v>2850</v>
      </c>
      <c r="C45" s="740" t="s">
        <v>2851</v>
      </c>
      <c r="D45" s="741"/>
      <c r="E45" s="3293">
        <v>1</v>
      </c>
      <c r="F45" s="3292" t="s">
        <v>2852</v>
      </c>
      <c r="G45" s="3292"/>
    </row>
    <row r="46" spans="1:7" ht="19.5" customHeight="1">
      <c r="A46" s="3722"/>
      <c r="B46" s="3720"/>
      <c r="C46" s="740" t="s">
        <v>2853</v>
      </c>
      <c r="D46" s="741"/>
      <c r="E46" s="3293">
        <v>1</v>
      </c>
      <c r="F46" s="3292" t="s">
        <v>2854</v>
      </c>
      <c r="G46" s="3292"/>
    </row>
    <row r="47" spans="1:7" ht="19.5" customHeight="1">
      <c r="A47" s="3722"/>
      <c r="B47" s="3720"/>
      <c r="C47" s="740" t="s">
        <v>2855</v>
      </c>
      <c r="D47" s="741"/>
      <c r="E47" s="3293">
        <v>1</v>
      </c>
      <c r="F47" s="3292" t="s">
        <v>2856</v>
      </c>
      <c r="G47" s="3292"/>
    </row>
    <row r="48" spans="1:7" ht="19.5" customHeight="1">
      <c r="A48" s="3722"/>
      <c r="B48" s="3720"/>
      <c r="C48" s="740" t="s">
        <v>2857</v>
      </c>
      <c r="D48" s="741"/>
      <c r="E48" s="3293">
        <v>1</v>
      </c>
      <c r="F48" s="3292" t="s">
        <v>2858</v>
      </c>
      <c r="G48" s="3292"/>
    </row>
    <row r="49" spans="1:7" ht="19.5" customHeight="1">
      <c r="A49" s="3722"/>
      <c r="B49" s="3720"/>
      <c r="C49" s="740" t="s">
        <v>2859</v>
      </c>
      <c r="D49" s="741"/>
      <c r="E49" s="3293">
        <v>1</v>
      </c>
      <c r="F49" s="3292" t="s">
        <v>2860</v>
      </c>
      <c r="G49" s="3292"/>
    </row>
    <row r="50" spans="1:7" ht="19.5" customHeight="1">
      <c r="A50" s="3722"/>
      <c r="B50" s="3720"/>
      <c r="C50" s="740" t="s">
        <v>2861</v>
      </c>
      <c r="D50" s="741"/>
      <c r="E50" s="3293">
        <v>1</v>
      </c>
      <c r="F50" s="3292" t="s">
        <v>2862</v>
      </c>
      <c r="G50" s="3292"/>
    </row>
    <row r="51" spans="1:7" ht="19.5" customHeight="1" thickBot="1">
      <c r="A51" s="3723"/>
      <c r="B51" s="3725"/>
      <c r="C51" s="3294" t="s">
        <v>2863</v>
      </c>
      <c r="D51" s="3295"/>
      <c r="E51" s="3296">
        <v>1</v>
      </c>
      <c r="F51" s="3292" t="s">
        <v>2864</v>
      </c>
      <c r="G51" s="3292"/>
    </row>
    <row r="52" spans="1:7" ht="19.5" customHeight="1">
      <c r="A52" s="3317"/>
      <c r="B52" s="3317"/>
      <c r="C52" s="3317"/>
      <c r="D52" s="3317"/>
      <c r="E52" s="3317"/>
      <c r="F52" s="3318"/>
      <c r="G52" s="3318"/>
    </row>
    <row r="54" spans="1:7" ht="19.5" customHeight="1">
      <c r="A54" s="3319"/>
      <c r="B54" s="3283" t="s">
        <v>513</v>
      </c>
      <c r="C54" s="3283" t="s">
        <v>513</v>
      </c>
      <c r="D54" s="3283" t="s">
        <v>513</v>
      </c>
      <c r="E54" s="3285" t="s">
        <v>513</v>
      </c>
      <c r="F54" s="3285" t="s">
        <v>514</v>
      </c>
      <c r="G54" s="3285" t="s">
        <v>513</v>
      </c>
    </row>
    <row r="55" spans="1:7" ht="19.5" customHeight="1">
      <c r="A55" s="3320"/>
      <c r="B55" s="3285" t="s">
        <v>132</v>
      </c>
      <c r="C55" s="3285" t="s">
        <v>132</v>
      </c>
      <c r="D55" s="3285" t="s">
        <v>132</v>
      </c>
      <c r="E55" s="3283" t="s">
        <v>133</v>
      </c>
      <c r="F55" s="3283" t="s">
        <v>134</v>
      </c>
      <c r="G55" s="3283" t="s">
        <v>515</v>
      </c>
    </row>
    <row r="56" spans="1:7" ht="19.5" customHeight="1">
      <c r="A56" s="3321"/>
      <c r="B56" s="3283">
        <v>1</v>
      </c>
      <c r="C56" s="3283">
        <v>2</v>
      </c>
      <c r="D56" s="3283">
        <v>3</v>
      </c>
      <c r="E56" s="3287" t="s">
        <v>516</v>
      </c>
      <c r="F56" s="3287" t="s">
        <v>516</v>
      </c>
      <c r="G56" s="3287" t="s">
        <v>516</v>
      </c>
    </row>
    <row r="57" spans="1:7" ht="19.5" customHeight="1">
      <c r="A57" s="3309" t="s">
        <v>106</v>
      </c>
      <c r="B57" s="3283">
        <v>0.7</v>
      </c>
      <c r="C57" s="3283">
        <v>0.4</v>
      </c>
      <c r="D57" s="3283">
        <v>0.3</v>
      </c>
      <c r="E57" s="3287">
        <v>0.3</v>
      </c>
      <c r="F57" s="3283">
        <v>0.3</v>
      </c>
      <c r="G57" s="3283">
        <v>0.2</v>
      </c>
    </row>
    <row r="58" spans="1:7" ht="19.5" customHeight="1">
      <c r="A58" s="3309" t="s">
        <v>107</v>
      </c>
      <c r="B58" s="3283">
        <v>0.7</v>
      </c>
      <c r="C58" s="3283">
        <v>0.4</v>
      </c>
      <c r="D58" s="3283">
        <v>0.3</v>
      </c>
      <c r="E58" s="3283">
        <v>0.3</v>
      </c>
      <c r="F58" s="3283">
        <v>0.3</v>
      </c>
      <c r="G58" s="3283">
        <v>0.2</v>
      </c>
    </row>
    <row r="59" spans="1:7" ht="19.5" customHeight="1">
      <c r="A59" s="3309" t="s">
        <v>108</v>
      </c>
      <c r="B59" s="3283">
        <v>0.6</v>
      </c>
      <c r="C59" s="3283">
        <v>0.3</v>
      </c>
      <c r="D59" s="3283">
        <v>0.25</v>
      </c>
      <c r="E59" s="3283">
        <v>0.25</v>
      </c>
      <c r="F59" s="3283">
        <v>0.25</v>
      </c>
      <c r="G59" s="3283">
        <v>0.15</v>
      </c>
    </row>
    <row r="60" spans="1:7" ht="19.5" customHeight="1">
      <c r="A60" s="3309" t="s">
        <v>109</v>
      </c>
      <c r="B60" s="3283">
        <v>0.6</v>
      </c>
      <c r="C60" s="3283">
        <v>0.3</v>
      </c>
      <c r="D60" s="3283">
        <v>0.25</v>
      </c>
      <c r="E60" s="3283">
        <v>0.25</v>
      </c>
      <c r="F60" s="3283">
        <v>0.25</v>
      </c>
      <c r="G60" s="3283">
        <v>0.15</v>
      </c>
    </row>
    <row r="61" spans="1:7" ht="19.5" customHeight="1">
      <c r="A61" s="3309" t="s">
        <v>110</v>
      </c>
      <c r="B61" s="3283">
        <v>0.6</v>
      </c>
      <c r="C61" s="3283">
        <v>0.3</v>
      </c>
      <c r="D61" s="3283">
        <v>0.25</v>
      </c>
      <c r="E61" s="3283">
        <v>0.25</v>
      </c>
      <c r="F61" s="3283">
        <v>0.25</v>
      </c>
      <c r="G61" s="3283">
        <v>0.15</v>
      </c>
    </row>
    <row r="62" spans="1:7" ht="19.5" customHeight="1">
      <c r="A62" s="3309" t="s">
        <v>111</v>
      </c>
      <c r="B62" s="3283">
        <v>0.6</v>
      </c>
      <c r="C62" s="3283">
        <v>0.3</v>
      </c>
      <c r="D62" s="3283">
        <v>0.25</v>
      </c>
      <c r="E62" s="3283">
        <v>0.25</v>
      </c>
      <c r="F62" s="3283">
        <v>0.25</v>
      </c>
      <c r="G62" s="3283">
        <v>0.15</v>
      </c>
    </row>
    <row r="63" spans="1:7" ht="19.5" customHeight="1">
      <c r="A63" s="3309" t="s">
        <v>112</v>
      </c>
      <c r="B63" s="3283">
        <v>0.6</v>
      </c>
      <c r="C63" s="3283">
        <v>0.3</v>
      </c>
      <c r="D63" s="3283">
        <v>0.25</v>
      </c>
      <c r="E63" s="3283">
        <v>0.25</v>
      </c>
      <c r="F63" s="3283">
        <v>0.25</v>
      </c>
      <c r="G63" s="3283">
        <v>0.15</v>
      </c>
    </row>
    <row r="64" spans="1:7" ht="19.5" customHeight="1">
      <c r="A64" s="3309" t="s">
        <v>113</v>
      </c>
      <c r="B64" s="3283">
        <v>0.5</v>
      </c>
      <c r="C64" s="3283">
        <v>0.2</v>
      </c>
      <c r="D64" s="3283">
        <v>0.2</v>
      </c>
      <c r="E64" s="3283">
        <v>0.2</v>
      </c>
      <c r="F64" s="3283">
        <v>0.2</v>
      </c>
      <c r="G64" s="3283">
        <v>0.1</v>
      </c>
    </row>
    <row r="65" spans="1:7" ht="19.5" customHeight="1">
      <c r="A65" s="3309" t="s">
        <v>114</v>
      </c>
      <c r="B65" s="3283">
        <v>0.5</v>
      </c>
      <c r="C65" s="3283">
        <v>0.2</v>
      </c>
      <c r="D65" s="3283">
        <v>0.2</v>
      </c>
      <c r="E65" s="3283">
        <v>0.2</v>
      </c>
      <c r="F65" s="3283">
        <v>0.2</v>
      </c>
      <c r="G65" s="3283">
        <v>0.1</v>
      </c>
    </row>
    <row r="66" spans="1:7" ht="19.5" customHeight="1">
      <c r="A66" s="3309" t="s">
        <v>115</v>
      </c>
      <c r="B66" s="3283">
        <v>0.5</v>
      </c>
      <c r="C66" s="3283">
        <v>0.2</v>
      </c>
      <c r="D66" s="3283">
        <v>0.2</v>
      </c>
      <c r="E66" s="3283">
        <v>0.2</v>
      </c>
      <c r="F66" s="3283">
        <v>0.2</v>
      </c>
      <c r="G66" s="3283">
        <v>0.1</v>
      </c>
    </row>
    <row r="67" spans="1:7" ht="19.5" customHeight="1">
      <c r="A67" s="3309" t="s">
        <v>116</v>
      </c>
      <c r="B67" s="3283">
        <v>0.5</v>
      </c>
      <c r="C67" s="3283">
        <v>0.2</v>
      </c>
      <c r="D67" s="3283">
        <v>0.2</v>
      </c>
      <c r="E67" s="3283">
        <v>0.2</v>
      </c>
      <c r="F67" s="3283">
        <v>0.2</v>
      </c>
      <c r="G67" s="3283">
        <v>0.1</v>
      </c>
    </row>
    <row r="68" spans="1:7" ht="19.5" customHeight="1">
      <c r="A68" s="3309" t="s">
        <v>117</v>
      </c>
      <c r="B68" s="3283">
        <v>0.5</v>
      </c>
      <c r="C68" s="3283">
        <v>0.2</v>
      </c>
      <c r="D68" s="3283">
        <v>0.2</v>
      </c>
      <c r="E68" s="3283">
        <v>0.2</v>
      </c>
      <c r="F68" s="3283">
        <v>0.2</v>
      </c>
      <c r="G68" s="3283">
        <v>0.1</v>
      </c>
    </row>
    <row r="70" spans="1:7" ht="19.5" customHeight="1">
      <c r="A70" s="3322"/>
      <c r="B70" s="3313"/>
      <c r="C70" s="3313"/>
      <c r="D70" s="3313" t="s">
        <v>517</v>
      </c>
      <c r="E70" s="3313"/>
      <c r="F70" s="3313"/>
    </row>
    <row r="71" spans="1:7" ht="19.5" customHeight="1">
      <c r="A71" s="3302" t="s">
        <v>518</v>
      </c>
      <c r="B71" s="3302" t="s">
        <v>519</v>
      </c>
      <c r="C71" s="3302" t="s">
        <v>520</v>
      </c>
      <c r="D71" s="3302" t="s">
        <v>521</v>
      </c>
      <c r="E71" s="3302" t="s">
        <v>522</v>
      </c>
      <c r="F71" s="3302" t="s">
        <v>523</v>
      </c>
    </row>
    <row r="72" spans="1:7" ht="13.5">
      <c r="A72" s="3302"/>
      <c r="B72" s="3302"/>
      <c r="C72" s="3302" t="s">
        <v>2880</v>
      </c>
      <c r="D72" s="3302"/>
      <c r="E72" s="3308" t="s">
        <v>1</v>
      </c>
      <c r="F72" s="3302" t="s">
        <v>1</v>
      </c>
    </row>
    <row r="73" spans="1:7" ht="13.5">
      <c r="A73" s="3302">
        <v>1</v>
      </c>
      <c r="B73" s="3718" t="s">
        <v>2881</v>
      </c>
      <c r="C73" s="3283" t="s">
        <v>2882</v>
      </c>
      <c r="D73" s="3283" t="s">
        <v>2883</v>
      </c>
      <c r="E73" s="3308">
        <v>0.2</v>
      </c>
      <c r="F73" s="3302">
        <v>25</v>
      </c>
    </row>
    <row r="74" spans="1:7" ht="24">
      <c r="A74" s="3302">
        <v>2</v>
      </c>
      <c r="B74" s="3720"/>
      <c r="C74" s="3283" t="s">
        <v>2884</v>
      </c>
      <c r="D74" s="3283" t="s">
        <v>2885</v>
      </c>
      <c r="E74" s="3308">
        <v>0.2</v>
      </c>
      <c r="F74" s="3302">
        <v>25</v>
      </c>
    </row>
    <row r="75" spans="1:7" ht="24">
      <c r="A75" s="3302">
        <v>3</v>
      </c>
      <c r="B75" s="3720"/>
      <c r="C75" s="3283" t="s">
        <v>2886</v>
      </c>
      <c r="D75" s="3283" t="s">
        <v>2887</v>
      </c>
      <c r="E75" s="3308">
        <v>0.2</v>
      </c>
      <c r="F75" s="3302">
        <v>25</v>
      </c>
    </row>
    <row r="76" spans="1:7" ht="13.5">
      <c r="A76" s="3302">
        <v>4</v>
      </c>
      <c r="B76" s="3720"/>
      <c r="C76" s="3283" t="s">
        <v>2888</v>
      </c>
      <c r="D76" s="3283" t="s">
        <v>2889</v>
      </c>
      <c r="E76" s="3308">
        <v>0.15</v>
      </c>
      <c r="F76" s="3302">
        <v>20</v>
      </c>
    </row>
    <row r="77" spans="1:7" ht="24">
      <c r="A77" s="3302">
        <v>5</v>
      </c>
      <c r="B77" s="3720"/>
      <c r="C77" s="3283" t="s">
        <v>2890</v>
      </c>
      <c r="D77" s="3283" t="s">
        <v>2891</v>
      </c>
      <c r="E77" s="3308">
        <v>0.15</v>
      </c>
      <c r="F77" s="3302">
        <v>20</v>
      </c>
    </row>
    <row r="78" spans="1:7" ht="24">
      <c r="A78" s="3302">
        <v>6</v>
      </c>
      <c r="B78" s="3720"/>
      <c r="C78" s="3283" t="s">
        <v>2892</v>
      </c>
      <c r="D78" s="3283" t="s">
        <v>2893</v>
      </c>
      <c r="E78" s="3308">
        <v>0.15</v>
      </c>
      <c r="F78" s="3302">
        <v>20</v>
      </c>
    </row>
    <row r="79" spans="1:7" ht="24">
      <c r="A79" s="3302">
        <v>7</v>
      </c>
      <c r="B79" s="3720"/>
      <c r="C79" s="3283" t="s">
        <v>2894</v>
      </c>
      <c r="D79" s="3283" t="s">
        <v>2895</v>
      </c>
      <c r="E79" s="3308">
        <v>0.15</v>
      </c>
      <c r="F79" s="3302">
        <v>20</v>
      </c>
    </row>
    <row r="80" spans="1:7" ht="24">
      <c r="A80" s="3302">
        <v>8</v>
      </c>
      <c r="B80" s="3720"/>
      <c r="C80" s="3283" t="s">
        <v>2896</v>
      </c>
      <c r="D80" s="3283" t="s">
        <v>2897</v>
      </c>
      <c r="E80" s="3308">
        <v>0.1</v>
      </c>
      <c r="F80" s="3302">
        <v>15</v>
      </c>
    </row>
    <row r="81" spans="1:6" ht="24">
      <c r="A81" s="3302">
        <v>9</v>
      </c>
      <c r="B81" s="3720"/>
      <c r="C81" s="3283" t="s">
        <v>2898</v>
      </c>
      <c r="D81" s="3283" t="s">
        <v>2899</v>
      </c>
      <c r="E81" s="3308">
        <v>0.1</v>
      </c>
      <c r="F81" s="3302">
        <v>15</v>
      </c>
    </row>
    <row r="82" spans="1:6" ht="24">
      <c r="A82" s="3302">
        <v>10</v>
      </c>
      <c r="B82" s="3720"/>
      <c r="C82" s="3283" t="s">
        <v>2900</v>
      </c>
      <c r="D82" s="3283" t="s">
        <v>2901</v>
      </c>
      <c r="E82" s="3308">
        <v>0.1</v>
      </c>
      <c r="F82" s="3302">
        <v>15</v>
      </c>
    </row>
    <row r="83" spans="1:6" ht="24">
      <c r="A83" s="3302">
        <v>11</v>
      </c>
      <c r="B83" s="3720"/>
      <c r="C83" s="3283" t="s">
        <v>2902</v>
      </c>
      <c r="D83" s="3283" t="s">
        <v>2903</v>
      </c>
      <c r="E83" s="3308">
        <v>0.1</v>
      </c>
      <c r="F83" s="3302">
        <v>15</v>
      </c>
    </row>
    <row r="84" spans="1:6" ht="24">
      <c r="A84" s="3302">
        <v>12</v>
      </c>
      <c r="B84" s="3720"/>
      <c r="C84" s="3283" t="s">
        <v>2904</v>
      </c>
      <c r="D84" s="3283" t="s">
        <v>2905</v>
      </c>
      <c r="E84" s="3308">
        <v>0.1</v>
      </c>
      <c r="F84" s="3302">
        <v>15</v>
      </c>
    </row>
    <row r="85" spans="1:6" ht="13.5">
      <c r="A85" s="3302">
        <v>13</v>
      </c>
      <c r="B85" s="3720"/>
      <c r="C85" s="3283" t="s">
        <v>2906</v>
      </c>
      <c r="D85" s="3283" t="s">
        <v>2907</v>
      </c>
      <c r="E85" s="3308">
        <v>0.1</v>
      </c>
      <c r="F85" s="3302">
        <v>15</v>
      </c>
    </row>
    <row r="86" spans="1:6" ht="13.5">
      <c r="A86" s="3302">
        <v>14</v>
      </c>
      <c r="B86" s="3720"/>
      <c r="C86" s="3283" t="s">
        <v>2908</v>
      </c>
      <c r="D86" s="3283" t="s">
        <v>2909</v>
      </c>
      <c r="E86" s="3308">
        <v>0.1</v>
      </c>
      <c r="F86" s="3302">
        <v>15</v>
      </c>
    </row>
    <row r="87" spans="1:6" ht="13.5">
      <c r="A87" s="3302">
        <v>15</v>
      </c>
      <c r="B87" s="3720"/>
      <c r="C87" s="3283" t="s">
        <v>2910</v>
      </c>
      <c r="D87" s="3283" t="s">
        <v>2911</v>
      </c>
      <c r="E87" s="3308">
        <v>0.1</v>
      </c>
      <c r="F87" s="3302">
        <v>15</v>
      </c>
    </row>
    <row r="88" spans="1:6" ht="24">
      <c r="A88" s="3302">
        <v>16</v>
      </c>
      <c r="B88" s="3720"/>
      <c r="C88" s="3283" t="s">
        <v>2912</v>
      </c>
      <c r="D88" s="3283" t="s">
        <v>2913</v>
      </c>
      <c r="E88" s="3308">
        <v>0.1</v>
      </c>
      <c r="F88" s="3302">
        <v>15</v>
      </c>
    </row>
    <row r="89" spans="1:6" ht="24">
      <c r="A89" s="3302">
        <v>17</v>
      </c>
      <c r="B89" s="3719"/>
      <c r="C89" s="3283" t="s">
        <v>2914</v>
      </c>
      <c r="D89" s="3283" t="s">
        <v>2915</v>
      </c>
      <c r="E89" s="3308">
        <v>0.1</v>
      </c>
      <c r="F89" s="3302">
        <v>15</v>
      </c>
    </row>
    <row r="90" spans="1:6" ht="13.5">
      <c r="A90" s="3302">
        <v>18</v>
      </c>
      <c r="B90" s="3718" t="s">
        <v>2916</v>
      </c>
      <c r="C90" s="3283" t="s">
        <v>2917</v>
      </c>
      <c r="D90" s="3283" t="s">
        <v>2918</v>
      </c>
      <c r="E90" s="3308">
        <v>0.2</v>
      </c>
      <c r="F90" s="3302">
        <v>25</v>
      </c>
    </row>
    <row r="91" spans="1:6" ht="24">
      <c r="A91" s="3302">
        <v>19</v>
      </c>
      <c r="B91" s="3720"/>
      <c r="C91" s="3283" t="s">
        <v>2919</v>
      </c>
      <c r="D91" s="3283" t="s">
        <v>2920</v>
      </c>
      <c r="E91" s="3308">
        <v>0.2</v>
      </c>
      <c r="F91" s="3302">
        <v>25</v>
      </c>
    </row>
    <row r="92" spans="1:6" ht="13.5">
      <c r="A92" s="3302">
        <v>20</v>
      </c>
      <c r="B92" s="3720"/>
      <c r="C92" s="3283" t="s">
        <v>2921</v>
      </c>
      <c r="D92" s="3283" t="s">
        <v>2922</v>
      </c>
      <c r="E92" s="3308">
        <v>0.15</v>
      </c>
      <c r="F92" s="3302">
        <v>20</v>
      </c>
    </row>
    <row r="93" spans="1:6" ht="24">
      <c r="A93" s="3302">
        <v>21</v>
      </c>
      <c r="B93" s="3720"/>
      <c r="C93" s="3283" t="s">
        <v>2923</v>
      </c>
      <c r="D93" s="3283" t="s">
        <v>2924</v>
      </c>
      <c r="E93" s="3308">
        <v>0.15</v>
      </c>
      <c r="F93" s="3302">
        <v>20</v>
      </c>
    </row>
    <row r="94" spans="1:6" ht="24">
      <c r="A94" s="3302">
        <v>22</v>
      </c>
      <c r="B94" s="3720"/>
      <c r="C94" s="3283" t="s">
        <v>2925</v>
      </c>
      <c r="D94" s="3283" t="s">
        <v>2926</v>
      </c>
      <c r="E94" s="3308">
        <v>0.15</v>
      </c>
      <c r="F94" s="3302">
        <v>20</v>
      </c>
    </row>
    <row r="95" spans="1:6" ht="36">
      <c r="A95" s="3302">
        <v>23</v>
      </c>
      <c r="B95" s="3720"/>
      <c r="C95" s="3283" t="s">
        <v>2927</v>
      </c>
      <c r="D95" s="3283" t="s">
        <v>2928</v>
      </c>
      <c r="E95" s="3308">
        <v>0.15</v>
      </c>
      <c r="F95" s="3302">
        <v>20</v>
      </c>
    </row>
    <row r="96" spans="1:6" ht="13.5">
      <c r="A96" s="3302">
        <v>24</v>
      </c>
      <c r="B96" s="3720"/>
      <c r="C96" s="3283" t="s">
        <v>2929</v>
      </c>
      <c r="D96" s="3283" t="s">
        <v>2930</v>
      </c>
      <c r="E96" s="3308">
        <v>0.1</v>
      </c>
      <c r="F96" s="3302">
        <v>15</v>
      </c>
    </row>
    <row r="97" spans="1:6" ht="24">
      <c r="A97" s="3302">
        <v>25</v>
      </c>
      <c r="B97" s="3720"/>
      <c r="C97" s="3283" t="s">
        <v>2931</v>
      </c>
      <c r="D97" s="3283" t="s">
        <v>2932</v>
      </c>
      <c r="E97" s="3308">
        <v>0.1</v>
      </c>
      <c r="F97" s="3302">
        <v>15</v>
      </c>
    </row>
    <row r="98" spans="1:6" ht="24">
      <c r="A98" s="3302">
        <v>26</v>
      </c>
      <c r="B98" s="3720"/>
      <c r="C98" s="3283" t="s">
        <v>2933</v>
      </c>
      <c r="D98" s="3283" t="s">
        <v>2934</v>
      </c>
      <c r="E98" s="3308">
        <v>0.1</v>
      </c>
      <c r="F98" s="3302">
        <v>15</v>
      </c>
    </row>
    <row r="99" spans="1:6" ht="24">
      <c r="A99" s="3302">
        <v>27</v>
      </c>
      <c r="B99" s="3720"/>
      <c r="C99" s="3283" t="s">
        <v>2935</v>
      </c>
      <c r="D99" s="3283" t="s">
        <v>2936</v>
      </c>
      <c r="E99" s="3308">
        <v>0.1</v>
      </c>
      <c r="F99" s="3302">
        <v>15</v>
      </c>
    </row>
    <row r="100" spans="1:6" ht="24">
      <c r="A100" s="3302">
        <v>28</v>
      </c>
      <c r="B100" s="3720"/>
      <c r="C100" s="3283" t="s">
        <v>2937</v>
      </c>
      <c r="D100" s="3283" t="s">
        <v>2938</v>
      </c>
      <c r="E100" s="3308">
        <v>0.1</v>
      </c>
      <c r="F100" s="3302">
        <v>15</v>
      </c>
    </row>
    <row r="101" spans="1:6" ht="24">
      <c r="A101" s="3302">
        <v>29</v>
      </c>
      <c r="B101" s="3720"/>
      <c r="C101" s="3283" t="s">
        <v>2939</v>
      </c>
      <c r="D101" s="3283" t="s">
        <v>2940</v>
      </c>
      <c r="E101" s="3308">
        <v>0.1</v>
      </c>
      <c r="F101" s="3302">
        <v>15</v>
      </c>
    </row>
    <row r="102" spans="1:6" ht="24">
      <c r="A102" s="3302">
        <v>30</v>
      </c>
      <c r="B102" s="3720"/>
      <c r="C102" s="3283" t="s">
        <v>2941</v>
      </c>
      <c r="D102" s="3283" t="s">
        <v>2942</v>
      </c>
      <c r="E102" s="3308">
        <v>0.1</v>
      </c>
      <c r="F102" s="3302">
        <v>15</v>
      </c>
    </row>
    <row r="103" spans="1:6" ht="24">
      <c r="A103" s="3302">
        <v>31</v>
      </c>
      <c r="B103" s="3720"/>
      <c r="C103" s="3283" t="s">
        <v>2943</v>
      </c>
      <c r="D103" s="3283" t="s">
        <v>2944</v>
      </c>
      <c r="E103" s="3308">
        <v>0.1</v>
      </c>
      <c r="F103" s="3302">
        <v>15</v>
      </c>
    </row>
    <row r="104" spans="1:6" ht="24">
      <c r="A104" s="3302">
        <v>32</v>
      </c>
      <c r="B104" s="3720"/>
      <c r="C104" s="3283" t="s">
        <v>2945</v>
      </c>
      <c r="D104" s="3283" t="s">
        <v>2946</v>
      </c>
      <c r="E104" s="3308">
        <v>0.1</v>
      </c>
      <c r="F104" s="3302">
        <v>15</v>
      </c>
    </row>
    <row r="105" spans="1:6" ht="24">
      <c r="A105" s="3302">
        <v>33</v>
      </c>
      <c r="B105" s="3720"/>
      <c r="C105" s="3283" t="s">
        <v>2947</v>
      </c>
      <c r="D105" s="3283" t="s">
        <v>2948</v>
      </c>
      <c r="E105" s="3308">
        <v>0.1</v>
      </c>
      <c r="F105" s="3302">
        <v>15</v>
      </c>
    </row>
    <row r="106" spans="1:6" ht="24">
      <c r="A106" s="3302">
        <v>34</v>
      </c>
      <c r="B106" s="3719"/>
      <c r="C106" s="3283" t="s">
        <v>2949</v>
      </c>
      <c r="D106" s="3283" t="s">
        <v>2950</v>
      </c>
      <c r="E106" s="3308">
        <v>0.1</v>
      </c>
      <c r="F106" s="3302">
        <v>15</v>
      </c>
    </row>
    <row r="107" spans="1:6" ht="24">
      <c r="A107" s="3302">
        <v>35</v>
      </c>
      <c r="B107" s="3718" t="s">
        <v>2951</v>
      </c>
      <c r="C107" s="3302" t="s">
        <v>2952</v>
      </c>
      <c r="D107" s="3283" t="s">
        <v>2953</v>
      </c>
      <c r="E107" s="3308">
        <v>0.15</v>
      </c>
      <c r="F107" s="3302">
        <v>20</v>
      </c>
    </row>
    <row r="108" spans="1:6" ht="24">
      <c r="A108" s="3302">
        <v>36</v>
      </c>
      <c r="B108" s="3720"/>
      <c r="C108" s="3302" t="s">
        <v>2954</v>
      </c>
      <c r="D108" s="3283" t="s">
        <v>2955</v>
      </c>
      <c r="E108" s="3308">
        <v>0.15</v>
      </c>
      <c r="F108" s="3302">
        <v>20</v>
      </c>
    </row>
    <row r="109" spans="1:6" ht="24">
      <c r="A109" s="3302">
        <v>37</v>
      </c>
      <c r="B109" s="3720"/>
      <c r="C109" s="3302" t="s">
        <v>2956</v>
      </c>
      <c r="D109" s="3283" t="s">
        <v>2957</v>
      </c>
      <c r="E109" s="3308">
        <v>0.15</v>
      </c>
      <c r="F109" s="3302">
        <v>20</v>
      </c>
    </row>
    <row r="110" spans="1:6" ht="13.5">
      <c r="A110" s="3302">
        <v>38</v>
      </c>
      <c r="B110" s="3720"/>
      <c r="C110" s="3302" t="s">
        <v>2958</v>
      </c>
      <c r="D110" s="3283" t="s">
        <v>2959</v>
      </c>
      <c r="E110" s="3308">
        <v>0.1</v>
      </c>
      <c r="F110" s="3302">
        <v>15</v>
      </c>
    </row>
    <row r="111" spans="1:6" ht="24">
      <c r="A111" s="3302">
        <v>39</v>
      </c>
      <c r="B111" s="3720"/>
      <c r="C111" s="3302" t="s">
        <v>2960</v>
      </c>
      <c r="D111" s="3283" t="s">
        <v>2961</v>
      </c>
      <c r="E111" s="3308">
        <v>0.1</v>
      </c>
      <c r="F111" s="3302">
        <v>15</v>
      </c>
    </row>
    <row r="112" spans="1:6" ht="24">
      <c r="A112" s="3302">
        <v>40</v>
      </c>
      <c r="B112" s="3719"/>
      <c r="C112" s="3302" t="s">
        <v>2962</v>
      </c>
      <c r="D112" s="3283" t="s">
        <v>2963</v>
      </c>
      <c r="E112" s="3308">
        <v>0.1</v>
      </c>
      <c r="F112" s="3302">
        <v>15</v>
      </c>
    </row>
    <row r="113" spans="1:6" ht="24">
      <c r="A113" s="3302">
        <v>41</v>
      </c>
      <c r="B113" s="3717" t="s">
        <v>2964</v>
      </c>
      <c r="C113" s="3302" t="s">
        <v>2965</v>
      </c>
      <c r="D113" s="3283" t="s">
        <v>2966</v>
      </c>
      <c r="E113" s="3308">
        <v>0.1</v>
      </c>
      <c r="F113" s="3302">
        <v>15</v>
      </c>
    </row>
    <row r="114" spans="1:6" ht="13.5">
      <c r="A114" s="3302">
        <v>42</v>
      </c>
      <c r="B114" s="3717"/>
      <c r="C114" s="3302" t="s">
        <v>2967</v>
      </c>
      <c r="D114" s="3283" t="s">
        <v>2968</v>
      </c>
      <c r="E114" s="3308">
        <v>0.1</v>
      </c>
      <c r="F114" s="3302">
        <v>15</v>
      </c>
    </row>
    <row r="115" spans="1:6" ht="24">
      <c r="A115" s="3302">
        <v>43</v>
      </c>
      <c r="B115" s="3717"/>
      <c r="C115" s="3302" t="s">
        <v>2969</v>
      </c>
      <c r="D115" s="3283" t="s">
        <v>2970</v>
      </c>
      <c r="E115" s="3308">
        <v>0.1</v>
      </c>
      <c r="F115" s="3302">
        <v>15</v>
      </c>
    </row>
    <row r="116" spans="1:6" ht="24">
      <c r="A116" s="3302">
        <v>44</v>
      </c>
      <c r="B116" s="3718" t="s">
        <v>2971</v>
      </c>
      <c r="C116" s="3302" t="s">
        <v>2972</v>
      </c>
      <c r="D116" s="3283" t="s">
        <v>2973</v>
      </c>
      <c r="E116" s="3308">
        <v>0.1</v>
      </c>
      <c r="F116" s="3302">
        <v>15</v>
      </c>
    </row>
    <row r="117" spans="1:6" ht="24">
      <c r="A117" s="3302">
        <v>45</v>
      </c>
      <c r="B117" s="3719"/>
      <c r="C117" s="3283" t="s">
        <v>2974</v>
      </c>
      <c r="D117" s="3283" t="s">
        <v>2975</v>
      </c>
      <c r="E117" s="3308">
        <v>0.1</v>
      </c>
      <c r="F117" s="3302">
        <v>15</v>
      </c>
    </row>
    <row r="118" spans="1:6" ht="24">
      <c r="A118" s="3302">
        <v>46</v>
      </c>
      <c r="B118" s="3718" t="s">
        <v>2976</v>
      </c>
      <c r="C118" s="3302" t="s">
        <v>2977</v>
      </c>
      <c r="D118" s="3283" t="s">
        <v>2978</v>
      </c>
      <c r="E118" s="3308">
        <v>0.1</v>
      </c>
      <c r="F118" s="3302">
        <v>15</v>
      </c>
    </row>
    <row r="119" spans="1:6" ht="24">
      <c r="A119" s="3302">
        <v>47</v>
      </c>
      <c r="B119" s="3719"/>
      <c r="C119" s="3302" t="s">
        <v>2979</v>
      </c>
      <c r="D119" s="3283" t="s">
        <v>2980</v>
      </c>
      <c r="E119" s="3308">
        <v>0.1</v>
      </c>
      <c r="F119" s="3302">
        <v>15</v>
      </c>
    </row>
    <row r="120" spans="1:6" ht="24">
      <c r="A120" s="3302">
        <v>48</v>
      </c>
      <c r="B120" s="3718" t="s">
        <v>2981</v>
      </c>
      <c r="C120" s="3302" t="s">
        <v>2982</v>
      </c>
      <c r="D120" s="3283" t="s">
        <v>2983</v>
      </c>
      <c r="E120" s="3308">
        <v>0.1</v>
      </c>
      <c r="F120" s="3302">
        <v>15</v>
      </c>
    </row>
    <row r="121" spans="1:6" ht="13.5">
      <c r="A121" s="3302">
        <v>49</v>
      </c>
      <c r="B121" s="3719"/>
      <c r="C121" s="3302" t="s">
        <v>2984</v>
      </c>
      <c r="D121" s="3283" t="s">
        <v>2985</v>
      </c>
      <c r="E121" s="3308">
        <v>0.1</v>
      </c>
      <c r="F121" s="3302">
        <v>15</v>
      </c>
    </row>
    <row r="122" spans="1:6" ht="24">
      <c r="A122" s="3302">
        <v>50</v>
      </c>
      <c r="B122" s="3717" t="s">
        <v>2986</v>
      </c>
      <c r="C122" s="3302" t="s">
        <v>2987</v>
      </c>
      <c r="D122" s="3283" t="s">
        <v>2988</v>
      </c>
      <c r="E122" s="3308">
        <v>0.1</v>
      </c>
      <c r="F122" s="3302">
        <v>15</v>
      </c>
    </row>
    <row r="123" spans="1:6" ht="24">
      <c r="A123" s="3302">
        <v>51</v>
      </c>
      <c r="B123" s="3717"/>
      <c r="C123" s="3302" t="s">
        <v>2989</v>
      </c>
      <c r="D123" s="3283" t="s">
        <v>2990</v>
      </c>
      <c r="E123" s="3308">
        <v>0.1</v>
      </c>
      <c r="F123" s="3302">
        <v>15</v>
      </c>
    </row>
    <row r="124" spans="1:6" ht="24">
      <c r="A124" s="3302">
        <v>52</v>
      </c>
      <c r="B124" s="3717" t="s">
        <v>2991</v>
      </c>
      <c r="C124" s="3302" t="s">
        <v>2992</v>
      </c>
      <c r="D124" s="3283" t="s">
        <v>2993</v>
      </c>
      <c r="E124" s="3308">
        <v>0.1</v>
      </c>
      <c r="F124" s="3302">
        <v>15</v>
      </c>
    </row>
    <row r="125" spans="1:6" ht="24">
      <c r="A125" s="3302">
        <v>53</v>
      </c>
      <c r="B125" s="3717"/>
      <c r="C125" s="3302" t="s">
        <v>2994</v>
      </c>
      <c r="D125" s="3283" t="s">
        <v>2995</v>
      </c>
      <c r="E125" s="3308">
        <v>0.1</v>
      </c>
      <c r="F125" s="3302">
        <v>15</v>
      </c>
    </row>
    <row r="126" spans="1:6" ht="24">
      <c r="A126" s="3302">
        <v>54</v>
      </c>
      <c r="B126" s="3302" t="s">
        <v>2996</v>
      </c>
      <c r="C126" s="3302" t="s">
        <v>2997</v>
      </c>
      <c r="D126" s="3283" t="s">
        <v>2998</v>
      </c>
      <c r="E126" s="3308">
        <v>0.1</v>
      </c>
      <c r="F126" s="3302">
        <v>15</v>
      </c>
    </row>
    <row r="127" spans="1:6" ht="13.5">
      <c r="A127" s="3302">
        <v>55</v>
      </c>
      <c r="B127" s="3717" t="s">
        <v>2999</v>
      </c>
      <c r="C127" s="3302" t="s">
        <v>3000</v>
      </c>
      <c r="D127" s="3283" t="s">
        <v>3001</v>
      </c>
      <c r="E127" s="3308">
        <v>0.1</v>
      </c>
      <c r="F127" s="3302">
        <v>15</v>
      </c>
    </row>
    <row r="128" spans="1:6" ht="13.5">
      <c r="A128" s="3302">
        <v>56</v>
      </c>
      <c r="B128" s="3717"/>
      <c r="C128" s="3302" t="s">
        <v>3002</v>
      </c>
      <c r="D128" s="3283" t="s">
        <v>3003</v>
      </c>
      <c r="E128" s="3308">
        <v>0.1</v>
      </c>
      <c r="F128" s="3302">
        <v>15</v>
      </c>
    </row>
    <row r="129" spans="1:6" ht="24">
      <c r="A129" s="3302">
        <v>57</v>
      </c>
      <c r="B129" s="3717"/>
      <c r="C129" s="3302" t="s">
        <v>3004</v>
      </c>
      <c r="D129" s="3283" t="s">
        <v>3005</v>
      </c>
      <c r="E129" s="3308">
        <v>0.1</v>
      </c>
      <c r="F129" s="3302">
        <v>15</v>
      </c>
    </row>
    <row r="130" spans="1:6" ht="24">
      <c r="A130" s="3302">
        <v>58</v>
      </c>
      <c r="B130" s="3717" t="s">
        <v>3006</v>
      </c>
      <c r="C130" s="3302" t="s">
        <v>3007</v>
      </c>
      <c r="D130" s="3283" t="s">
        <v>3008</v>
      </c>
      <c r="E130" s="3308">
        <v>0.1</v>
      </c>
      <c r="F130" s="3302">
        <v>15</v>
      </c>
    </row>
    <row r="131" spans="1:6" ht="24">
      <c r="A131" s="3302">
        <v>59</v>
      </c>
      <c r="B131" s="3717"/>
      <c r="C131" s="3302" t="s">
        <v>3009</v>
      </c>
      <c r="D131" s="3283" t="s">
        <v>3010</v>
      </c>
      <c r="E131" s="3308">
        <v>0.1</v>
      </c>
      <c r="F131" s="3302">
        <v>15</v>
      </c>
    </row>
    <row r="132" spans="1:6" ht="24">
      <c r="A132" s="3302">
        <v>60</v>
      </c>
      <c r="B132" s="3718" t="s">
        <v>3011</v>
      </c>
      <c r="C132" s="3302" t="s">
        <v>3012</v>
      </c>
      <c r="D132" s="3283" t="s">
        <v>3013</v>
      </c>
      <c r="E132" s="3308">
        <v>0.1</v>
      </c>
      <c r="F132" s="3302">
        <v>15</v>
      </c>
    </row>
    <row r="133" spans="1:6" ht="24">
      <c r="A133" s="3302">
        <v>61</v>
      </c>
      <c r="B133" s="3719"/>
      <c r="C133" s="3302" t="s">
        <v>3014</v>
      </c>
      <c r="D133" s="3283" t="s">
        <v>3015</v>
      </c>
      <c r="E133" s="3308">
        <v>0.1</v>
      </c>
      <c r="F133" s="3302">
        <v>15</v>
      </c>
    </row>
    <row r="134" spans="1:6" ht="24">
      <c r="A134" s="3302">
        <v>62</v>
      </c>
      <c r="B134" s="3302" t="s">
        <v>3016</v>
      </c>
      <c r="C134" s="3302" t="s">
        <v>3017</v>
      </c>
      <c r="D134" s="3283" t="s">
        <v>3018</v>
      </c>
      <c r="E134" s="3308">
        <v>0.1</v>
      </c>
      <c r="F134" s="3302">
        <v>15</v>
      </c>
    </row>
    <row r="135" spans="1:6" ht="24">
      <c r="A135" s="3302">
        <v>63</v>
      </c>
      <c r="B135" s="3717" t="s">
        <v>3019</v>
      </c>
      <c r="C135" s="3302" t="s">
        <v>3020</v>
      </c>
      <c r="D135" s="3283" t="s">
        <v>3021</v>
      </c>
      <c r="E135" s="3308">
        <v>0.1</v>
      </c>
      <c r="F135" s="3302">
        <v>15</v>
      </c>
    </row>
    <row r="136" spans="1:6" ht="13.5">
      <c r="A136" s="3302">
        <v>64</v>
      </c>
      <c r="B136" s="3717"/>
      <c r="C136" s="3302" t="s">
        <v>3022</v>
      </c>
      <c r="D136" s="3283" t="s">
        <v>3023</v>
      </c>
      <c r="E136" s="3308">
        <v>0.1</v>
      </c>
      <c r="F136" s="3302">
        <v>15</v>
      </c>
    </row>
    <row r="137" spans="1:6" ht="24">
      <c r="A137" s="3302">
        <v>65</v>
      </c>
      <c r="B137" s="3302" t="s">
        <v>3024</v>
      </c>
      <c r="C137" s="3302" t="s">
        <v>3025</v>
      </c>
      <c r="D137" s="3283" t="s">
        <v>3026</v>
      </c>
      <c r="E137" s="3308">
        <v>0.1</v>
      </c>
      <c r="F137" s="3302">
        <v>15</v>
      </c>
    </row>
    <row r="138" spans="1:6" ht="13.5">
      <c r="A138" s="3302"/>
      <c r="B138" s="3302"/>
      <c r="C138" s="3302"/>
      <c r="D138" s="3302"/>
      <c r="E138" s="3308"/>
      <c r="F138" s="3302"/>
    </row>
  </sheetData>
  <sheetProtection formatCells="0" formatColumns="0" formatRows="0"/>
  <mergeCells count="21">
    <mergeCell ref="B73:B89"/>
    <mergeCell ref="B90:B106"/>
    <mergeCell ref="A20:A25"/>
    <mergeCell ref="B20:B25"/>
    <mergeCell ref="A27:A39"/>
    <mergeCell ref="B27:B36"/>
    <mergeCell ref="B37:B39"/>
    <mergeCell ref="A41:A51"/>
    <mergeCell ref="B41:B43"/>
    <mergeCell ref="B45:B51"/>
    <mergeCell ref="B130:B131"/>
    <mergeCell ref="B132:B133"/>
    <mergeCell ref="B135:B136"/>
    <mergeCell ref="B107:B112"/>
    <mergeCell ref="B113:B115"/>
    <mergeCell ref="B116:B117"/>
    <mergeCell ref="B118:B119"/>
    <mergeCell ref="B120:B121"/>
    <mergeCell ref="B122:B123"/>
    <mergeCell ref="B124:B125"/>
    <mergeCell ref="B127:B129"/>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2"/>
    <col min="2" max="16384" width="9" style="744"/>
  </cols>
  <sheetData>
    <row r="1" spans="1:14" ht="14.25">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4.25">
      <c r="A103" s="742" t="s">
        <v>526</v>
      </c>
      <c r="B103" s="743"/>
      <c r="C103" s="743"/>
      <c r="D103" s="743"/>
      <c r="E103" s="743"/>
      <c r="F103" s="743"/>
      <c r="G103" s="743"/>
      <c r="H103" s="743"/>
      <c r="I103" s="743"/>
      <c r="J103" s="743"/>
      <c r="K103" s="743"/>
      <c r="L103" s="743"/>
      <c r="M103" s="743"/>
      <c r="N103" s="743"/>
    </row>
    <row r="104" spans="1:14" ht="14.25">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4.25">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4.25">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W5" sqref="W5"/>
    </sheetView>
  </sheetViews>
  <sheetFormatPr defaultColWidth="9" defaultRowHeight="12.75"/>
  <cols>
    <col min="1" max="1" width="9" style="2283"/>
    <col min="2" max="6" width="9" style="2283" customWidth="1"/>
    <col min="7" max="7" width="9" style="2316"/>
    <col min="8" max="8" width="9" style="2283"/>
    <col min="9" max="12" width="9" style="2283" customWidth="1"/>
    <col min="13" max="13" width="2.25" style="2283" customWidth="1"/>
    <col min="14" max="14" width="9" style="2316" customWidth="1"/>
    <col min="15" max="17" width="9" style="2283" customWidth="1"/>
    <col min="18" max="18" width="2.375" style="2283" customWidth="1"/>
    <col min="19" max="19" width="7.125" style="2316" customWidth="1"/>
    <col min="20" max="22" width="7.125" style="2283" customWidth="1"/>
    <col min="23" max="23" width="23.875" style="2283" customWidth="1"/>
    <col min="24" max="25" width="9" style="2283"/>
    <col min="26" max="27" width="11.625" style="2283" customWidth="1"/>
    <col min="28" max="28" width="9" style="2283"/>
    <col min="29" max="29" width="2" style="2283" customWidth="1"/>
    <col min="30" max="16384" width="9" style="2283"/>
  </cols>
  <sheetData>
    <row r="1" spans="1:34" s="2261" customFormat="1">
      <c r="B1" s="3734" t="s">
        <v>782</v>
      </c>
      <c r="C1" s="3734"/>
      <c r="D1" s="3734"/>
      <c r="E1" s="3734"/>
      <c r="F1" s="3734"/>
      <c r="G1" s="3733" t="s">
        <v>783</v>
      </c>
      <c r="H1" s="3733"/>
      <c r="I1" s="3733"/>
      <c r="J1" s="3733"/>
      <c r="K1" s="3733"/>
      <c r="L1" s="3733"/>
      <c r="N1" s="3733" t="s">
        <v>784</v>
      </c>
      <c r="O1" s="3733"/>
      <c r="P1" s="3733"/>
      <c r="Q1" s="3733"/>
      <c r="S1" s="3733" t="s">
        <v>785</v>
      </c>
      <c r="T1" s="3733"/>
      <c r="U1" s="3733"/>
      <c r="V1" s="3733"/>
      <c r="X1" s="3732" t="s">
        <v>786</v>
      </c>
      <c r="Y1" s="3733"/>
      <c r="Z1" s="3733"/>
      <c r="AA1" s="3733"/>
      <c r="AB1" s="3733"/>
      <c r="AD1" s="3732" t="s">
        <v>787</v>
      </c>
      <c r="AE1" s="3733"/>
      <c r="AF1" s="3733"/>
      <c r="AG1" s="3733"/>
      <c r="AH1" s="3733"/>
    </row>
    <row r="2" spans="1:34" s="2262" customFormat="1" ht="14.2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25">
      <c r="A3" s="2266" t="s">
        <v>2464</v>
      </c>
      <c r="B3" s="2267"/>
      <c r="C3" s="2267"/>
      <c r="D3" s="2268"/>
      <c r="E3" s="2268"/>
      <c r="F3" s="2267"/>
      <c r="G3" s="2269"/>
      <c r="H3" s="2270"/>
      <c r="I3" s="2271">
        <f>ROUND(AVERAGE(I4:I41),2)</f>
        <v>1.47</v>
      </c>
      <c r="J3" s="2271">
        <f>ROUND(AVERAGE(J4:J41),2)</f>
        <v>0.92</v>
      </c>
      <c r="K3" s="2271">
        <f>ROUND(AVERAGE(K4:K41),2)</f>
        <v>1.61</v>
      </c>
      <c r="L3" s="2272">
        <f>ROUND(AVERAGE(L4:L41),2)</f>
        <v>1.07</v>
      </c>
      <c r="N3" s="2269"/>
      <c r="S3" s="2269"/>
      <c r="W3" s="2274"/>
      <c r="X3" s="2275">
        <f>ROUND(SUMPRODUCT(PRODUCT(1+N3:N$40)),4)</f>
        <v>1.6585000000000001</v>
      </c>
      <c r="Y3" s="2275">
        <f>ROUND(SUMPRODUCT(PRODUCT(1+O3:O$40)),4)</f>
        <v>1.3676999999999999</v>
      </c>
      <c r="Z3" s="2275">
        <f t="shared" ref="Z3:Z38" si="0">Y3</f>
        <v>1.3676999999999999</v>
      </c>
      <c r="AA3" s="2275">
        <f>ROUND(SUMPRODUCT(PRODUCT(1+P3:P$40)),4)</f>
        <v>1.7434000000000001</v>
      </c>
      <c r="AB3" s="2275">
        <f>ROUND(SUMPRODUCT(PRODUCT(1+Q3:Q$40)),4)</f>
        <v>1.4609000000000001</v>
      </c>
      <c r="AD3" s="2276">
        <f>ROUND(AVERAGE(I3:I$41)/100,4)</f>
        <v>1.47E-2</v>
      </c>
      <c r="AE3" s="2276">
        <f>ROUND(AVERAGE(J3:J$41)/100,4)</f>
        <v>9.1999999999999998E-3</v>
      </c>
      <c r="AF3" s="2276">
        <f t="shared" ref="AF3:AF29" si="1">AE3</f>
        <v>9.1999999999999998E-3</v>
      </c>
      <c r="AG3" s="2276">
        <f>ROUND(AVERAGE(K3:K$41)/100,4)</f>
        <v>1.61E-2</v>
      </c>
      <c r="AH3" s="2276">
        <f>ROUND(AVERAGE(L3:L$41)/100,4)</f>
        <v>1.0699999999999999E-2</v>
      </c>
    </row>
    <row r="4" spans="1:34" s="2277" customFormat="1" ht="14.25">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5" customHeight="1">
      <c r="A5" s="2287" t="s">
        <v>2800</v>
      </c>
      <c r="B5" s="2288">
        <f t="shared" ref="B5" si="2">B6*(1+N5)</f>
        <v>510.07089659554606</v>
      </c>
      <c r="C5" s="2288">
        <f t="shared" ref="C5" si="3">C6*(1+O5)</f>
        <v>352.55593185737411</v>
      </c>
      <c r="D5" s="2288">
        <f t="shared" ref="D5" si="4">C5</f>
        <v>352.55593185737411</v>
      </c>
      <c r="E5" s="2288">
        <f t="shared" ref="E5" si="5">E6*(1+P5)</f>
        <v>737.27992463403655</v>
      </c>
      <c r="F5" s="2288">
        <f t="shared" ref="F5" si="6">F6*(1+Q5)</f>
        <v>335.88319198297864</v>
      </c>
      <c r="G5" s="3263">
        <v>2023</v>
      </c>
      <c r="H5" s="2289">
        <v>1</v>
      </c>
      <c r="I5" s="3077">
        <v>0</v>
      </c>
      <c r="J5" s="3077">
        <v>0</v>
      </c>
      <c r="K5" s="3077">
        <v>0</v>
      </c>
      <c r="L5" s="3078">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1.6585000000000001</v>
      </c>
      <c r="Y5" s="2291">
        <f>ROUND(SUMPRODUCT(PRODUCT(1+O5:O$40)),4)</f>
        <v>1.3676999999999999</v>
      </c>
      <c r="Z5" s="2291">
        <f t="shared" ref="Z5" si="11">Y5</f>
        <v>1.3676999999999999</v>
      </c>
      <c r="AA5" s="2291">
        <f>ROUND(SUMPRODUCT(PRODUCT(1+P5:P$40)),4)</f>
        <v>1.7434000000000001</v>
      </c>
      <c r="AB5" s="2291">
        <f>ROUND(SUMPRODUCT(PRODUCT(1+Q5:Q$40)),4)</f>
        <v>1.4609000000000001</v>
      </c>
      <c r="AC5" s="2291"/>
      <c r="AD5" s="2293">
        <f>ROUND(AVERAGE(I5:I$41)/100,4)</f>
        <v>1.47E-2</v>
      </c>
      <c r="AE5" s="2293">
        <f>ROUND(AVERAGE(J5:J$41)/100,4)</f>
        <v>9.1999999999999998E-3</v>
      </c>
      <c r="AF5" s="2293">
        <f t="shared" ref="AF5" si="12">AE5</f>
        <v>9.1999999999999998E-3</v>
      </c>
      <c r="AG5" s="2293">
        <f>ROUND(AVERAGE(K5:K$41)/100,4)</f>
        <v>1.61E-2</v>
      </c>
      <c r="AH5" s="2293">
        <f>ROUND(AVERAGE(L5:L$41)/100,4)</f>
        <v>1.0699999999999999E-2</v>
      </c>
    </row>
    <row r="6" spans="1:34" s="2294" customFormat="1" ht="14.45" customHeight="1">
      <c r="A6" s="2287" t="s">
        <v>2799</v>
      </c>
      <c r="B6" s="2288">
        <f t="shared" ref="B6" si="13">B7*(1+N6)</f>
        <v>510.07089659554606</v>
      </c>
      <c r="C6" s="2288">
        <f t="shared" ref="C6" si="14">C7*(1+O6)</f>
        <v>352.55593185737411</v>
      </c>
      <c r="D6" s="2288">
        <f t="shared" ref="D6" si="15">C6</f>
        <v>352.55593185737411</v>
      </c>
      <c r="E6" s="2288">
        <f t="shared" ref="E6" si="16">E7*(1+P6)</f>
        <v>737.27992463403655</v>
      </c>
      <c r="F6" s="2288">
        <f t="shared" ref="F6" si="17">F7*(1+Q6)</f>
        <v>335.88319198297864</v>
      </c>
      <c r="G6" s="3263">
        <v>2022</v>
      </c>
      <c r="H6" s="2289">
        <v>4</v>
      </c>
      <c r="I6" s="3077">
        <v>0</v>
      </c>
      <c r="J6" s="3077">
        <v>0</v>
      </c>
      <c r="K6" s="3077">
        <v>0</v>
      </c>
      <c r="L6" s="3078">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1.6585000000000001</v>
      </c>
      <c r="Y6" s="2291">
        <f>ROUND(SUMPRODUCT(PRODUCT(1+O6:O$40)),4)</f>
        <v>1.3676999999999999</v>
      </c>
      <c r="Z6" s="2291">
        <f t="shared" ref="Z6" si="22">Y6</f>
        <v>1.3676999999999999</v>
      </c>
      <c r="AA6" s="2291">
        <f>ROUND(SUMPRODUCT(PRODUCT(1+P6:P$40)),4)</f>
        <v>1.7434000000000001</v>
      </c>
      <c r="AB6" s="2291">
        <f>ROUND(SUMPRODUCT(PRODUCT(1+Q6:Q$40)),4)</f>
        <v>1.4609000000000001</v>
      </c>
      <c r="AC6" s="2291"/>
      <c r="AD6" s="2293">
        <f>ROUND(AVERAGE(I6:I$41)/100,4)</f>
        <v>1.5100000000000001E-2</v>
      </c>
      <c r="AE6" s="2293">
        <f>ROUND(AVERAGE(J6:J$41)/100,4)</f>
        <v>9.4000000000000004E-3</v>
      </c>
      <c r="AF6" s="2293">
        <f t="shared" ref="AF6" si="23">AE6</f>
        <v>9.4000000000000004E-3</v>
      </c>
      <c r="AG6" s="2293">
        <f>ROUND(AVERAGE(K6:K$41)/100,4)</f>
        <v>1.66E-2</v>
      </c>
      <c r="AH6" s="2293">
        <f>ROUND(AVERAGE(L6:L$41)/100,4)</f>
        <v>1.0999999999999999E-2</v>
      </c>
    </row>
    <row r="7" spans="1:34" s="2294" customFormat="1" ht="14.45" customHeight="1">
      <c r="A7" s="2287" t="s">
        <v>2798</v>
      </c>
      <c r="B7" s="2288">
        <f t="shared" ref="B7" si="24">B8*(1+N7)</f>
        <v>510.07089659554606</v>
      </c>
      <c r="C7" s="2288">
        <f t="shared" ref="C7" si="25">C8*(1+O7)</f>
        <v>352.55593185737411</v>
      </c>
      <c r="D7" s="2288">
        <f t="shared" ref="D7" si="26">C7</f>
        <v>352.55593185737411</v>
      </c>
      <c r="E7" s="2288">
        <f t="shared" ref="E7" si="27">E8*(1+P7)</f>
        <v>737.27992463403655</v>
      </c>
      <c r="F7" s="2288">
        <f t="shared" ref="F7" si="28">F8*(1+Q7)</f>
        <v>335.88319198297864</v>
      </c>
      <c r="G7" s="3263">
        <v>2022</v>
      </c>
      <c r="H7" s="2289">
        <v>3</v>
      </c>
      <c r="I7" s="3077">
        <v>0</v>
      </c>
      <c r="J7" s="3077">
        <v>0</v>
      </c>
      <c r="K7" s="3077">
        <v>0</v>
      </c>
      <c r="L7" s="3078">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1.6585000000000001</v>
      </c>
      <c r="Y7" s="2291">
        <f>ROUND(SUMPRODUCT(PRODUCT(1+O7:O$40)),4)</f>
        <v>1.3676999999999999</v>
      </c>
      <c r="Z7" s="2291">
        <f t="shared" ref="Z7" si="33">Y7</f>
        <v>1.3676999999999999</v>
      </c>
      <c r="AA7" s="2291">
        <f>ROUND(SUMPRODUCT(PRODUCT(1+P7:P$40)),4)</f>
        <v>1.7434000000000001</v>
      </c>
      <c r="AB7" s="2291">
        <f>ROUND(SUMPRODUCT(PRODUCT(1+Q7:Q$40)),4)</f>
        <v>1.4609000000000001</v>
      </c>
      <c r="AC7" s="2291"/>
      <c r="AD7" s="2293">
        <f>ROUND(AVERAGE(I7:I$41)/100,4)</f>
        <v>1.55E-2</v>
      </c>
      <c r="AE7" s="2293">
        <f>ROUND(AVERAGE(J7:J$41)/100,4)</f>
        <v>9.7000000000000003E-3</v>
      </c>
      <c r="AF7" s="2293">
        <f t="shared" ref="AF7" si="34">AE7</f>
        <v>9.7000000000000003E-3</v>
      </c>
      <c r="AG7" s="2293">
        <f>ROUND(AVERAGE(K7:K$41)/100,4)</f>
        <v>1.7100000000000001E-2</v>
      </c>
      <c r="AH7" s="2293">
        <f>ROUND(AVERAGE(L7:L$41)/100,4)</f>
        <v>1.1299999999999999E-2</v>
      </c>
    </row>
    <row r="8" spans="1:34" s="2294" customFormat="1" ht="14.45" customHeight="1">
      <c r="A8" s="2287" t="s">
        <v>2797</v>
      </c>
      <c r="B8" s="2288">
        <f t="shared" ref="B8" si="35">B9*(1+N8)</f>
        <v>510.07089659554606</v>
      </c>
      <c r="C8" s="2288">
        <f t="shared" ref="C8" si="36">C9*(1+O8)</f>
        <v>352.55593185737411</v>
      </c>
      <c r="D8" s="2288">
        <f t="shared" ref="D8" si="37">C8</f>
        <v>352.55593185737411</v>
      </c>
      <c r="E8" s="2288">
        <f t="shared" ref="E8" si="38">E9*(1+P8)</f>
        <v>737.27992463403655</v>
      </c>
      <c r="F8" s="2288">
        <f t="shared" ref="F8" si="39">F9*(1+Q8)</f>
        <v>335.88319198297864</v>
      </c>
      <c r="G8" s="3263">
        <v>2022</v>
      </c>
      <c r="H8" s="2289">
        <v>2</v>
      </c>
      <c r="I8" s="3077">
        <v>0</v>
      </c>
      <c r="J8" s="3077">
        <v>0</v>
      </c>
      <c r="K8" s="3077">
        <v>0</v>
      </c>
      <c r="L8" s="3078">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1.6585000000000001</v>
      </c>
      <c r="Y8" s="2291">
        <f>ROUND(SUMPRODUCT(PRODUCT(1+O8:O$40)),4)</f>
        <v>1.3676999999999999</v>
      </c>
      <c r="Z8" s="2291">
        <f t="shared" ref="Z8" si="44">Y8</f>
        <v>1.3676999999999999</v>
      </c>
      <c r="AA8" s="2291">
        <f>ROUND(SUMPRODUCT(PRODUCT(1+P8:P$40)),4)</f>
        <v>1.7434000000000001</v>
      </c>
      <c r="AB8" s="2291">
        <f>ROUND(SUMPRODUCT(PRODUCT(1+Q8:Q$40)),4)</f>
        <v>1.4609000000000001</v>
      </c>
      <c r="AC8" s="2291"/>
      <c r="AD8" s="2293">
        <f>ROUND(AVERAGE(I8:I$41)/100,4)</f>
        <v>1.6E-2</v>
      </c>
      <c r="AE8" s="2293">
        <f>ROUND(AVERAGE(J8:J$41)/100,4)</f>
        <v>0.01</v>
      </c>
      <c r="AF8" s="2293">
        <f t="shared" ref="AF8" si="45">AE8</f>
        <v>0.01</v>
      </c>
      <c r="AG8" s="2293">
        <f>ROUND(AVERAGE(K8:K$41)/100,4)</f>
        <v>1.7600000000000001E-2</v>
      </c>
      <c r="AH8" s="2293">
        <f>ROUND(AVERAGE(L8:L$41)/100,4)</f>
        <v>1.1599999999999999E-2</v>
      </c>
    </row>
    <row r="9" spans="1:34" s="2294" customFormat="1" ht="14.45" customHeight="1">
      <c r="A9" s="2287" t="s">
        <v>2796</v>
      </c>
      <c r="B9" s="2288">
        <f t="shared" ref="B9" si="46">B10*(1+N9)</f>
        <v>510.07089659554606</v>
      </c>
      <c r="C9" s="2288">
        <f t="shared" ref="C9" si="47">C10*(1+O9)</f>
        <v>352.55593185737411</v>
      </c>
      <c r="D9" s="2288">
        <f t="shared" ref="D9" si="48">C9</f>
        <v>352.55593185737411</v>
      </c>
      <c r="E9" s="2288">
        <f t="shared" ref="E9" si="49">E10*(1+P9)</f>
        <v>737.27992463403655</v>
      </c>
      <c r="F9" s="2288">
        <f t="shared" ref="F9" si="50">F10*(1+Q9)</f>
        <v>335.88319198297864</v>
      </c>
      <c r="G9" s="3263">
        <v>2022</v>
      </c>
      <c r="H9" s="2289">
        <v>1</v>
      </c>
      <c r="I9" s="3077">
        <v>0</v>
      </c>
      <c r="J9" s="3077">
        <v>0</v>
      </c>
      <c r="K9" s="3077">
        <v>0</v>
      </c>
      <c r="L9" s="3078">
        <v>0</v>
      </c>
      <c r="M9" s="2291"/>
      <c r="N9" s="2292">
        <f t="shared" ref="N9" si="51">I9/100</f>
        <v>0</v>
      </c>
      <c r="O9" s="2293">
        <f t="shared" ref="O9" si="52">J9/100</f>
        <v>0</v>
      </c>
      <c r="P9" s="2293">
        <f t="shared" ref="P9" si="53">K9/100</f>
        <v>0</v>
      </c>
      <c r="Q9" s="2293">
        <f t="shared" ref="Q9" si="54">L9/100</f>
        <v>0</v>
      </c>
      <c r="R9" s="2291"/>
      <c r="S9" s="2292">
        <f>B9/B10-1</f>
        <v>0</v>
      </c>
      <c r="T9" s="2293">
        <f>C9/C10-1</f>
        <v>0</v>
      </c>
      <c r="U9" s="2293">
        <f>E9/E10-1</f>
        <v>0</v>
      </c>
      <c r="V9" s="2293">
        <f>F9/F10-1</f>
        <v>0</v>
      </c>
      <c r="W9" s="2291"/>
      <c r="X9" s="2291">
        <f>ROUND(SUMPRODUCT(PRODUCT(1+N9:N$40)),4)</f>
        <v>1.6585000000000001</v>
      </c>
      <c r="Y9" s="2291">
        <f>ROUND(SUMPRODUCT(PRODUCT(1+O9:O$40)),4)</f>
        <v>1.3676999999999999</v>
      </c>
      <c r="Z9" s="2291">
        <f t="shared" ref="Z9" si="55">Y9</f>
        <v>1.3676999999999999</v>
      </c>
      <c r="AA9" s="2291">
        <f>ROUND(SUMPRODUCT(PRODUCT(1+P9:P$40)),4)</f>
        <v>1.7434000000000001</v>
      </c>
      <c r="AB9" s="2291">
        <f>ROUND(SUMPRODUCT(PRODUCT(1+Q9:Q$40)),4)</f>
        <v>1.4609000000000001</v>
      </c>
      <c r="AC9" s="2291"/>
      <c r="AD9" s="2293">
        <f>ROUND(AVERAGE(I9:I$41)/100,4)</f>
        <v>1.6400000000000001E-2</v>
      </c>
      <c r="AE9" s="2293">
        <f>ROUND(AVERAGE(J9:J$41)/100,4)</f>
        <v>1.03E-2</v>
      </c>
      <c r="AF9" s="2293">
        <f t="shared" ref="AF9" si="56">AE9</f>
        <v>1.03E-2</v>
      </c>
      <c r="AG9" s="2293">
        <f>ROUND(AVERAGE(K9:K$41)/100,4)</f>
        <v>1.8100000000000002E-2</v>
      </c>
      <c r="AH9" s="2293">
        <f>ROUND(AVERAGE(L9:L$41)/100,4)</f>
        <v>1.2E-2</v>
      </c>
    </row>
    <row r="10" spans="1:34" s="2294" customFormat="1" ht="14.45" customHeight="1">
      <c r="A10" s="2287" t="s">
        <v>2795</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2">
        <v>2021</v>
      </c>
      <c r="H10" s="2289">
        <v>4</v>
      </c>
      <c r="I10" s="3077">
        <v>1.03</v>
      </c>
      <c r="J10" s="3077">
        <v>0.24</v>
      </c>
      <c r="K10" s="3077">
        <v>1.17</v>
      </c>
      <c r="L10" s="3078">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5" customHeight="1">
      <c r="A11" s="2287" t="s">
        <v>2649</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79">
        <v>2021</v>
      </c>
      <c r="H11" s="2289">
        <v>3</v>
      </c>
      <c r="I11" s="3077">
        <v>0.47</v>
      </c>
      <c r="J11" s="3077">
        <v>0.41</v>
      </c>
      <c r="K11" s="3077">
        <v>0.48</v>
      </c>
      <c r="L11" s="3078">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5" customHeight="1">
      <c r="A12" s="2287" t="s">
        <v>2648</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6">
        <v>2021</v>
      </c>
      <c r="H12" s="2289">
        <v>2</v>
      </c>
      <c r="I12" s="3077">
        <v>0.92</v>
      </c>
      <c r="J12" s="3077">
        <v>0.72</v>
      </c>
      <c r="K12" s="3077">
        <v>0.95</v>
      </c>
      <c r="L12" s="3078">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5" customHeight="1">
      <c r="A13" s="2287" t="s">
        <v>2647</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5">
        <v>2021</v>
      </c>
      <c r="H13" s="2289">
        <v>1</v>
      </c>
      <c r="I13" s="3077">
        <v>0.97</v>
      </c>
      <c r="J13" s="3077">
        <v>0.16</v>
      </c>
      <c r="K13" s="3077">
        <v>1.1100000000000001</v>
      </c>
      <c r="L13" s="3078">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5" customHeight="1">
      <c r="A14" s="2287" t="s">
        <v>2641</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6">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5" customHeight="1">
      <c r="A15" s="2287" t="s">
        <v>2640</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5">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5" customHeight="1">
      <c r="A16" s="2287" t="s">
        <v>2495</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5" customHeight="1">
      <c r="A17" s="2287" t="s">
        <v>2492</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5" customHeight="1">
      <c r="A18" s="2287" t="s">
        <v>2490</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5" customHeight="1" thickBot="1">
      <c r="A19" s="2287" t="s">
        <v>2488</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5" customHeight="1">
      <c r="A20" s="2287" t="s">
        <v>2482</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5" customHeight="1" thickBot="1">
      <c r="A21" s="2287" t="s">
        <v>2483</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2477</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30">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5" customHeight="1">
      <c r="A23" s="2287" t="s">
        <v>2472</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30"/>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5" customHeight="1">
      <c r="A24" s="2287" t="s">
        <v>2471</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30"/>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2468</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39"/>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2465</v>
      </c>
      <c r="B26" s="2297">
        <v>439</v>
      </c>
      <c r="C26" s="2297">
        <v>327</v>
      </c>
      <c r="D26" s="2297">
        <f t="shared" si="213"/>
        <v>327</v>
      </c>
      <c r="E26" s="2297">
        <v>627</v>
      </c>
      <c r="F26" s="2298">
        <v>283</v>
      </c>
      <c r="G26" s="3735">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5" customHeight="1">
      <c r="A27" s="2287" t="s">
        <v>2463</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30"/>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5"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30"/>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39"/>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35">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30"/>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30"/>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5"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31"/>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5" thickBot="1">
      <c r="A34" s="2287" t="s">
        <v>101</v>
      </c>
      <c r="B34" s="2297">
        <v>333</v>
      </c>
      <c r="C34" s="2297">
        <v>277</v>
      </c>
      <c r="D34" s="2297">
        <f t="shared" si="238"/>
        <v>277</v>
      </c>
      <c r="E34" s="2297">
        <v>459</v>
      </c>
      <c r="F34" s="2298">
        <v>249</v>
      </c>
      <c r="G34" s="3729">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30"/>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30"/>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31"/>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5" thickBot="1">
      <c r="A38" s="2287" t="s">
        <v>97</v>
      </c>
      <c r="B38" s="2319">
        <v>318</v>
      </c>
      <c r="C38" s="2319">
        <v>268</v>
      </c>
      <c r="D38" s="2319">
        <f t="shared" si="238"/>
        <v>268</v>
      </c>
      <c r="E38" s="2319">
        <v>437</v>
      </c>
      <c r="F38" s="2320">
        <v>237</v>
      </c>
      <c r="G38" s="3729">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30"/>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5"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30"/>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5"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31"/>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5" thickBot="1">
      <c r="A42" s="2287" t="s">
        <v>800</v>
      </c>
      <c r="B42" s="2297">
        <v>299</v>
      </c>
      <c r="C42" s="2297">
        <v>252</v>
      </c>
      <c r="D42" s="2297">
        <f t="shared" si="238"/>
        <v>252</v>
      </c>
      <c r="E42" s="2297">
        <v>409</v>
      </c>
      <c r="F42" s="2298">
        <v>227</v>
      </c>
      <c r="G42" s="3736">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37"/>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37"/>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38"/>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5" thickBot="1">
      <c r="A46" s="2287" t="s">
        <v>804</v>
      </c>
      <c r="B46" s="2340">
        <v>278</v>
      </c>
      <c r="C46" s="2340">
        <v>234</v>
      </c>
      <c r="D46" s="2340">
        <f t="shared" si="238"/>
        <v>234</v>
      </c>
      <c r="E46" s="2340">
        <v>379</v>
      </c>
      <c r="F46" s="2341">
        <v>220</v>
      </c>
      <c r="G46" s="3729">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30"/>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30"/>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5" thickBot="1">
      <c r="A49" s="2287" t="s">
        <v>807</v>
      </c>
      <c r="B49" s="2304">
        <f>B48/(1+N48)</f>
        <v>275.19025476197027</v>
      </c>
      <c r="C49" s="2342">
        <v>232</v>
      </c>
      <c r="D49" s="2342">
        <f t="shared" si="238"/>
        <v>232</v>
      </c>
      <c r="E49" s="2304">
        <f t="shared" si="249"/>
        <v>375.65990977608692</v>
      </c>
      <c r="F49" s="2304">
        <f t="shared" si="249"/>
        <v>214.12518283971252</v>
      </c>
      <c r="G49" s="3731"/>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5" thickBot="1">
      <c r="A50" s="2287" t="s">
        <v>808</v>
      </c>
      <c r="B50" s="2297">
        <v>275</v>
      </c>
      <c r="C50" s="2297">
        <v>232</v>
      </c>
      <c r="D50" s="2297">
        <f t="shared" si="238"/>
        <v>232</v>
      </c>
      <c r="E50" s="2297">
        <v>376</v>
      </c>
      <c r="F50" s="2298">
        <v>213</v>
      </c>
      <c r="G50" s="3729">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30">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30">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5"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31">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5" thickBot="1">
      <c r="A54" s="2287" t="s">
        <v>812</v>
      </c>
      <c r="B54" s="2297">
        <v>269</v>
      </c>
      <c r="C54" s="2297">
        <v>221</v>
      </c>
      <c r="D54" s="2297">
        <f t="shared" si="238"/>
        <v>221</v>
      </c>
      <c r="E54" s="2297">
        <v>373</v>
      </c>
      <c r="F54" s="2298">
        <v>196</v>
      </c>
      <c r="G54" s="3729">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30">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30">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5"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31">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5" thickBot="1">
      <c r="A58" s="2287" t="s">
        <v>816</v>
      </c>
      <c r="B58" s="2297">
        <v>220</v>
      </c>
      <c r="C58" s="2297">
        <v>187</v>
      </c>
      <c r="D58" s="2297">
        <f t="shared" si="238"/>
        <v>187</v>
      </c>
      <c r="E58" s="2297">
        <v>301</v>
      </c>
      <c r="F58" s="2298">
        <v>168</v>
      </c>
      <c r="G58" s="3729">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30">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30">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31">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5" thickBot="1">
      <c r="A62" s="2287" t="s">
        <v>820</v>
      </c>
      <c r="B62" s="2340">
        <v>214</v>
      </c>
      <c r="C62" s="2340">
        <v>188</v>
      </c>
      <c r="D62" s="2340">
        <f t="shared" si="238"/>
        <v>188</v>
      </c>
      <c r="E62" s="2340">
        <v>289</v>
      </c>
      <c r="F62" s="2341">
        <v>166</v>
      </c>
      <c r="G62" s="3729">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30">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30">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5"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31">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5" thickBot="1">
      <c r="A66" s="2287" t="s">
        <v>824</v>
      </c>
      <c r="B66" s="2297">
        <v>188</v>
      </c>
      <c r="C66" s="2297">
        <v>165</v>
      </c>
      <c r="D66" s="2297">
        <f t="shared" si="238"/>
        <v>165</v>
      </c>
      <c r="E66" s="2297">
        <v>254</v>
      </c>
      <c r="F66" s="2298">
        <v>148</v>
      </c>
      <c r="G66" s="3729">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30">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30">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31">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5" thickBot="1">
      <c r="A70" s="2287" t="s">
        <v>828</v>
      </c>
      <c r="B70" s="2319">
        <v>159</v>
      </c>
      <c r="C70" s="2319">
        <v>141</v>
      </c>
      <c r="D70" s="2319">
        <f t="shared" si="238"/>
        <v>141</v>
      </c>
      <c r="E70" s="2319">
        <v>195</v>
      </c>
      <c r="F70" s="2320">
        <v>122</v>
      </c>
      <c r="G70" s="3729">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30">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30">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31">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5" thickBot="1">
      <c r="A74" s="2287" t="s">
        <v>832</v>
      </c>
      <c r="B74" s="2319">
        <v>138</v>
      </c>
      <c r="C74" s="2319">
        <v>131</v>
      </c>
      <c r="D74" s="2319">
        <f t="shared" si="238"/>
        <v>131</v>
      </c>
      <c r="E74" s="2319">
        <v>155</v>
      </c>
      <c r="F74" s="2320">
        <v>114</v>
      </c>
      <c r="G74" s="3729">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30">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30">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31">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5" thickBot="1">
      <c r="A78" s="2287" t="s">
        <v>836</v>
      </c>
      <c r="B78" s="2340">
        <v>121</v>
      </c>
      <c r="C78" s="2340">
        <v>122</v>
      </c>
      <c r="D78" s="2340">
        <f t="shared" si="238"/>
        <v>122</v>
      </c>
      <c r="E78" s="2340">
        <v>124</v>
      </c>
      <c r="F78" s="2341">
        <v>107</v>
      </c>
      <c r="G78" s="3729">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30">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30">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5"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31">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5" thickBot="1">
      <c r="A82" s="2287" t="s">
        <v>840</v>
      </c>
      <c r="B82" s="2360">
        <v>111</v>
      </c>
      <c r="C82" s="2360">
        <v>114</v>
      </c>
      <c r="D82" s="2360">
        <f t="shared" si="238"/>
        <v>114</v>
      </c>
      <c r="E82" s="2360">
        <v>108</v>
      </c>
      <c r="F82" s="2361">
        <v>104</v>
      </c>
      <c r="G82" s="3729">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30">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30">
        <v>2003</v>
      </c>
      <c r="H84" s="2307">
        <v>2</v>
      </c>
      <c r="I84" s="2362"/>
      <c r="J84" s="2362"/>
      <c r="K84" s="2362"/>
      <c r="L84" s="2362"/>
      <c r="X84" s="2354"/>
      <c r="Y84" s="2354"/>
      <c r="Z84" s="2354"/>
    </row>
    <row r="85" spans="1:26" ht="13.5" thickBot="1">
      <c r="A85" s="2287" t="s">
        <v>843</v>
      </c>
      <c r="B85" s="2364">
        <f t="shared" si="274"/>
        <v>107.25</v>
      </c>
      <c r="C85" s="2364">
        <f t="shared" si="274"/>
        <v>108.75</v>
      </c>
      <c r="D85" s="2364">
        <f t="shared" si="238"/>
        <v>108.75</v>
      </c>
      <c r="E85" s="2364">
        <f t="shared" si="275"/>
        <v>105.75</v>
      </c>
      <c r="F85" s="2364">
        <f t="shared" si="275"/>
        <v>102.5</v>
      </c>
      <c r="G85" s="3731">
        <v>2003</v>
      </c>
      <c r="H85" s="2365">
        <v>1</v>
      </c>
      <c r="I85" s="2362"/>
      <c r="J85" s="2362"/>
      <c r="K85" s="2362"/>
      <c r="L85" s="2362"/>
      <c r="S85" s="2305"/>
      <c r="T85" s="2284"/>
      <c r="U85" s="2284"/>
      <c r="X85" s="2354"/>
      <c r="Y85" s="2354"/>
      <c r="Z85" s="2354"/>
    </row>
    <row r="86" spans="1:26" ht="13.5" thickBot="1">
      <c r="A86" s="2287" t="s">
        <v>844</v>
      </c>
      <c r="B86" s="2366">
        <v>106</v>
      </c>
      <c r="C86" s="2366">
        <v>107</v>
      </c>
      <c r="D86" s="2366">
        <f t="shared" si="238"/>
        <v>107</v>
      </c>
      <c r="E86" s="2366">
        <v>105</v>
      </c>
      <c r="F86" s="2367">
        <v>102</v>
      </c>
      <c r="G86" s="3729">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30">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30">
        <v>2002</v>
      </c>
      <c r="H88" s="2307">
        <v>2</v>
      </c>
      <c r="I88" s="2362"/>
      <c r="J88" s="2362"/>
      <c r="K88" s="2362"/>
      <c r="L88" s="2362"/>
      <c r="X88" s="2354"/>
      <c r="Y88" s="2354"/>
      <c r="Z88" s="2354"/>
    </row>
    <row r="89" spans="1:26" s="2327" customFormat="1" ht="13.5" thickBot="1">
      <c r="A89" s="2323" t="s">
        <v>847</v>
      </c>
      <c r="B89" s="2330">
        <f t="shared" si="276"/>
        <v>103</v>
      </c>
      <c r="C89" s="2330">
        <f t="shared" si="276"/>
        <v>104</v>
      </c>
      <c r="D89" s="2330">
        <f t="shared" si="238"/>
        <v>104</v>
      </c>
      <c r="E89" s="2330">
        <f t="shared" si="277"/>
        <v>103.5</v>
      </c>
      <c r="F89" s="2330">
        <f t="shared" si="277"/>
        <v>100.5</v>
      </c>
      <c r="G89" s="3731">
        <v>2002</v>
      </c>
      <c r="H89" s="2368">
        <v>1</v>
      </c>
      <c r="I89" s="2369"/>
      <c r="J89" s="2369"/>
      <c r="K89" s="2369"/>
      <c r="L89" s="2369"/>
      <c r="N89" s="2370"/>
      <c r="S89" s="2370"/>
      <c r="X89" s="2371"/>
      <c r="Y89" s="2371"/>
      <c r="Z89" s="2371"/>
    </row>
    <row r="90" spans="1:26" ht="13.5"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5"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5"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X1:AB1"/>
    <mergeCell ref="AD1:AH1"/>
    <mergeCell ref="G46:G49"/>
    <mergeCell ref="B1:F1"/>
    <mergeCell ref="G1:L1"/>
    <mergeCell ref="N1:Q1"/>
    <mergeCell ref="S1:V1"/>
    <mergeCell ref="G30:G33"/>
    <mergeCell ref="G34:G37"/>
    <mergeCell ref="G38:G41"/>
    <mergeCell ref="G42:G45"/>
    <mergeCell ref="G22:G25"/>
    <mergeCell ref="G26:G29"/>
    <mergeCell ref="G74:G77"/>
    <mergeCell ref="G78:G81"/>
    <mergeCell ref="G82:G85"/>
    <mergeCell ref="G86:G89"/>
    <mergeCell ref="G50:G53"/>
    <mergeCell ref="G54:G57"/>
    <mergeCell ref="G58:G61"/>
    <mergeCell ref="G62:G65"/>
    <mergeCell ref="G66:G69"/>
    <mergeCell ref="G70:G73"/>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B14" sqref="B14:H14"/>
    </sheetView>
  </sheetViews>
  <sheetFormatPr defaultRowHeight="13.5"/>
  <cols>
    <col min="1" max="1" width="4.875" style="1166" customWidth="1"/>
    <col min="2" max="2" width="13.25" style="1172" customWidth="1"/>
    <col min="3" max="3" width="15.625" style="1172" customWidth="1"/>
    <col min="4" max="4" width="9.375" style="1172" bestFit="1" customWidth="1"/>
    <col min="5" max="5" width="13.5" style="1172" customWidth="1"/>
    <col min="6" max="6" width="9" style="1172"/>
    <col min="7" max="7" width="9.375" style="1172" bestFit="1" customWidth="1"/>
    <col min="8" max="8" width="11.5" style="1172" customWidth="1"/>
    <col min="9" max="9" width="9" style="1172"/>
    <col min="10" max="10" width="9.375" style="1172" bestFit="1" customWidth="1"/>
    <col min="11" max="11" width="4" style="1166" customWidth="1"/>
    <col min="12" max="12" width="5.125" style="1172" customWidth="1"/>
    <col min="13" max="13" width="13.75" style="1172" customWidth="1"/>
    <col min="14" max="256" width="9" style="1172"/>
    <col min="257" max="257" width="4.875" style="1163" customWidth="1"/>
    <col min="258" max="258" width="13.25" style="1163" customWidth="1"/>
    <col min="259" max="259" width="15.625" style="1163" customWidth="1"/>
    <col min="260" max="260" width="9.375" style="1163" bestFit="1" customWidth="1"/>
    <col min="261" max="261" width="13.5" style="1163" customWidth="1"/>
    <col min="262" max="262" width="9" style="1163"/>
    <col min="263" max="263" width="9.375" style="1163" bestFit="1" customWidth="1"/>
    <col min="264" max="265" width="9" style="1163"/>
    <col min="266" max="266" width="9.375" style="1163" bestFit="1" customWidth="1"/>
    <col min="267" max="267" width="4" style="1163" customWidth="1"/>
    <col min="268" max="268" width="5.125" style="1163" customWidth="1"/>
    <col min="269" max="269" width="13.75" style="1163" customWidth="1"/>
    <col min="270" max="512" width="9" style="1163"/>
    <col min="513" max="513" width="4.875" style="1163" customWidth="1"/>
    <col min="514" max="514" width="13.25" style="1163" customWidth="1"/>
    <col min="515" max="515" width="15.625" style="1163" customWidth="1"/>
    <col min="516" max="516" width="9.375" style="1163" bestFit="1" customWidth="1"/>
    <col min="517" max="517" width="13.5" style="1163" customWidth="1"/>
    <col min="518" max="518" width="9" style="1163"/>
    <col min="519" max="519" width="9.375" style="1163" bestFit="1" customWidth="1"/>
    <col min="520" max="521" width="9" style="1163"/>
    <col min="522" max="522" width="9.375" style="1163" bestFit="1" customWidth="1"/>
    <col min="523" max="523" width="4" style="1163" customWidth="1"/>
    <col min="524" max="524" width="5.125" style="1163" customWidth="1"/>
    <col min="525" max="525" width="13.75" style="1163" customWidth="1"/>
    <col min="526" max="768" width="9" style="1163"/>
    <col min="769" max="769" width="4.875" style="1163" customWidth="1"/>
    <col min="770" max="770" width="13.25" style="1163" customWidth="1"/>
    <col min="771" max="771" width="15.625" style="1163" customWidth="1"/>
    <col min="772" max="772" width="9.375" style="1163" bestFit="1" customWidth="1"/>
    <col min="773" max="773" width="13.5" style="1163" customWidth="1"/>
    <col min="774" max="774" width="9" style="1163"/>
    <col min="775" max="775" width="9.375" style="1163" bestFit="1" customWidth="1"/>
    <col min="776" max="777" width="9" style="1163"/>
    <col min="778" max="778" width="9.375" style="1163" bestFit="1" customWidth="1"/>
    <col min="779" max="779" width="4" style="1163" customWidth="1"/>
    <col min="780" max="780" width="5.125" style="1163" customWidth="1"/>
    <col min="781" max="781" width="13.75" style="1163" customWidth="1"/>
    <col min="782" max="1024" width="9" style="1163"/>
    <col min="1025" max="1025" width="4.875" style="1163" customWidth="1"/>
    <col min="1026" max="1026" width="13.25" style="1163" customWidth="1"/>
    <col min="1027" max="1027" width="15.625" style="1163" customWidth="1"/>
    <col min="1028" max="1028" width="9.375" style="1163" bestFit="1" customWidth="1"/>
    <col min="1029" max="1029" width="13.5" style="1163" customWidth="1"/>
    <col min="1030" max="1030" width="9" style="1163"/>
    <col min="1031" max="1031" width="9.375" style="1163" bestFit="1" customWidth="1"/>
    <col min="1032" max="1033" width="9" style="1163"/>
    <col min="1034" max="1034" width="9.375" style="1163" bestFit="1" customWidth="1"/>
    <col min="1035" max="1035" width="4" style="1163" customWidth="1"/>
    <col min="1036" max="1036" width="5.125" style="1163" customWidth="1"/>
    <col min="1037" max="1037" width="13.75" style="1163" customWidth="1"/>
    <col min="1038" max="1280" width="9" style="1163"/>
    <col min="1281" max="1281" width="4.875" style="1163" customWidth="1"/>
    <col min="1282" max="1282" width="13.25" style="1163" customWidth="1"/>
    <col min="1283" max="1283" width="15.625" style="1163" customWidth="1"/>
    <col min="1284" max="1284" width="9.375" style="1163" bestFit="1" customWidth="1"/>
    <col min="1285" max="1285" width="13.5" style="1163" customWidth="1"/>
    <col min="1286" max="1286" width="9" style="1163"/>
    <col min="1287" max="1287" width="9.375" style="1163" bestFit="1" customWidth="1"/>
    <col min="1288" max="1289" width="9" style="1163"/>
    <col min="1290" max="1290" width="9.375" style="1163" bestFit="1" customWidth="1"/>
    <col min="1291" max="1291" width="4" style="1163" customWidth="1"/>
    <col min="1292" max="1292" width="5.125" style="1163" customWidth="1"/>
    <col min="1293" max="1293" width="13.75" style="1163" customWidth="1"/>
    <col min="1294" max="1536" width="9" style="1163"/>
    <col min="1537" max="1537" width="4.875" style="1163" customWidth="1"/>
    <col min="1538" max="1538" width="13.25" style="1163" customWidth="1"/>
    <col min="1539" max="1539" width="15.625" style="1163" customWidth="1"/>
    <col min="1540" max="1540" width="9.375" style="1163" bestFit="1" customWidth="1"/>
    <col min="1541" max="1541" width="13.5" style="1163" customWidth="1"/>
    <col min="1542" max="1542" width="9" style="1163"/>
    <col min="1543" max="1543" width="9.375" style="1163" bestFit="1" customWidth="1"/>
    <col min="1544" max="1545" width="9" style="1163"/>
    <col min="1546" max="1546" width="9.375" style="1163" bestFit="1" customWidth="1"/>
    <col min="1547" max="1547" width="4" style="1163" customWidth="1"/>
    <col min="1548" max="1548" width="5.125" style="1163" customWidth="1"/>
    <col min="1549" max="1549" width="13.75" style="1163" customWidth="1"/>
    <col min="1550" max="1792" width="9" style="1163"/>
    <col min="1793" max="1793" width="4.875" style="1163" customWidth="1"/>
    <col min="1794" max="1794" width="13.25" style="1163" customWidth="1"/>
    <col min="1795" max="1795" width="15.625" style="1163" customWidth="1"/>
    <col min="1796" max="1796" width="9.375" style="1163" bestFit="1" customWidth="1"/>
    <col min="1797" max="1797" width="13.5" style="1163" customWidth="1"/>
    <col min="1798" max="1798" width="9" style="1163"/>
    <col min="1799" max="1799" width="9.375" style="1163" bestFit="1" customWidth="1"/>
    <col min="1800" max="1801" width="9" style="1163"/>
    <col min="1802" max="1802" width="9.375" style="1163" bestFit="1" customWidth="1"/>
    <col min="1803" max="1803" width="4" style="1163" customWidth="1"/>
    <col min="1804" max="1804" width="5.125" style="1163" customWidth="1"/>
    <col min="1805" max="1805" width="13.75" style="1163" customWidth="1"/>
    <col min="1806" max="2048" width="9" style="1163"/>
    <col min="2049" max="2049" width="4.875" style="1163" customWidth="1"/>
    <col min="2050" max="2050" width="13.25" style="1163" customWidth="1"/>
    <col min="2051" max="2051" width="15.625" style="1163" customWidth="1"/>
    <col min="2052" max="2052" width="9.375" style="1163" bestFit="1" customWidth="1"/>
    <col min="2053" max="2053" width="13.5" style="1163" customWidth="1"/>
    <col min="2054" max="2054" width="9" style="1163"/>
    <col min="2055" max="2055" width="9.375" style="1163" bestFit="1" customWidth="1"/>
    <col min="2056" max="2057" width="9" style="1163"/>
    <col min="2058" max="2058" width="9.375" style="1163" bestFit="1" customWidth="1"/>
    <col min="2059" max="2059" width="4" style="1163" customWidth="1"/>
    <col min="2060" max="2060" width="5.125" style="1163" customWidth="1"/>
    <col min="2061" max="2061" width="13.75" style="1163" customWidth="1"/>
    <col min="2062" max="2304" width="9" style="1163"/>
    <col min="2305" max="2305" width="4.875" style="1163" customWidth="1"/>
    <col min="2306" max="2306" width="13.25" style="1163" customWidth="1"/>
    <col min="2307" max="2307" width="15.625" style="1163" customWidth="1"/>
    <col min="2308" max="2308" width="9.375" style="1163" bestFit="1" customWidth="1"/>
    <col min="2309" max="2309" width="13.5" style="1163" customWidth="1"/>
    <col min="2310" max="2310" width="9" style="1163"/>
    <col min="2311" max="2311" width="9.375" style="1163" bestFit="1" customWidth="1"/>
    <col min="2312" max="2313" width="9" style="1163"/>
    <col min="2314" max="2314" width="9.375" style="1163" bestFit="1" customWidth="1"/>
    <col min="2315" max="2315" width="4" style="1163" customWidth="1"/>
    <col min="2316" max="2316" width="5.125" style="1163" customWidth="1"/>
    <col min="2317" max="2317" width="13.75" style="1163" customWidth="1"/>
    <col min="2318" max="2560" width="9" style="1163"/>
    <col min="2561" max="2561" width="4.875" style="1163" customWidth="1"/>
    <col min="2562" max="2562" width="13.25" style="1163" customWidth="1"/>
    <col min="2563" max="2563" width="15.625" style="1163" customWidth="1"/>
    <col min="2564" max="2564" width="9.375" style="1163" bestFit="1" customWidth="1"/>
    <col min="2565" max="2565" width="13.5" style="1163" customWidth="1"/>
    <col min="2566" max="2566" width="9" style="1163"/>
    <col min="2567" max="2567" width="9.375" style="1163" bestFit="1" customWidth="1"/>
    <col min="2568" max="2569" width="9" style="1163"/>
    <col min="2570" max="2570" width="9.375" style="1163" bestFit="1" customWidth="1"/>
    <col min="2571" max="2571" width="4" style="1163" customWidth="1"/>
    <col min="2572" max="2572" width="5.125" style="1163" customWidth="1"/>
    <col min="2573" max="2573" width="13.75" style="1163" customWidth="1"/>
    <col min="2574" max="2816" width="9" style="1163"/>
    <col min="2817" max="2817" width="4.875" style="1163" customWidth="1"/>
    <col min="2818" max="2818" width="13.25" style="1163" customWidth="1"/>
    <col min="2819" max="2819" width="15.625" style="1163" customWidth="1"/>
    <col min="2820" max="2820" width="9.375" style="1163" bestFit="1" customWidth="1"/>
    <col min="2821" max="2821" width="13.5" style="1163" customWidth="1"/>
    <col min="2822" max="2822" width="9" style="1163"/>
    <col min="2823" max="2823" width="9.375" style="1163" bestFit="1" customWidth="1"/>
    <col min="2824" max="2825" width="9" style="1163"/>
    <col min="2826" max="2826" width="9.375" style="1163" bestFit="1" customWidth="1"/>
    <col min="2827" max="2827" width="4" style="1163" customWidth="1"/>
    <col min="2828" max="2828" width="5.125" style="1163" customWidth="1"/>
    <col min="2829" max="2829" width="13.75" style="1163" customWidth="1"/>
    <col min="2830" max="3072" width="9" style="1163"/>
    <col min="3073" max="3073" width="4.875" style="1163" customWidth="1"/>
    <col min="3074" max="3074" width="13.25" style="1163" customWidth="1"/>
    <col min="3075" max="3075" width="15.625" style="1163" customWidth="1"/>
    <col min="3076" max="3076" width="9.375" style="1163" bestFit="1" customWidth="1"/>
    <col min="3077" max="3077" width="13.5" style="1163" customWidth="1"/>
    <col min="3078" max="3078" width="9" style="1163"/>
    <col min="3079" max="3079" width="9.375" style="1163" bestFit="1" customWidth="1"/>
    <col min="3080" max="3081" width="9" style="1163"/>
    <col min="3082" max="3082" width="9.375" style="1163" bestFit="1" customWidth="1"/>
    <col min="3083" max="3083" width="4" style="1163" customWidth="1"/>
    <col min="3084" max="3084" width="5.125" style="1163" customWidth="1"/>
    <col min="3085" max="3085" width="13.75" style="1163" customWidth="1"/>
    <col min="3086" max="3328" width="9" style="1163"/>
    <col min="3329" max="3329" width="4.875" style="1163" customWidth="1"/>
    <col min="3330" max="3330" width="13.25" style="1163" customWidth="1"/>
    <col min="3331" max="3331" width="15.625" style="1163" customWidth="1"/>
    <col min="3332" max="3332" width="9.375" style="1163" bestFit="1" customWidth="1"/>
    <col min="3333" max="3333" width="13.5" style="1163" customWidth="1"/>
    <col min="3334" max="3334" width="9" style="1163"/>
    <col min="3335" max="3335" width="9.375" style="1163" bestFit="1" customWidth="1"/>
    <col min="3336" max="3337" width="9" style="1163"/>
    <col min="3338" max="3338" width="9.375" style="1163" bestFit="1" customWidth="1"/>
    <col min="3339" max="3339" width="4" style="1163" customWidth="1"/>
    <col min="3340" max="3340" width="5.125" style="1163" customWidth="1"/>
    <col min="3341" max="3341" width="13.75" style="1163" customWidth="1"/>
    <col min="3342" max="3584" width="9" style="1163"/>
    <col min="3585" max="3585" width="4.875" style="1163" customWidth="1"/>
    <col min="3586" max="3586" width="13.25" style="1163" customWidth="1"/>
    <col min="3587" max="3587" width="15.625" style="1163" customWidth="1"/>
    <col min="3588" max="3588" width="9.375" style="1163" bestFit="1" customWidth="1"/>
    <col min="3589" max="3589" width="13.5" style="1163" customWidth="1"/>
    <col min="3590" max="3590" width="9" style="1163"/>
    <col min="3591" max="3591" width="9.375" style="1163" bestFit="1" customWidth="1"/>
    <col min="3592" max="3593" width="9" style="1163"/>
    <col min="3594" max="3594" width="9.375" style="1163" bestFit="1" customWidth="1"/>
    <col min="3595" max="3595" width="4" style="1163" customWidth="1"/>
    <col min="3596" max="3596" width="5.125" style="1163" customWidth="1"/>
    <col min="3597" max="3597" width="13.75" style="1163" customWidth="1"/>
    <col min="3598" max="3840" width="9" style="1163"/>
    <col min="3841" max="3841" width="4.875" style="1163" customWidth="1"/>
    <col min="3842" max="3842" width="13.25" style="1163" customWidth="1"/>
    <col min="3843" max="3843" width="15.625" style="1163" customWidth="1"/>
    <col min="3844" max="3844" width="9.375" style="1163" bestFit="1" customWidth="1"/>
    <col min="3845" max="3845" width="13.5" style="1163" customWidth="1"/>
    <col min="3846" max="3846" width="9" style="1163"/>
    <col min="3847" max="3847" width="9.375" style="1163" bestFit="1" customWidth="1"/>
    <col min="3848" max="3849" width="9" style="1163"/>
    <col min="3850" max="3850" width="9.375" style="1163" bestFit="1" customWidth="1"/>
    <col min="3851" max="3851" width="4" style="1163" customWidth="1"/>
    <col min="3852" max="3852" width="5.125" style="1163" customWidth="1"/>
    <col min="3853" max="3853" width="13.75" style="1163" customWidth="1"/>
    <col min="3854" max="4096" width="9" style="1163"/>
    <col min="4097" max="4097" width="4.875" style="1163" customWidth="1"/>
    <col min="4098" max="4098" width="13.25" style="1163" customWidth="1"/>
    <col min="4099" max="4099" width="15.625" style="1163" customWidth="1"/>
    <col min="4100" max="4100" width="9.375" style="1163" bestFit="1" customWidth="1"/>
    <col min="4101" max="4101" width="13.5" style="1163" customWidth="1"/>
    <col min="4102" max="4102" width="9" style="1163"/>
    <col min="4103" max="4103" width="9.375" style="1163" bestFit="1" customWidth="1"/>
    <col min="4104" max="4105" width="9" style="1163"/>
    <col min="4106" max="4106" width="9.375" style="1163" bestFit="1" customWidth="1"/>
    <col min="4107" max="4107" width="4" style="1163" customWidth="1"/>
    <col min="4108" max="4108" width="5.125" style="1163" customWidth="1"/>
    <col min="4109" max="4109" width="13.75" style="1163" customWidth="1"/>
    <col min="4110" max="4352" width="9" style="1163"/>
    <col min="4353" max="4353" width="4.875" style="1163" customWidth="1"/>
    <col min="4354" max="4354" width="13.25" style="1163" customWidth="1"/>
    <col min="4355" max="4355" width="15.625" style="1163" customWidth="1"/>
    <col min="4356" max="4356" width="9.375" style="1163" bestFit="1" customWidth="1"/>
    <col min="4357" max="4357" width="13.5" style="1163" customWidth="1"/>
    <col min="4358" max="4358" width="9" style="1163"/>
    <col min="4359" max="4359" width="9.375" style="1163" bestFit="1" customWidth="1"/>
    <col min="4360" max="4361" width="9" style="1163"/>
    <col min="4362" max="4362" width="9.375" style="1163" bestFit="1" customWidth="1"/>
    <col min="4363" max="4363" width="4" style="1163" customWidth="1"/>
    <col min="4364" max="4364" width="5.125" style="1163" customWidth="1"/>
    <col min="4365" max="4365" width="13.75" style="1163" customWidth="1"/>
    <col min="4366" max="4608" width="9" style="1163"/>
    <col min="4609" max="4609" width="4.875" style="1163" customWidth="1"/>
    <col min="4610" max="4610" width="13.25" style="1163" customWidth="1"/>
    <col min="4611" max="4611" width="15.625" style="1163" customWidth="1"/>
    <col min="4612" max="4612" width="9.375" style="1163" bestFit="1" customWidth="1"/>
    <col min="4613" max="4613" width="13.5" style="1163" customWidth="1"/>
    <col min="4614" max="4614" width="9" style="1163"/>
    <col min="4615" max="4615" width="9.375" style="1163" bestFit="1" customWidth="1"/>
    <col min="4616" max="4617" width="9" style="1163"/>
    <col min="4618" max="4618" width="9.375" style="1163" bestFit="1" customWidth="1"/>
    <col min="4619" max="4619" width="4" style="1163" customWidth="1"/>
    <col min="4620" max="4620" width="5.125" style="1163" customWidth="1"/>
    <col min="4621" max="4621" width="13.75" style="1163" customWidth="1"/>
    <col min="4622" max="4864" width="9" style="1163"/>
    <col min="4865" max="4865" width="4.875" style="1163" customWidth="1"/>
    <col min="4866" max="4866" width="13.25" style="1163" customWidth="1"/>
    <col min="4867" max="4867" width="15.625" style="1163" customWidth="1"/>
    <col min="4868" max="4868" width="9.375" style="1163" bestFit="1" customWidth="1"/>
    <col min="4869" max="4869" width="13.5" style="1163" customWidth="1"/>
    <col min="4870" max="4870" width="9" style="1163"/>
    <col min="4871" max="4871" width="9.375" style="1163" bestFit="1" customWidth="1"/>
    <col min="4872" max="4873" width="9" style="1163"/>
    <col min="4874" max="4874" width="9.375" style="1163" bestFit="1" customWidth="1"/>
    <col min="4875" max="4875" width="4" style="1163" customWidth="1"/>
    <col min="4876" max="4876" width="5.125" style="1163" customWidth="1"/>
    <col min="4877" max="4877" width="13.75" style="1163" customWidth="1"/>
    <col min="4878" max="5120" width="9" style="1163"/>
    <col min="5121" max="5121" width="4.875" style="1163" customWidth="1"/>
    <col min="5122" max="5122" width="13.25" style="1163" customWidth="1"/>
    <col min="5123" max="5123" width="15.625" style="1163" customWidth="1"/>
    <col min="5124" max="5124" width="9.375" style="1163" bestFit="1" customWidth="1"/>
    <col min="5125" max="5125" width="13.5" style="1163" customWidth="1"/>
    <col min="5126" max="5126" width="9" style="1163"/>
    <col min="5127" max="5127" width="9.375" style="1163" bestFit="1" customWidth="1"/>
    <col min="5128" max="5129" width="9" style="1163"/>
    <col min="5130" max="5130" width="9.375" style="1163" bestFit="1" customWidth="1"/>
    <col min="5131" max="5131" width="4" style="1163" customWidth="1"/>
    <col min="5132" max="5132" width="5.125" style="1163" customWidth="1"/>
    <col min="5133" max="5133" width="13.75" style="1163" customWidth="1"/>
    <col min="5134" max="5376" width="9" style="1163"/>
    <col min="5377" max="5377" width="4.875" style="1163" customWidth="1"/>
    <col min="5378" max="5378" width="13.25" style="1163" customWidth="1"/>
    <col min="5379" max="5379" width="15.625" style="1163" customWidth="1"/>
    <col min="5380" max="5380" width="9.375" style="1163" bestFit="1" customWidth="1"/>
    <col min="5381" max="5381" width="13.5" style="1163" customWidth="1"/>
    <col min="5382" max="5382" width="9" style="1163"/>
    <col min="5383" max="5383" width="9.375" style="1163" bestFit="1" customWidth="1"/>
    <col min="5384" max="5385" width="9" style="1163"/>
    <col min="5386" max="5386" width="9.375" style="1163" bestFit="1" customWidth="1"/>
    <col min="5387" max="5387" width="4" style="1163" customWidth="1"/>
    <col min="5388" max="5388" width="5.125" style="1163" customWidth="1"/>
    <col min="5389" max="5389" width="13.75" style="1163" customWidth="1"/>
    <col min="5390" max="5632" width="9" style="1163"/>
    <col min="5633" max="5633" width="4.875" style="1163" customWidth="1"/>
    <col min="5634" max="5634" width="13.25" style="1163" customWidth="1"/>
    <col min="5635" max="5635" width="15.625" style="1163" customWidth="1"/>
    <col min="5636" max="5636" width="9.375" style="1163" bestFit="1" customWidth="1"/>
    <col min="5637" max="5637" width="13.5" style="1163" customWidth="1"/>
    <col min="5638" max="5638" width="9" style="1163"/>
    <col min="5639" max="5639" width="9.375" style="1163" bestFit="1" customWidth="1"/>
    <col min="5640" max="5641" width="9" style="1163"/>
    <col min="5642" max="5642" width="9.375" style="1163" bestFit="1" customWidth="1"/>
    <col min="5643" max="5643" width="4" style="1163" customWidth="1"/>
    <col min="5644" max="5644" width="5.125" style="1163" customWidth="1"/>
    <col min="5645" max="5645" width="13.75" style="1163" customWidth="1"/>
    <col min="5646" max="5888" width="9" style="1163"/>
    <col min="5889" max="5889" width="4.875" style="1163" customWidth="1"/>
    <col min="5890" max="5890" width="13.25" style="1163" customWidth="1"/>
    <col min="5891" max="5891" width="15.625" style="1163" customWidth="1"/>
    <col min="5892" max="5892" width="9.375" style="1163" bestFit="1" customWidth="1"/>
    <col min="5893" max="5893" width="13.5" style="1163" customWidth="1"/>
    <col min="5894" max="5894" width="9" style="1163"/>
    <col min="5895" max="5895" width="9.375" style="1163" bestFit="1" customWidth="1"/>
    <col min="5896" max="5897" width="9" style="1163"/>
    <col min="5898" max="5898" width="9.375" style="1163" bestFit="1" customWidth="1"/>
    <col min="5899" max="5899" width="4" style="1163" customWidth="1"/>
    <col min="5900" max="5900" width="5.125" style="1163" customWidth="1"/>
    <col min="5901" max="5901" width="13.75" style="1163" customWidth="1"/>
    <col min="5902" max="6144" width="9" style="1163"/>
    <col min="6145" max="6145" width="4.875" style="1163" customWidth="1"/>
    <col min="6146" max="6146" width="13.25" style="1163" customWidth="1"/>
    <col min="6147" max="6147" width="15.625" style="1163" customWidth="1"/>
    <col min="6148" max="6148" width="9.375" style="1163" bestFit="1" customWidth="1"/>
    <col min="6149" max="6149" width="13.5" style="1163" customWidth="1"/>
    <col min="6150" max="6150" width="9" style="1163"/>
    <col min="6151" max="6151" width="9.375" style="1163" bestFit="1" customWidth="1"/>
    <col min="6152" max="6153" width="9" style="1163"/>
    <col min="6154" max="6154" width="9.375" style="1163" bestFit="1" customWidth="1"/>
    <col min="6155" max="6155" width="4" style="1163" customWidth="1"/>
    <col min="6156" max="6156" width="5.125" style="1163" customWidth="1"/>
    <col min="6157" max="6157" width="13.75" style="1163" customWidth="1"/>
    <col min="6158" max="6400" width="9" style="1163"/>
    <col min="6401" max="6401" width="4.875" style="1163" customWidth="1"/>
    <col min="6402" max="6402" width="13.25" style="1163" customWidth="1"/>
    <col min="6403" max="6403" width="15.625" style="1163" customWidth="1"/>
    <col min="6404" max="6404" width="9.375" style="1163" bestFit="1" customWidth="1"/>
    <col min="6405" max="6405" width="13.5" style="1163" customWidth="1"/>
    <col min="6406" max="6406" width="9" style="1163"/>
    <col min="6407" max="6407" width="9.375" style="1163" bestFit="1" customWidth="1"/>
    <col min="6408" max="6409" width="9" style="1163"/>
    <col min="6410" max="6410" width="9.375" style="1163" bestFit="1" customWidth="1"/>
    <col min="6411" max="6411" width="4" style="1163" customWidth="1"/>
    <col min="6412" max="6412" width="5.125" style="1163" customWidth="1"/>
    <col min="6413" max="6413" width="13.75" style="1163" customWidth="1"/>
    <col min="6414" max="6656" width="9" style="1163"/>
    <col min="6657" max="6657" width="4.875" style="1163" customWidth="1"/>
    <col min="6658" max="6658" width="13.25" style="1163" customWidth="1"/>
    <col min="6659" max="6659" width="15.625" style="1163" customWidth="1"/>
    <col min="6660" max="6660" width="9.375" style="1163" bestFit="1" customWidth="1"/>
    <col min="6661" max="6661" width="13.5" style="1163" customWidth="1"/>
    <col min="6662" max="6662" width="9" style="1163"/>
    <col min="6663" max="6663" width="9.375" style="1163" bestFit="1" customWidth="1"/>
    <col min="6664" max="6665" width="9" style="1163"/>
    <col min="6666" max="6666" width="9.375" style="1163" bestFit="1" customWidth="1"/>
    <col min="6667" max="6667" width="4" style="1163" customWidth="1"/>
    <col min="6668" max="6668" width="5.125" style="1163" customWidth="1"/>
    <col min="6669" max="6669" width="13.75" style="1163" customWidth="1"/>
    <col min="6670" max="6912" width="9" style="1163"/>
    <col min="6913" max="6913" width="4.875" style="1163" customWidth="1"/>
    <col min="6914" max="6914" width="13.25" style="1163" customWidth="1"/>
    <col min="6915" max="6915" width="15.625" style="1163" customWidth="1"/>
    <col min="6916" max="6916" width="9.375" style="1163" bestFit="1" customWidth="1"/>
    <col min="6917" max="6917" width="13.5" style="1163" customWidth="1"/>
    <col min="6918" max="6918" width="9" style="1163"/>
    <col min="6919" max="6919" width="9.375" style="1163" bestFit="1" customWidth="1"/>
    <col min="6920" max="6921" width="9" style="1163"/>
    <col min="6922" max="6922" width="9.375" style="1163" bestFit="1" customWidth="1"/>
    <col min="6923" max="6923" width="4" style="1163" customWidth="1"/>
    <col min="6924" max="6924" width="5.125" style="1163" customWidth="1"/>
    <col min="6925" max="6925" width="13.75" style="1163" customWidth="1"/>
    <col min="6926" max="7168" width="9" style="1163"/>
    <col min="7169" max="7169" width="4.875" style="1163" customWidth="1"/>
    <col min="7170" max="7170" width="13.25" style="1163" customWidth="1"/>
    <col min="7171" max="7171" width="15.625" style="1163" customWidth="1"/>
    <col min="7172" max="7172" width="9.375" style="1163" bestFit="1" customWidth="1"/>
    <col min="7173" max="7173" width="13.5" style="1163" customWidth="1"/>
    <col min="7174" max="7174" width="9" style="1163"/>
    <col min="7175" max="7175" width="9.375" style="1163" bestFit="1" customWidth="1"/>
    <col min="7176" max="7177" width="9" style="1163"/>
    <col min="7178" max="7178" width="9.375" style="1163" bestFit="1" customWidth="1"/>
    <col min="7179" max="7179" width="4" style="1163" customWidth="1"/>
    <col min="7180" max="7180" width="5.125" style="1163" customWidth="1"/>
    <col min="7181" max="7181" width="13.75" style="1163" customWidth="1"/>
    <col min="7182" max="7424" width="9" style="1163"/>
    <col min="7425" max="7425" width="4.875" style="1163" customWidth="1"/>
    <col min="7426" max="7426" width="13.25" style="1163" customWidth="1"/>
    <col min="7427" max="7427" width="15.625" style="1163" customWidth="1"/>
    <col min="7428" max="7428" width="9.375" style="1163" bestFit="1" customWidth="1"/>
    <col min="7429" max="7429" width="13.5" style="1163" customWidth="1"/>
    <col min="7430" max="7430" width="9" style="1163"/>
    <col min="7431" max="7431" width="9.375" style="1163" bestFit="1" customWidth="1"/>
    <col min="7432" max="7433" width="9" style="1163"/>
    <col min="7434" max="7434" width="9.375" style="1163" bestFit="1" customWidth="1"/>
    <col min="7435" max="7435" width="4" style="1163" customWidth="1"/>
    <col min="7436" max="7436" width="5.125" style="1163" customWidth="1"/>
    <col min="7437" max="7437" width="13.75" style="1163" customWidth="1"/>
    <col min="7438" max="7680" width="9" style="1163"/>
    <col min="7681" max="7681" width="4.875" style="1163" customWidth="1"/>
    <col min="7682" max="7682" width="13.25" style="1163" customWidth="1"/>
    <col min="7683" max="7683" width="15.625" style="1163" customWidth="1"/>
    <col min="7684" max="7684" width="9.375" style="1163" bestFit="1" customWidth="1"/>
    <col min="7685" max="7685" width="13.5" style="1163" customWidth="1"/>
    <col min="7686" max="7686" width="9" style="1163"/>
    <col min="7687" max="7687" width="9.375" style="1163" bestFit="1" customWidth="1"/>
    <col min="7688" max="7689" width="9" style="1163"/>
    <col min="7690" max="7690" width="9.375" style="1163" bestFit="1" customWidth="1"/>
    <col min="7691" max="7691" width="4" style="1163" customWidth="1"/>
    <col min="7692" max="7692" width="5.125" style="1163" customWidth="1"/>
    <col min="7693" max="7693" width="13.75" style="1163" customWidth="1"/>
    <col min="7694" max="7936" width="9" style="1163"/>
    <col min="7937" max="7937" width="4.875" style="1163" customWidth="1"/>
    <col min="7938" max="7938" width="13.25" style="1163" customWidth="1"/>
    <col min="7939" max="7939" width="15.625" style="1163" customWidth="1"/>
    <col min="7940" max="7940" width="9.375" style="1163" bestFit="1" customWidth="1"/>
    <col min="7941" max="7941" width="13.5" style="1163" customWidth="1"/>
    <col min="7942" max="7942" width="9" style="1163"/>
    <col min="7943" max="7943" width="9.375" style="1163" bestFit="1" customWidth="1"/>
    <col min="7944" max="7945" width="9" style="1163"/>
    <col min="7946" max="7946" width="9.375" style="1163" bestFit="1" customWidth="1"/>
    <col min="7947" max="7947" width="4" style="1163" customWidth="1"/>
    <col min="7948" max="7948" width="5.125" style="1163" customWidth="1"/>
    <col min="7949" max="7949" width="13.75" style="1163" customWidth="1"/>
    <col min="7950" max="8192" width="9" style="1163"/>
    <col min="8193" max="8193" width="4.875" style="1163" customWidth="1"/>
    <col min="8194" max="8194" width="13.25" style="1163" customWidth="1"/>
    <col min="8195" max="8195" width="15.625" style="1163" customWidth="1"/>
    <col min="8196" max="8196" width="9.375" style="1163" bestFit="1" customWidth="1"/>
    <col min="8197" max="8197" width="13.5" style="1163" customWidth="1"/>
    <col min="8198" max="8198" width="9" style="1163"/>
    <col min="8199" max="8199" width="9.375" style="1163" bestFit="1" customWidth="1"/>
    <col min="8200" max="8201" width="9" style="1163"/>
    <col min="8202" max="8202" width="9.375" style="1163" bestFit="1" customWidth="1"/>
    <col min="8203" max="8203" width="4" style="1163" customWidth="1"/>
    <col min="8204" max="8204" width="5.125" style="1163" customWidth="1"/>
    <col min="8205" max="8205" width="13.75" style="1163" customWidth="1"/>
    <col min="8206" max="8448" width="9" style="1163"/>
    <col min="8449" max="8449" width="4.875" style="1163" customWidth="1"/>
    <col min="8450" max="8450" width="13.25" style="1163" customWidth="1"/>
    <col min="8451" max="8451" width="15.625" style="1163" customWidth="1"/>
    <col min="8452" max="8452" width="9.375" style="1163" bestFit="1" customWidth="1"/>
    <col min="8453" max="8453" width="13.5" style="1163" customWidth="1"/>
    <col min="8454" max="8454" width="9" style="1163"/>
    <col min="8455" max="8455" width="9.375" style="1163" bestFit="1" customWidth="1"/>
    <col min="8456" max="8457" width="9" style="1163"/>
    <col min="8458" max="8458" width="9.375" style="1163" bestFit="1" customWidth="1"/>
    <col min="8459" max="8459" width="4" style="1163" customWidth="1"/>
    <col min="8460" max="8460" width="5.125" style="1163" customWidth="1"/>
    <col min="8461" max="8461" width="13.75" style="1163" customWidth="1"/>
    <col min="8462" max="8704" width="9" style="1163"/>
    <col min="8705" max="8705" width="4.875" style="1163" customWidth="1"/>
    <col min="8706" max="8706" width="13.25" style="1163" customWidth="1"/>
    <col min="8707" max="8707" width="15.625" style="1163" customWidth="1"/>
    <col min="8708" max="8708" width="9.375" style="1163" bestFit="1" customWidth="1"/>
    <col min="8709" max="8709" width="13.5" style="1163" customWidth="1"/>
    <col min="8710" max="8710" width="9" style="1163"/>
    <col min="8711" max="8711" width="9.375" style="1163" bestFit="1" customWidth="1"/>
    <col min="8712" max="8713" width="9" style="1163"/>
    <col min="8714" max="8714" width="9.375" style="1163" bestFit="1" customWidth="1"/>
    <col min="8715" max="8715" width="4" style="1163" customWidth="1"/>
    <col min="8716" max="8716" width="5.125" style="1163" customWidth="1"/>
    <col min="8717" max="8717" width="13.75" style="1163" customWidth="1"/>
    <col min="8718" max="8960" width="9" style="1163"/>
    <col min="8961" max="8961" width="4.875" style="1163" customWidth="1"/>
    <col min="8962" max="8962" width="13.25" style="1163" customWidth="1"/>
    <col min="8963" max="8963" width="15.625" style="1163" customWidth="1"/>
    <col min="8964" max="8964" width="9.375" style="1163" bestFit="1" customWidth="1"/>
    <col min="8965" max="8965" width="13.5" style="1163" customWidth="1"/>
    <col min="8966" max="8966" width="9" style="1163"/>
    <col min="8967" max="8967" width="9.375" style="1163" bestFit="1" customWidth="1"/>
    <col min="8968" max="8969" width="9" style="1163"/>
    <col min="8970" max="8970" width="9.375" style="1163" bestFit="1" customWidth="1"/>
    <col min="8971" max="8971" width="4" style="1163" customWidth="1"/>
    <col min="8972" max="8972" width="5.125" style="1163" customWidth="1"/>
    <col min="8973" max="8973" width="13.75" style="1163" customWidth="1"/>
    <col min="8974" max="9216" width="9" style="1163"/>
    <col min="9217" max="9217" width="4.875" style="1163" customWidth="1"/>
    <col min="9218" max="9218" width="13.25" style="1163" customWidth="1"/>
    <col min="9219" max="9219" width="15.625" style="1163" customWidth="1"/>
    <col min="9220" max="9220" width="9.375" style="1163" bestFit="1" customWidth="1"/>
    <col min="9221" max="9221" width="13.5" style="1163" customWidth="1"/>
    <col min="9222" max="9222" width="9" style="1163"/>
    <col min="9223" max="9223" width="9.375" style="1163" bestFit="1" customWidth="1"/>
    <col min="9224" max="9225" width="9" style="1163"/>
    <col min="9226" max="9226" width="9.375" style="1163" bestFit="1" customWidth="1"/>
    <col min="9227" max="9227" width="4" style="1163" customWidth="1"/>
    <col min="9228" max="9228" width="5.125" style="1163" customWidth="1"/>
    <col min="9229" max="9229" width="13.75" style="1163" customWidth="1"/>
    <col min="9230" max="9472" width="9" style="1163"/>
    <col min="9473" max="9473" width="4.875" style="1163" customWidth="1"/>
    <col min="9474" max="9474" width="13.25" style="1163" customWidth="1"/>
    <col min="9475" max="9475" width="15.625" style="1163" customWidth="1"/>
    <col min="9476" max="9476" width="9.375" style="1163" bestFit="1" customWidth="1"/>
    <col min="9477" max="9477" width="13.5" style="1163" customWidth="1"/>
    <col min="9478" max="9478" width="9" style="1163"/>
    <col min="9479" max="9479" width="9.375" style="1163" bestFit="1" customWidth="1"/>
    <col min="9480" max="9481" width="9" style="1163"/>
    <col min="9482" max="9482" width="9.375" style="1163" bestFit="1" customWidth="1"/>
    <col min="9483" max="9483" width="4" style="1163" customWidth="1"/>
    <col min="9484" max="9484" width="5.125" style="1163" customWidth="1"/>
    <col min="9485" max="9485" width="13.75" style="1163" customWidth="1"/>
    <col min="9486" max="9728" width="9" style="1163"/>
    <col min="9729" max="9729" width="4.875" style="1163" customWidth="1"/>
    <col min="9730" max="9730" width="13.25" style="1163" customWidth="1"/>
    <col min="9731" max="9731" width="15.625" style="1163" customWidth="1"/>
    <col min="9732" max="9732" width="9.375" style="1163" bestFit="1" customWidth="1"/>
    <col min="9733" max="9733" width="13.5" style="1163" customWidth="1"/>
    <col min="9734" max="9734" width="9" style="1163"/>
    <col min="9735" max="9735" width="9.375" style="1163" bestFit="1" customWidth="1"/>
    <col min="9736" max="9737" width="9" style="1163"/>
    <col min="9738" max="9738" width="9.375" style="1163" bestFit="1" customWidth="1"/>
    <col min="9739" max="9739" width="4" style="1163" customWidth="1"/>
    <col min="9740" max="9740" width="5.125" style="1163" customWidth="1"/>
    <col min="9741" max="9741" width="13.75" style="1163" customWidth="1"/>
    <col min="9742" max="9984" width="9" style="1163"/>
    <col min="9985" max="9985" width="4.875" style="1163" customWidth="1"/>
    <col min="9986" max="9986" width="13.25" style="1163" customWidth="1"/>
    <col min="9987" max="9987" width="15.625" style="1163" customWidth="1"/>
    <col min="9988" max="9988" width="9.375" style="1163" bestFit="1" customWidth="1"/>
    <col min="9989" max="9989" width="13.5" style="1163" customWidth="1"/>
    <col min="9990" max="9990" width="9" style="1163"/>
    <col min="9991" max="9991" width="9.375" style="1163" bestFit="1" customWidth="1"/>
    <col min="9992" max="9993" width="9" style="1163"/>
    <col min="9994" max="9994" width="9.375" style="1163" bestFit="1" customWidth="1"/>
    <col min="9995" max="9995" width="4" style="1163" customWidth="1"/>
    <col min="9996" max="9996" width="5.125" style="1163" customWidth="1"/>
    <col min="9997" max="9997" width="13.75" style="1163" customWidth="1"/>
    <col min="9998" max="10240" width="9" style="1163"/>
    <col min="10241" max="10241" width="4.875" style="1163" customWidth="1"/>
    <col min="10242" max="10242" width="13.25" style="1163" customWidth="1"/>
    <col min="10243" max="10243" width="15.625" style="1163" customWidth="1"/>
    <col min="10244" max="10244" width="9.375" style="1163" bestFit="1" customWidth="1"/>
    <col min="10245" max="10245" width="13.5" style="1163" customWidth="1"/>
    <col min="10246" max="10246" width="9" style="1163"/>
    <col min="10247" max="10247" width="9.375" style="1163" bestFit="1" customWidth="1"/>
    <col min="10248" max="10249" width="9" style="1163"/>
    <col min="10250" max="10250" width="9.375" style="1163" bestFit="1" customWidth="1"/>
    <col min="10251" max="10251" width="4" style="1163" customWidth="1"/>
    <col min="10252" max="10252" width="5.125" style="1163" customWidth="1"/>
    <col min="10253" max="10253" width="13.75" style="1163" customWidth="1"/>
    <col min="10254" max="10496" width="9" style="1163"/>
    <col min="10497" max="10497" width="4.875" style="1163" customWidth="1"/>
    <col min="10498" max="10498" width="13.25" style="1163" customWidth="1"/>
    <col min="10499" max="10499" width="15.625" style="1163" customWidth="1"/>
    <col min="10500" max="10500" width="9.375" style="1163" bestFit="1" customWidth="1"/>
    <col min="10501" max="10501" width="13.5" style="1163" customWidth="1"/>
    <col min="10502" max="10502" width="9" style="1163"/>
    <col min="10503" max="10503" width="9.375" style="1163" bestFit="1" customWidth="1"/>
    <col min="10504" max="10505" width="9" style="1163"/>
    <col min="10506" max="10506" width="9.375" style="1163" bestFit="1" customWidth="1"/>
    <col min="10507" max="10507" width="4" style="1163" customWidth="1"/>
    <col min="10508" max="10508" width="5.125" style="1163" customWidth="1"/>
    <col min="10509" max="10509" width="13.75" style="1163" customWidth="1"/>
    <col min="10510" max="10752" width="9" style="1163"/>
    <col min="10753" max="10753" width="4.875" style="1163" customWidth="1"/>
    <col min="10754" max="10754" width="13.25" style="1163" customWidth="1"/>
    <col min="10755" max="10755" width="15.625" style="1163" customWidth="1"/>
    <col min="10756" max="10756" width="9.375" style="1163" bestFit="1" customWidth="1"/>
    <col min="10757" max="10757" width="13.5" style="1163" customWidth="1"/>
    <col min="10758" max="10758" width="9" style="1163"/>
    <col min="10759" max="10759" width="9.375" style="1163" bestFit="1" customWidth="1"/>
    <col min="10760" max="10761" width="9" style="1163"/>
    <col min="10762" max="10762" width="9.375" style="1163" bestFit="1" customWidth="1"/>
    <col min="10763" max="10763" width="4" style="1163" customWidth="1"/>
    <col min="10764" max="10764" width="5.125" style="1163" customWidth="1"/>
    <col min="10765" max="10765" width="13.75" style="1163" customWidth="1"/>
    <col min="10766" max="11008" width="9" style="1163"/>
    <col min="11009" max="11009" width="4.875" style="1163" customWidth="1"/>
    <col min="11010" max="11010" width="13.25" style="1163" customWidth="1"/>
    <col min="11011" max="11011" width="15.625" style="1163" customWidth="1"/>
    <col min="11012" max="11012" width="9.375" style="1163" bestFit="1" customWidth="1"/>
    <col min="11013" max="11013" width="13.5" style="1163" customWidth="1"/>
    <col min="11014" max="11014" width="9" style="1163"/>
    <col min="11015" max="11015" width="9.375" style="1163" bestFit="1" customWidth="1"/>
    <col min="11016" max="11017" width="9" style="1163"/>
    <col min="11018" max="11018" width="9.375" style="1163" bestFit="1" customWidth="1"/>
    <col min="11019" max="11019" width="4" style="1163" customWidth="1"/>
    <col min="11020" max="11020" width="5.125" style="1163" customWidth="1"/>
    <col min="11021" max="11021" width="13.75" style="1163" customWidth="1"/>
    <col min="11022" max="11264" width="9" style="1163"/>
    <col min="11265" max="11265" width="4.875" style="1163" customWidth="1"/>
    <col min="11266" max="11266" width="13.25" style="1163" customWidth="1"/>
    <col min="11267" max="11267" width="15.625" style="1163" customWidth="1"/>
    <col min="11268" max="11268" width="9.375" style="1163" bestFit="1" customWidth="1"/>
    <col min="11269" max="11269" width="13.5" style="1163" customWidth="1"/>
    <col min="11270" max="11270" width="9" style="1163"/>
    <col min="11271" max="11271" width="9.375" style="1163" bestFit="1" customWidth="1"/>
    <col min="11272" max="11273" width="9" style="1163"/>
    <col min="11274" max="11274" width="9.375" style="1163" bestFit="1" customWidth="1"/>
    <col min="11275" max="11275" width="4" style="1163" customWidth="1"/>
    <col min="11276" max="11276" width="5.125" style="1163" customWidth="1"/>
    <col min="11277" max="11277" width="13.75" style="1163" customWidth="1"/>
    <col min="11278" max="11520" width="9" style="1163"/>
    <col min="11521" max="11521" width="4.875" style="1163" customWidth="1"/>
    <col min="11522" max="11522" width="13.25" style="1163" customWidth="1"/>
    <col min="11523" max="11523" width="15.625" style="1163" customWidth="1"/>
    <col min="11524" max="11524" width="9.375" style="1163" bestFit="1" customWidth="1"/>
    <col min="11525" max="11525" width="13.5" style="1163" customWidth="1"/>
    <col min="11526" max="11526" width="9" style="1163"/>
    <col min="11527" max="11527" width="9.375" style="1163" bestFit="1" customWidth="1"/>
    <col min="11528" max="11529" width="9" style="1163"/>
    <col min="11530" max="11530" width="9.375" style="1163" bestFit="1" customWidth="1"/>
    <col min="11531" max="11531" width="4" style="1163" customWidth="1"/>
    <col min="11532" max="11532" width="5.125" style="1163" customWidth="1"/>
    <col min="11533" max="11533" width="13.75" style="1163" customWidth="1"/>
    <col min="11534" max="11776" width="9" style="1163"/>
    <col min="11777" max="11777" width="4.875" style="1163" customWidth="1"/>
    <col min="11778" max="11778" width="13.25" style="1163" customWidth="1"/>
    <col min="11779" max="11779" width="15.625" style="1163" customWidth="1"/>
    <col min="11780" max="11780" width="9.375" style="1163" bestFit="1" customWidth="1"/>
    <col min="11781" max="11781" width="13.5" style="1163" customWidth="1"/>
    <col min="11782" max="11782" width="9" style="1163"/>
    <col min="11783" max="11783" width="9.375" style="1163" bestFit="1" customWidth="1"/>
    <col min="11784" max="11785" width="9" style="1163"/>
    <col min="11786" max="11786" width="9.375" style="1163" bestFit="1" customWidth="1"/>
    <col min="11787" max="11787" width="4" style="1163" customWidth="1"/>
    <col min="11788" max="11788" width="5.125" style="1163" customWidth="1"/>
    <col min="11789" max="11789" width="13.75" style="1163" customWidth="1"/>
    <col min="11790" max="12032" width="9" style="1163"/>
    <col min="12033" max="12033" width="4.875" style="1163" customWidth="1"/>
    <col min="12034" max="12034" width="13.25" style="1163" customWidth="1"/>
    <col min="12035" max="12035" width="15.625" style="1163" customWidth="1"/>
    <col min="12036" max="12036" width="9.375" style="1163" bestFit="1" customWidth="1"/>
    <col min="12037" max="12037" width="13.5" style="1163" customWidth="1"/>
    <col min="12038" max="12038" width="9" style="1163"/>
    <col min="12039" max="12039" width="9.375" style="1163" bestFit="1" customWidth="1"/>
    <col min="12040" max="12041" width="9" style="1163"/>
    <col min="12042" max="12042" width="9.375" style="1163" bestFit="1" customWidth="1"/>
    <col min="12043" max="12043" width="4" style="1163" customWidth="1"/>
    <col min="12044" max="12044" width="5.125" style="1163" customWidth="1"/>
    <col min="12045" max="12045" width="13.75" style="1163" customWidth="1"/>
    <col min="12046" max="12288" width="9" style="1163"/>
    <col min="12289" max="12289" width="4.875" style="1163" customWidth="1"/>
    <col min="12290" max="12290" width="13.25" style="1163" customWidth="1"/>
    <col min="12291" max="12291" width="15.625" style="1163" customWidth="1"/>
    <col min="12292" max="12292" width="9.375" style="1163" bestFit="1" customWidth="1"/>
    <col min="12293" max="12293" width="13.5" style="1163" customWidth="1"/>
    <col min="12294" max="12294" width="9" style="1163"/>
    <col min="12295" max="12295" width="9.375" style="1163" bestFit="1" customWidth="1"/>
    <col min="12296" max="12297" width="9" style="1163"/>
    <col min="12298" max="12298" width="9.375" style="1163" bestFit="1" customWidth="1"/>
    <col min="12299" max="12299" width="4" style="1163" customWidth="1"/>
    <col min="12300" max="12300" width="5.125" style="1163" customWidth="1"/>
    <col min="12301" max="12301" width="13.75" style="1163" customWidth="1"/>
    <col min="12302" max="12544" width="9" style="1163"/>
    <col min="12545" max="12545" width="4.875" style="1163" customWidth="1"/>
    <col min="12546" max="12546" width="13.25" style="1163" customWidth="1"/>
    <col min="12547" max="12547" width="15.625" style="1163" customWidth="1"/>
    <col min="12548" max="12548" width="9.375" style="1163" bestFit="1" customWidth="1"/>
    <col min="12549" max="12549" width="13.5" style="1163" customWidth="1"/>
    <col min="12550" max="12550" width="9" style="1163"/>
    <col min="12551" max="12551" width="9.375" style="1163" bestFit="1" customWidth="1"/>
    <col min="12552" max="12553" width="9" style="1163"/>
    <col min="12554" max="12554" width="9.375" style="1163" bestFit="1" customWidth="1"/>
    <col min="12555" max="12555" width="4" style="1163" customWidth="1"/>
    <col min="12556" max="12556" width="5.125" style="1163" customWidth="1"/>
    <col min="12557" max="12557" width="13.75" style="1163" customWidth="1"/>
    <col min="12558" max="12800" width="9" style="1163"/>
    <col min="12801" max="12801" width="4.875" style="1163" customWidth="1"/>
    <col min="12802" max="12802" width="13.25" style="1163" customWidth="1"/>
    <col min="12803" max="12803" width="15.625" style="1163" customWidth="1"/>
    <col min="12804" max="12804" width="9.375" style="1163" bestFit="1" customWidth="1"/>
    <col min="12805" max="12805" width="13.5" style="1163" customWidth="1"/>
    <col min="12806" max="12806" width="9" style="1163"/>
    <col min="12807" max="12807" width="9.375" style="1163" bestFit="1" customWidth="1"/>
    <col min="12808" max="12809" width="9" style="1163"/>
    <col min="12810" max="12810" width="9.375" style="1163" bestFit="1" customWidth="1"/>
    <col min="12811" max="12811" width="4" style="1163" customWidth="1"/>
    <col min="12812" max="12812" width="5.125" style="1163" customWidth="1"/>
    <col min="12813" max="12813" width="13.75" style="1163" customWidth="1"/>
    <col min="12814" max="13056" width="9" style="1163"/>
    <col min="13057" max="13057" width="4.875" style="1163" customWidth="1"/>
    <col min="13058" max="13058" width="13.25" style="1163" customWidth="1"/>
    <col min="13059" max="13059" width="15.625" style="1163" customWidth="1"/>
    <col min="13060" max="13060" width="9.375" style="1163" bestFit="1" customWidth="1"/>
    <col min="13061" max="13061" width="13.5" style="1163" customWidth="1"/>
    <col min="13062" max="13062" width="9" style="1163"/>
    <col min="13063" max="13063" width="9.375" style="1163" bestFit="1" customWidth="1"/>
    <col min="13064" max="13065" width="9" style="1163"/>
    <col min="13066" max="13066" width="9.375" style="1163" bestFit="1" customWidth="1"/>
    <col min="13067" max="13067" width="4" style="1163" customWidth="1"/>
    <col min="13068" max="13068" width="5.125" style="1163" customWidth="1"/>
    <col min="13069" max="13069" width="13.75" style="1163" customWidth="1"/>
    <col min="13070" max="13312" width="9" style="1163"/>
    <col min="13313" max="13313" width="4.875" style="1163" customWidth="1"/>
    <col min="13314" max="13314" width="13.25" style="1163" customWidth="1"/>
    <col min="13315" max="13315" width="15.625" style="1163" customWidth="1"/>
    <col min="13316" max="13316" width="9.375" style="1163" bestFit="1" customWidth="1"/>
    <col min="13317" max="13317" width="13.5" style="1163" customWidth="1"/>
    <col min="13318" max="13318" width="9" style="1163"/>
    <col min="13319" max="13319" width="9.375" style="1163" bestFit="1" customWidth="1"/>
    <col min="13320" max="13321" width="9" style="1163"/>
    <col min="13322" max="13322" width="9.375" style="1163" bestFit="1" customWidth="1"/>
    <col min="13323" max="13323" width="4" style="1163" customWidth="1"/>
    <col min="13324" max="13324" width="5.125" style="1163" customWidth="1"/>
    <col min="13325" max="13325" width="13.75" style="1163" customWidth="1"/>
    <col min="13326" max="13568" width="9" style="1163"/>
    <col min="13569" max="13569" width="4.875" style="1163" customWidth="1"/>
    <col min="13570" max="13570" width="13.25" style="1163" customWidth="1"/>
    <col min="13571" max="13571" width="15.625" style="1163" customWidth="1"/>
    <col min="13572" max="13572" width="9.375" style="1163" bestFit="1" customWidth="1"/>
    <col min="13573" max="13573" width="13.5" style="1163" customWidth="1"/>
    <col min="13574" max="13574" width="9" style="1163"/>
    <col min="13575" max="13575" width="9.375" style="1163" bestFit="1" customWidth="1"/>
    <col min="13576" max="13577" width="9" style="1163"/>
    <col min="13578" max="13578" width="9.375" style="1163" bestFit="1" customWidth="1"/>
    <col min="13579" max="13579" width="4" style="1163" customWidth="1"/>
    <col min="13580" max="13580" width="5.125" style="1163" customWidth="1"/>
    <col min="13581" max="13581" width="13.75" style="1163" customWidth="1"/>
    <col min="13582" max="13824" width="9" style="1163"/>
    <col min="13825" max="13825" width="4.875" style="1163" customWidth="1"/>
    <col min="13826" max="13826" width="13.25" style="1163" customWidth="1"/>
    <col min="13827" max="13827" width="15.625" style="1163" customWidth="1"/>
    <col min="13828" max="13828" width="9.375" style="1163" bestFit="1" customWidth="1"/>
    <col min="13829" max="13829" width="13.5" style="1163" customWidth="1"/>
    <col min="13830" max="13830" width="9" style="1163"/>
    <col min="13831" max="13831" width="9.375" style="1163" bestFit="1" customWidth="1"/>
    <col min="13832" max="13833" width="9" style="1163"/>
    <col min="13834" max="13834" width="9.375" style="1163" bestFit="1" customWidth="1"/>
    <col min="13835" max="13835" width="4" style="1163" customWidth="1"/>
    <col min="13836" max="13836" width="5.125" style="1163" customWidth="1"/>
    <col min="13837" max="13837" width="13.75" style="1163" customWidth="1"/>
    <col min="13838" max="14080" width="9" style="1163"/>
    <col min="14081" max="14081" width="4.875" style="1163" customWidth="1"/>
    <col min="14082" max="14082" width="13.25" style="1163" customWidth="1"/>
    <col min="14083" max="14083" width="15.625" style="1163" customWidth="1"/>
    <col min="14084" max="14084" width="9.375" style="1163" bestFit="1" customWidth="1"/>
    <col min="14085" max="14085" width="13.5" style="1163" customWidth="1"/>
    <col min="14086" max="14086" width="9" style="1163"/>
    <col min="14087" max="14087" width="9.375" style="1163" bestFit="1" customWidth="1"/>
    <col min="14088" max="14089" width="9" style="1163"/>
    <col min="14090" max="14090" width="9.375" style="1163" bestFit="1" customWidth="1"/>
    <col min="14091" max="14091" width="4" style="1163" customWidth="1"/>
    <col min="14092" max="14092" width="5.125" style="1163" customWidth="1"/>
    <col min="14093" max="14093" width="13.75" style="1163" customWidth="1"/>
    <col min="14094" max="14336" width="9" style="1163"/>
    <col min="14337" max="14337" width="4.875" style="1163" customWidth="1"/>
    <col min="14338" max="14338" width="13.25" style="1163" customWidth="1"/>
    <col min="14339" max="14339" width="15.625" style="1163" customWidth="1"/>
    <col min="14340" max="14340" width="9.375" style="1163" bestFit="1" customWidth="1"/>
    <col min="14341" max="14341" width="13.5" style="1163" customWidth="1"/>
    <col min="14342" max="14342" width="9" style="1163"/>
    <col min="14343" max="14343" width="9.375" style="1163" bestFit="1" customWidth="1"/>
    <col min="14344" max="14345" width="9" style="1163"/>
    <col min="14346" max="14346" width="9.375" style="1163" bestFit="1" customWidth="1"/>
    <col min="14347" max="14347" width="4" style="1163" customWidth="1"/>
    <col min="14348" max="14348" width="5.125" style="1163" customWidth="1"/>
    <col min="14349" max="14349" width="13.75" style="1163" customWidth="1"/>
    <col min="14350" max="14592" width="9" style="1163"/>
    <col min="14593" max="14593" width="4.875" style="1163" customWidth="1"/>
    <col min="14594" max="14594" width="13.25" style="1163" customWidth="1"/>
    <col min="14595" max="14595" width="15.625" style="1163" customWidth="1"/>
    <col min="14596" max="14596" width="9.375" style="1163" bestFit="1" customWidth="1"/>
    <col min="14597" max="14597" width="13.5" style="1163" customWidth="1"/>
    <col min="14598" max="14598" width="9" style="1163"/>
    <col min="14599" max="14599" width="9.375" style="1163" bestFit="1" customWidth="1"/>
    <col min="14600" max="14601" width="9" style="1163"/>
    <col min="14602" max="14602" width="9.375" style="1163" bestFit="1" customWidth="1"/>
    <col min="14603" max="14603" width="4" style="1163" customWidth="1"/>
    <col min="14604" max="14604" width="5.125" style="1163" customWidth="1"/>
    <col min="14605" max="14605" width="13.75" style="1163" customWidth="1"/>
    <col min="14606" max="14848" width="9" style="1163"/>
    <col min="14849" max="14849" width="4.875" style="1163" customWidth="1"/>
    <col min="14850" max="14850" width="13.25" style="1163" customWidth="1"/>
    <col min="14851" max="14851" width="15.625" style="1163" customWidth="1"/>
    <col min="14852" max="14852" width="9.375" style="1163" bestFit="1" customWidth="1"/>
    <col min="14853" max="14853" width="13.5" style="1163" customWidth="1"/>
    <col min="14854" max="14854" width="9" style="1163"/>
    <col min="14855" max="14855" width="9.375" style="1163" bestFit="1" customWidth="1"/>
    <col min="14856" max="14857" width="9" style="1163"/>
    <col min="14858" max="14858" width="9.375" style="1163" bestFit="1" customWidth="1"/>
    <col min="14859" max="14859" width="4" style="1163" customWidth="1"/>
    <col min="14860" max="14860" width="5.125" style="1163" customWidth="1"/>
    <col min="14861" max="14861" width="13.75" style="1163" customWidth="1"/>
    <col min="14862" max="15104" width="9" style="1163"/>
    <col min="15105" max="15105" width="4.875" style="1163" customWidth="1"/>
    <col min="15106" max="15106" width="13.25" style="1163" customWidth="1"/>
    <col min="15107" max="15107" width="15.625" style="1163" customWidth="1"/>
    <col min="15108" max="15108" width="9.375" style="1163" bestFit="1" customWidth="1"/>
    <col min="15109" max="15109" width="13.5" style="1163" customWidth="1"/>
    <col min="15110" max="15110" width="9" style="1163"/>
    <col min="15111" max="15111" width="9.375" style="1163" bestFit="1" customWidth="1"/>
    <col min="15112" max="15113" width="9" style="1163"/>
    <col min="15114" max="15114" width="9.375" style="1163" bestFit="1" customWidth="1"/>
    <col min="15115" max="15115" width="4" style="1163" customWidth="1"/>
    <col min="15116" max="15116" width="5.125" style="1163" customWidth="1"/>
    <col min="15117" max="15117" width="13.75" style="1163" customWidth="1"/>
    <col min="15118" max="15360" width="9" style="1163"/>
    <col min="15361" max="15361" width="4.875" style="1163" customWidth="1"/>
    <col min="15362" max="15362" width="13.25" style="1163" customWidth="1"/>
    <col min="15363" max="15363" width="15.625" style="1163" customWidth="1"/>
    <col min="15364" max="15364" width="9.375" style="1163" bestFit="1" customWidth="1"/>
    <col min="15365" max="15365" width="13.5" style="1163" customWidth="1"/>
    <col min="15366" max="15366" width="9" style="1163"/>
    <col min="15367" max="15367" width="9.375" style="1163" bestFit="1" customWidth="1"/>
    <col min="15368" max="15369" width="9" style="1163"/>
    <col min="15370" max="15370" width="9.375" style="1163" bestFit="1" customWidth="1"/>
    <col min="15371" max="15371" width="4" style="1163" customWidth="1"/>
    <col min="15372" max="15372" width="5.125" style="1163" customWidth="1"/>
    <col min="15373" max="15373" width="13.75" style="1163" customWidth="1"/>
    <col min="15374" max="15616" width="9" style="1163"/>
    <col min="15617" max="15617" width="4.875" style="1163" customWidth="1"/>
    <col min="15618" max="15618" width="13.25" style="1163" customWidth="1"/>
    <col min="15619" max="15619" width="15.625" style="1163" customWidth="1"/>
    <col min="15620" max="15620" width="9.375" style="1163" bestFit="1" customWidth="1"/>
    <col min="15621" max="15621" width="13.5" style="1163" customWidth="1"/>
    <col min="15622" max="15622" width="9" style="1163"/>
    <col min="15623" max="15623" width="9.375" style="1163" bestFit="1" customWidth="1"/>
    <col min="15624" max="15625" width="9" style="1163"/>
    <col min="15626" max="15626" width="9.375" style="1163" bestFit="1" customWidth="1"/>
    <col min="15627" max="15627" width="4" style="1163" customWidth="1"/>
    <col min="15628" max="15628" width="5.125" style="1163" customWidth="1"/>
    <col min="15629" max="15629" width="13.75" style="1163" customWidth="1"/>
    <col min="15630" max="15872" width="9" style="1163"/>
    <col min="15873" max="15873" width="4.875" style="1163" customWidth="1"/>
    <col min="15874" max="15874" width="13.25" style="1163" customWidth="1"/>
    <col min="15875" max="15875" width="15.625" style="1163" customWidth="1"/>
    <col min="15876" max="15876" width="9.375" style="1163" bestFit="1" customWidth="1"/>
    <col min="15877" max="15877" width="13.5" style="1163" customWidth="1"/>
    <col min="15878" max="15878" width="9" style="1163"/>
    <col min="15879" max="15879" width="9.375" style="1163" bestFit="1" customWidth="1"/>
    <col min="15880" max="15881" width="9" style="1163"/>
    <col min="15882" max="15882" width="9.375" style="1163" bestFit="1" customWidth="1"/>
    <col min="15883" max="15883" width="4" style="1163" customWidth="1"/>
    <col min="15884" max="15884" width="5.125" style="1163" customWidth="1"/>
    <col min="15885" max="15885" width="13.75" style="1163" customWidth="1"/>
    <col min="15886" max="16128" width="9" style="1163"/>
    <col min="16129" max="16129" width="4.875" style="1163" customWidth="1"/>
    <col min="16130" max="16130" width="13.25" style="1163" customWidth="1"/>
    <col min="16131" max="16131" width="15.625" style="1163" customWidth="1"/>
    <col min="16132" max="16132" width="9.375" style="1163" bestFit="1" customWidth="1"/>
    <col min="16133" max="16133" width="13.5" style="1163" customWidth="1"/>
    <col min="16134" max="16134" width="9" style="1163"/>
    <col min="16135" max="16135" width="9.375" style="1163" bestFit="1" customWidth="1"/>
    <col min="16136" max="16137" width="9" style="1163"/>
    <col min="16138" max="16138" width="9.375" style="1163" bestFit="1" customWidth="1"/>
    <col min="16139" max="16139" width="4" style="1163" customWidth="1"/>
    <col min="16140" max="16140" width="5.125" style="1163" customWidth="1"/>
    <col min="16141" max="16141" width="13.75" style="1163" customWidth="1"/>
    <col min="16142" max="16384" width="9" style="1163"/>
  </cols>
  <sheetData>
    <row r="1" spans="1:257" s="1226" customFormat="1" ht="14.25" thickBot="1">
      <c r="A1" s="1221"/>
      <c r="B1" s="1222" t="s">
        <v>934</v>
      </c>
      <c r="C1" s="1227">
        <f>项目基本情况!D2</f>
        <v>44675</v>
      </c>
      <c r="D1" s="1222" t="s">
        <v>935</v>
      </c>
      <c r="E1" s="1228">
        <f>'数据-取费表'!B24</f>
        <v>2</v>
      </c>
      <c r="F1" s="1222" t="s">
        <v>936</v>
      </c>
      <c r="G1" s="1229">
        <f ca="1">INDIRECT("d"&amp;$K$1)/100</f>
        <v>3.7000000000000005E-2</v>
      </c>
      <c r="H1" s="1222" t="s">
        <v>966</v>
      </c>
      <c r="I1" s="1229">
        <f ca="1">F4/100</f>
        <v>1.4999999999999999E-2</v>
      </c>
      <c r="J1" s="1223">
        <f>IF(C1&gt;C13,0,MATCH(C1,C$13:C$107,-1))+IF(SUMIF(C13:C107,C1,D13:D107)=0,13,12)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3.7</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3.7</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3.7</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3.7</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4.25" thickBot="1">
      <c r="B7" s="1178" t="s">
        <v>943</v>
      </c>
      <c r="C7" s="1179">
        <v>5</v>
      </c>
      <c r="D7" s="1180">
        <f ca="1">INDIRECT("h"&amp;$J$1)</f>
        <v>4.5999999999999996</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25">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5">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14.25">
      <c r="A13" s="1208"/>
      <c r="B13" s="1209" t="s">
        <v>964</v>
      </c>
      <c r="C13" s="1210">
        <v>44581</v>
      </c>
      <c r="D13" s="1211">
        <v>3.7</v>
      </c>
      <c r="E13" s="1211">
        <f t="shared" ref="E13:E19" si="0">D13</f>
        <v>3.7</v>
      </c>
      <c r="F13" s="1211">
        <f t="shared" ref="F13:F19" si="1">D13</f>
        <v>3.7</v>
      </c>
      <c r="G13" s="1211">
        <f t="shared" ref="G13:G19" si="2">D13</f>
        <v>3.7</v>
      </c>
      <c r="H13" s="1211">
        <v>4.5999999999999996</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4.25">
      <c r="A14" s="1208"/>
      <c r="B14" s="1215"/>
      <c r="C14" s="1216">
        <v>44550</v>
      </c>
      <c r="D14" s="1215">
        <v>3.8</v>
      </c>
      <c r="E14" s="1215">
        <f t="shared" si="0"/>
        <v>3.8</v>
      </c>
      <c r="F14" s="1215">
        <f t="shared" ref="F14" si="3">D14</f>
        <v>3.8</v>
      </c>
      <c r="G14" s="1215">
        <f t="shared" ref="G14" si="4">D14</f>
        <v>3.8</v>
      </c>
      <c r="H14" s="1215">
        <v>4.6500000000000004</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c r="B15" s="1215"/>
      <c r="C15" s="1216">
        <v>43941</v>
      </c>
      <c r="D15" s="1215">
        <v>3.85</v>
      </c>
      <c r="E15" s="1215">
        <f t="shared" si="0"/>
        <v>3.85</v>
      </c>
      <c r="F15" s="1215">
        <f t="shared" si="1"/>
        <v>3.85</v>
      </c>
      <c r="G15" s="1215">
        <f t="shared" si="2"/>
        <v>3.85</v>
      </c>
      <c r="H15" s="1215">
        <v>4.6500000000000004</v>
      </c>
      <c r="I15" s="1215"/>
      <c r="J15" s="1215"/>
      <c r="L15" s="1215"/>
      <c r="M15" s="1216">
        <v>42183</v>
      </c>
      <c r="N15" s="1215">
        <v>0.35</v>
      </c>
      <c r="O15" s="1215">
        <v>1.6</v>
      </c>
      <c r="P15" s="1215">
        <v>1.8</v>
      </c>
      <c r="Q15" s="1215">
        <v>2</v>
      </c>
      <c r="R15" s="1215">
        <v>2.6</v>
      </c>
      <c r="S15" s="1215">
        <v>3.25</v>
      </c>
      <c r="T15" s="1215"/>
      <c r="U15" s="1215"/>
      <c r="V15" s="1215"/>
      <c r="W15" s="1215"/>
      <c r="X15" s="1215"/>
      <c r="Y15" s="1215"/>
      <c r="Z15" s="1215"/>
    </row>
    <row r="16" spans="1:257">
      <c r="B16" s="1215"/>
      <c r="C16" s="1216">
        <v>43881</v>
      </c>
      <c r="D16" s="1215">
        <v>4.05</v>
      </c>
      <c r="E16" s="1215">
        <f t="shared" si="0"/>
        <v>4.05</v>
      </c>
      <c r="F16" s="1215">
        <f t="shared" si="1"/>
        <v>4.05</v>
      </c>
      <c r="G16" s="1215">
        <f t="shared" si="2"/>
        <v>4.05</v>
      </c>
      <c r="H16" s="1215">
        <v>4.75</v>
      </c>
      <c r="I16" s="1215"/>
      <c r="J16" s="1215"/>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43789</v>
      </c>
      <c r="D17" s="1215">
        <v>4.1500000000000004</v>
      </c>
      <c r="E17" s="1215">
        <f t="shared" si="0"/>
        <v>4.1500000000000004</v>
      </c>
      <c r="F17" s="1215">
        <f t="shared" si="1"/>
        <v>4.1500000000000004</v>
      </c>
      <c r="G17" s="1215">
        <f t="shared" si="2"/>
        <v>4.1500000000000004</v>
      </c>
      <c r="H17" s="1215">
        <v>4.8</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0" customFormat="1" ht="15">
      <c r="A18" s="1166"/>
      <c r="B18" s="1215"/>
      <c r="C18" s="1216">
        <v>43728</v>
      </c>
      <c r="D18" s="1215">
        <v>4.2</v>
      </c>
      <c r="E18" s="1215">
        <f t="shared" si="0"/>
        <v>4.2</v>
      </c>
      <c r="F18" s="1215">
        <f t="shared" si="1"/>
        <v>4.2</v>
      </c>
      <c r="G18" s="1215">
        <f t="shared" si="2"/>
        <v>4.2</v>
      </c>
      <c r="H18" s="1215">
        <v>4.8499999999999996</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69"/>
      <c r="AB18" s="3069"/>
      <c r="AC18" s="3069"/>
      <c r="AD18" s="3069"/>
      <c r="AE18" s="3069"/>
      <c r="AF18" s="3069"/>
      <c r="AG18" s="3069"/>
      <c r="AH18" s="3069"/>
      <c r="AI18" s="3069"/>
      <c r="AJ18" s="3069"/>
      <c r="AK18" s="3069"/>
      <c r="AL18" s="3069"/>
      <c r="AM18" s="3069"/>
      <c r="AN18" s="3069"/>
      <c r="AO18" s="3069"/>
      <c r="AP18" s="3069"/>
      <c r="AQ18" s="3069"/>
      <c r="AR18" s="3069"/>
      <c r="AS18" s="3069"/>
      <c r="AT18" s="3069"/>
      <c r="AU18" s="3069"/>
      <c r="AV18" s="3069"/>
      <c r="AW18" s="3069"/>
      <c r="AX18" s="3069"/>
      <c r="AY18" s="3069"/>
      <c r="AZ18" s="3069"/>
      <c r="BA18" s="3069"/>
      <c r="BB18" s="3069"/>
      <c r="BC18" s="3069"/>
      <c r="BD18" s="3069"/>
      <c r="BE18" s="3069"/>
      <c r="BF18" s="3069"/>
      <c r="BG18" s="3069"/>
      <c r="BH18" s="3069"/>
      <c r="BI18" s="3069"/>
      <c r="BJ18" s="3069"/>
      <c r="BK18" s="3069"/>
      <c r="BL18" s="3069"/>
      <c r="BM18" s="3069"/>
      <c r="BN18" s="3069"/>
      <c r="BO18" s="3069"/>
      <c r="BP18" s="3069"/>
      <c r="BQ18" s="3069"/>
      <c r="BR18" s="3069"/>
      <c r="BS18" s="3069"/>
      <c r="BT18" s="3069"/>
      <c r="BU18" s="3069"/>
      <c r="BV18" s="3069"/>
      <c r="BW18" s="3069"/>
      <c r="BX18" s="3069"/>
      <c r="BY18" s="3069"/>
      <c r="BZ18" s="3069"/>
      <c r="CA18" s="3069"/>
      <c r="CB18" s="3069"/>
      <c r="CC18" s="3069"/>
      <c r="CD18" s="3069"/>
      <c r="CE18" s="3069"/>
      <c r="CF18" s="3069"/>
      <c r="CG18" s="3069"/>
      <c r="CH18" s="3069"/>
      <c r="CI18" s="3069"/>
      <c r="CJ18" s="3069"/>
      <c r="CK18" s="3069"/>
      <c r="CL18" s="3069"/>
      <c r="CM18" s="3069"/>
      <c r="CN18" s="3069"/>
      <c r="CO18" s="3069"/>
      <c r="CP18" s="3069"/>
      <c r="CQ18" s="3069"/>
      <c r="CR18" s="3069"/>
      <c r="CS18" s="3069"/>
      <c r="CT18" s="3069"/>
      <c r="CU18" s="3069"/>
      <c r="CV18" s="3069"/>
      <c r="CW18" s="3069"/>
      <c r="CX18" s="3069"/>
      <c r="CY18" s="3069"/>
      <c r="CZ18" s="3069"/>
      <c r="DA18" s="3069"/>
      <c r="DB18" s="3069"/>
      <c r="DC18" s="3069"/>
      <c r="DD18" s="3069"/>
      <c r="DE18" s="3069"/>
      <c r="DF18" s="3069"/>
      <c r="DG18" s="3069"/>
      <c r="DH18" s="3069"/>
      <c r="DI18" s="3069"/>
      <c r="DJ18" s="3069"/>
      <c r="DK18" s="3069"/>
      <c r="DL18" s="3069"/>
      <c r="DM18" s="3069"/>
      <c r="DN18" s="3069"/>
      <c r="DO18" s="3069"/>
      <c r="DP18" s="3069"/>
      <c r="DQ18" s="3069"/>
      <c r="DR18" s="3069"/>
      <c r="DS18" s="3069"/>
      <c r="DT18" s="3069"/>
      <c r="DU18" s="3069"/>
      <c r="DV18" s="3069"/>
      <c r="DW18" s="3069"/>
      <c r="DX18" s="3069"/>
      <c r="DY18" s="3069"/>
      <c r="DZ18" s="3069"/>
      <c r="EA18" s="3069"/>
      <c r="EB18" s="3069"/>
      <c r="EC18" s="3069"/>
      <c r="ED18" s="3069"/>
      <c r="EE18" s="3069"/>
      <c r="EF18" s="3069"/>
      <c r="EG18" s="3069"/>
      <c r="EH18" s="3069"/>
      <c r="EI18" s="3069"/>
      <c r="EJ18" s="3069"/>
      <c r="EK18" s="3069"/>
      <c r="EL18" s="3069"/>
      <c r="EM18" s="3069"/>
      <c r="EN18" s="3069"/>
      <c r="EO18" s="3069"/>
      <c r="EP18" s="3069"/>
      <c r="EQ18" s="3069"/>
      <c r="ER18" s="3069"/>
      <c r="ES18" s="3069"/>
      <c r="ET18" s="3069"/>
      <c r="EU18" s="3069"/>
      <c r="EV18" s="3069"/>
      <c r="EW18" s="3069"/>
      <c r="EX18" s="3069"/>
      <c r="EY18" s="3069"/>
      <c r="EZ18" s="3069"/>
      <c r="FA18" s="3069"/>
      <c r="FB18" s="3069"/>
      <c r="FC18" s="3069"/>
      <c r="FD18" s="3069"/>
      <c r="FE18" s="3069"/>
      <c r="FF18" s="3069"/>
      <c r="FG18" s="3069"/>
      <c r="FH18" s="3069"/>
      <c r="FI18" s="3069"/>
      <c r="FJ18" s="3069"/>
      <c r="FK18" s="3069"/>
      <c r="FL18" s="3069"/>
      <c r="FM18" s="3069"/>
      <c r="FN18" s="3069"/>
      <c r="FO18" s="3069"/>
      <c r="FP18" s="3069"/>
      <c r="FQ18" s="3069"/>
      <c r="FR18" s="3069"/>
      <c r="FS18" s="3069"/>
      <c r="FT18" s="3069"/>
      <c r="FU18" s="3069"/>
      <c r="FV18" s="3069"/>
      <c r="FW18" s="3069"/>
      <c r="FX18" s="3069"/>
      <c r="FY18" s="3069"/>
      <c r="FZ18" s="3069"/>
      <c r="GA18" s="3069"/>
      <c r="GB18" s="3069"/>
      <c r="GC18" s="3069"/>
      <c r="GD18" s="3069"/>
      <c r="GE18" s="3069"/>
      <c r="GF18" s="3069"/>
      <c r="GG18" s="3069"/>
      <c r="GH18" s="3069"/>
      <c r="GI18" s="3069"/>
      <c r="GJ18" s="3069"/>
      <c r="GK18" s="3069"/>
      <c r="GL18" s="3069"/>
      <c r="GM18" s="3069"/>
      <c r="GN18" s="3069"/>
      <c r="GO18" s="3069"/>
      <c r="GP18" s="3069"/>
      <c r="GQ18" s="3069"/>
      <c r="GR18" s="3069"/>
      <c r="GS18" s="3069"/>
      <c r="GT18" s="3069"/>
      <c r="GU18" s="3069"/>
      <c r="GV18" s="3069"/>
      <c r="GW18" s="3069"/>
      <c r="GX18" s="3069"/>
      <c r="GY18" s="3069"/>
      <c r="GZ18" s="3069"/>
      <c r="HA18" s="3069"/>
      <c r="HB18" s="3069"/>
      <c r="HC18" s="3069"/>
      <c r="HD18" s="3069"/>
      <c r="HE18" s="3069"/>
      <c r="HF18" s="3069"/>
      <c r="HG18" s="3069"/>
      <c r="HH18" s="3069"/>
      <c r="HI18" s="3069"/>
      <c r="HJ18" s="3069"/>
      <c r="HK18" s="3069"/>
      <c r="HL18" s="3069"/>
      <c r="HM18" s="3069"/>
      <c r="HN18" s="3069"/>
      <c r="HO18" s="3069"/>
      <c r="HP18" s="3069"/>
      <c r="HQ18" s="3069"/>
      <c r="HR18" s="3069"/>
      <c r="HS18" s="3069"/>
      <c r="HT18" s="3069"/>
      <c r="HU18" s="3069"/>
      <c r="HV18" s="3069"/>
      <c r="HW18" s="3069"/>
      <c r="HX18" s="3069"/>
      <c r="HY18" s="3069"/>
      <c r="HZ18" s="3069"/>
      <c r="IA18" s="3069"/>
      <c r="IB18" s="3069"/>
      <c r="IC18" s="3069"/>
      <c r="ID18" s="3069"/>
      <c r="IE18" s="3069"/>
      <c r="IF18" s="3069"/>
      <c r="IG18" s="3069"/>
      <c r="IH18" s="3069"/>
      <c r="II18" s="3069"/>
      <c r="IJ18" s="3069"/>
      <c r="IK18" s="3069"/>
      <c r="IL18" s="3069"/>
      <c r="IM18" s="3069"/>
      <c r="IN18" s="3069"/>
      <c r="IO18" s="3069"/>
      <c r="IP18" s="3069"/>
      <c r="IQ18" s="3069"/>
      <c r="IR18" s="3069"/>
      <c r="IS18" s="3069"/>
      <c r="IT18" s="3069"/>
      <c r="IU18" s="3069"/>
      <c r="IV18" s="3069"/>
    </row>
    <row r="19" spans="1:256" ht="14.25">
      <c r="A19" s="3067"/>
      <c r="B19" s="1209" t="s">
        <v>2642</v>
      </c>
      <c r="C19" s="1218">
        <v>43697</v>
      </c>
      <c r="D19" s="3068">
        <v>4.25</v>
      </c>
      <c r="E19" s="3068">
        <f t="shared" si="0"/>
        <v>4.25</v>
      </c>
      <c r="F19" s="3068">
        <f t="shared" si="1"/>
        <v>4.25</v>
      </c>
      <c r="G19" s="3068">
        <f t="shared" si="2"/>
        <v>4.25</v>
      </c>
      <c r="H19" s="3068">
        <v>4.8499999999999996</v>
      </c>
      <c r="I19" s="3068"/>
      <c r="J19" s="3068"/>
      <c r="K19" s="3067"/>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c r="B20" s="1215"/>
      <c r="C20" s="1216">
        <v>42301</v>
      </c>
      <c r="D20" s="1215">
        <v>4.3499999999999996</v>
      </c>
      <c r="E20" s="1215">
        <v>4.3499999999999996</v>
      </c>
      <c r="F20" s="1215">
        <v>4.75</v>
      </c>
      <c r="G20" s="1215">
        <v>4.75</v>
      </c>
      <c r="H20" s="1215">
        <v>4.9000000000000004</v>
      </c>
      <c r="I20" s="1215">
        <v>2.75</v>
      </c>
      <c r="J20" s="1215">
        <v>3.25</v>
      </c>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c r="B21" s="1215"/>
      <c r="C21" s="1216">
        <v>42242</v>
      </c>
      <c r="D21" s="1215">
        <v>4.5999999999999996</v>
      </c>
      <c r="E21" s="1215">
        <v>4.5999999999999996</v>
      </c>
      <c r="F21" s="1215">
        <v>5</v>
      </c>
      <c r="G21" s="1215">
        <v>5</v>
      </c>
      <c r="H21" s="1215">
        <v>5.15</v>
      </c>
      <c r="I21" s="1215">
        <v>2.75</v>
      </c>
      <c r="J21" s="1215">
        <v>3.25</v>
      </c>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42183</v>
      </c>
      <c r="D22" s="1215">
        <v>4.8499999999999996</v>
      </c>
      <c r="E22" s="1215">
        <v>4.8499999999999996</v>
      </c>
      <c r="F22" s="1215">
        <v>5.25</v>
      </c>
      <c r="G22" s="1215">
        <v>5.25</v>
      </c>
      <c r="H22" s="1215">
        <v>5.4</v>
      </c>
      <c r="I22" s="1215">
        <v>3</v>
      </c>
      <c r="J22" s="1215">
        <v>3.5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42135</v>
      </c>
      <c r="D23" s="1215">
        <v>5.0999999999999996</v>
      </c>
      <c r="E23" s="1215">
        <v>5.0999999999999996</v>
      </c>
      <c r="F23" s="1215">
        <v>5.5</v>
      </c>
      <c r="G23" s="1215">
        <v>5.5</v>
      </c>
      <c r="H23" s="1215">
        <v>5.65</v>
      </c>
      <c r="I23" s="1215">
        <v>3.25</v>
      </c>
      <c r="J23" s="1215">
        <v>3.75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42064</v>
      </c>
      <c r="D24" s="1215">
        <v>5.35</v>
      </c>
      <c r="E24" s="1215">
        <v>5.35</v>
      </c>
      <c r="F24" s="1215">
        <v>5.75</v>
      </c>
      <c r="G24" s="1215">
        <v>5.75</v>
      </c>
      <c r="H24" s="1215">
        <v>5.9</v>
      </c>
      <c r="I24" s="1215"/>
      <c r="J24" s="1215"/>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41965</v>
      </c>
      <c r="D25" s="1215">
        <v>5.6</v>
      </c>
      <c r="E25" s="1215">
        <v>5.6</v>
      </c>
      <c r="F25" s="1215">
        <v>6</v>
      </c>
      <c r="G25" s="1215">
        <v>6</v>
      </c>
      <c r="H25" s="1215">
        <v>6.15</v>
      </c>
      <c r="I25" s="1215"/>
      <c r="J25" s="1215"/>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41096</v>
      </c>
      <c r="D26" s="1215">
        <v>5.6</v>
      </c>
      <c r="E26" s="1215">
        <v>6</v>
      </c>
      <c r="F26" s="1215">
        <v>6.15</v>
      </c>
      <c r="G26" s="1215">
        <v>6.4</v>
      </c>
      <c r="H26" s="1215">
        <v>6.55</v>
      </c>
      <c r="I26" s="1215">
        <v>4</v>
      </c>
      <c r="J26" s="1215">
        <v>4.5</v>
      </c>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41068</v>
      </c>
      <c r="D27" s="1215">
        <v>5.85</v>
      </c>
      <c r="E27" s="1215">
        <v>6.31</v>
      </c>
      <c r="F27" s="1215">
        <v>6.4</v>
      </c>
      <c r="G27" s="1215">
        <v>6.65</v>
      </c>
      <c r="H27" s="1215">
        <v>6.8</v>
      </c>
      <c r="I27" s="1215">
        <v>4.2</v>
      </c>
      <c r="J27" s="1215">
        <v>4.7</v>
      </c>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40731</v>
      </c>
      <c r="D28" s="1215">
        <v>6.1</v>
      </c>
      <c r="E28" s="1215">
        <v>6.56</v>
      </c>
      <c r="F28" s="1215">
        <v>6.65</v>
      </c>
      <c r="G28" s="1215">
        <v>6.9</v>
      </c>
      <c r="H28" s="1215">
        <v>7.05</v>
      </c>
      <c r="I28" s="1215">
        <v>4.45</v>
      </c>
      <c r="J28" s="1215">
        <v>4.9000000000000004</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40639</v>
      </c>
      <c r="D29" s="1215">
        <v>5.85</v>
      </c>
      <c r="E29" s="1215">
        <v>6.31</v>
      </c>
      <c r="F29" s="1215">
        <v>6.4</v>
      </c>
      <c r="G29" s="1215">
        <v>6.65</v>
      </c>
      <c r="H29" s="1215">
        <v>6.8</v>
      </c>
      <c r="I29" s="1215">
        <v>4.2</v>
      </c>
      <c r="J29" s="1215">
        <v>4.7</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40583</v>
      </c>
      <c r="D30" s="1215">
        <v>5.6</v>
      </c>
      <c r="E30" s="1215">
        <v>6.06</v>
      </c>
      <c r="F30" s="1215">
        <v>6.1</v>
      </c>
      <c r="G30" s="1215">
        <v>6.45</v>
      </c>
      <c r="H30" s="1215">
        <v>6.6</v>
      </c>
      <c r="I30" s="1215">
        <v>4</v>
      </c>
      <c r="J30" s="1215">
        <v>4.5</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40538</v>
      </c>
      <c r="D31" s="1215">
        <v>5.35</v>
      </c>
      <c r="E31" s="1215">
        <v>5.81</v>
      </c>
      <c r="F31" s="1215">
        <v>5.85</v>
      </c>
      <c r="G31" s="1215">
        <v>6.22</v>
      </c>
      <c r="H31" s="1215">
        <v>6.4</v>
      </c>
      <c r="I31" s="1215">
        <v>3.75</v>
      </c>
      <c r="J31" s="1215">
        <v>4.3</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40471</v>
      </c>
      <c r="D32" s="1215">
        <v>5.0999999999999996</v>
      </c>
      <c r="E32" s="1215">
        <v>5.56</v>
      </c>
      <c r="F32" s="1215">
        <v>5.6</v>
      </c>
      <c r="G32" s="1215">
        <v>5.96</v>
      </c>
      <c r="H32" s="1215">
        <v>6.14</v>
      </c>
      <c r="I32" s="1215">
        <v>3.5</v>
      </c>
      <c r="J32" s="1215">
        <v>4.05</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39805</v>
      </c>
      <c r="D33" s="1215">
        <v>4.8600000000000003</v>
      </c>
      <c r="E33" s="1215">
        <v>5.31</v>
      </c>
      <c r="F33" s="1215">
        <v>5.4</v>
      </c>
      <c r="G33" s="1215">
        <v>5.76</v>
      </c>
      <c r="H33" s="1215">
        <v>5.94</v>
      </c>
      <c r="I33" s="1215">
        <v>3.33</v>
      </c>
      <c r="J33" s="1215">
        <v>3.87</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39779</v>
      </c>
      <c r="D34" s="1215">
        <v>5.04</v>
      </c>
      <c r="E34" s="1215">
        <v>5.58</v>
      </c>
      <c r="F34" s="1215">
        <v>5.67</v>
      </c>
      <c r="G34" s="1215">
        <v>5.94</v>
      </c>
      <c r="H34" s="1215">
        <v>6.12</v>
      </c>
      <c r="I34" s="1215">
        <v>3.51</v>
      </c>
      <c r="J34" s="1215">
        <v>4.05</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39751</v>
      </c>
      <c r="D35" s="1215">
        <v>6.03</v>
      </c>
      <c r="E35" s="1215">
        <v>6.66</v>
      </c>
      <c r="F35" s="1215">
        <v>6.75</v>
      </c>
      <c r="G35" s="1215">
        <v>7.02</v>
      </c>
      <c r="H35" s="1215">
        <v>7.2</v>
      </c>
      <c r="I35" s="1215">
        <v>4.05</v>
      </c>
      <c r="J35" s="1215">
        <v>4.59</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8">
        <v>39748</v>
      </c>
      <c r="D36" s="1215">
        <v>6.12</v>
      </c>
      <c r="E36" s="1215">
        <v>6.93</v>
      </c>
      <c r="F36" s="1215">
        <v>7.02</v>
      </c>
      <c r="G36" s="1215">
        <v>7.29</v>
      </c>
      <c r="H36" s="1215">
        <v>7.47</v>
      </c>
      <c r="I36" s="1215">
        <v>4.05</v>
      </c>
      <c r="J36" s="1215">
        <v>4.59</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6">
        <v>39730</v>
      </c>
      <c r="D37" s="1215">
        <v>6.12</v>
      </c>
      <c r="E37" s="1215">
        <v>6.93</v>
      </c>
      <c r="F37" s="1215">
        <v>7.02</v>
      </c>
      <c r="G37" s="1215">
        <v>7.29</v>
      </c>
      <c r="H37" s="1215">
        <v>7.47</v>
      </c>
      <c r="I37" s="1215">
        <v>4.32</v>
      </c>
      <c r="J37" s="1215">
        <v>4.8600000000000003</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6">
        <v>39707</v>
      </c>
      <c r="D38" s="1215">
        <v>6.21</v>
      </c>
      <c r="E38" s="1215">
        <v>7.2</v>
      </c>
      <c r="F38" s="1215">
        <v>7.29</v>
      </c>
      <c r="G38" s="1215">
        <v>7.56</v>
      </c>
      <c r="H38" s="1215">
        <v>7.74</v>
      </c>
      <c r="I38" s="1215">
        <v>4.59</v>
      </c>
      <c r="J38" s="1215">
        <v>5.13</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39437</v>
      </c>
      <c r="D39" s="1215">
        <v>6.57</v>
      </c>
      <c r="E39" s="1215">
        <v>7.47</v>
      </c>
      <c r="F39" s="1215">
        <v>7.56</v>
      </c>
      <c r="G39" s="1215">
        <v>7.74</v>
      </c>
      <c r="H39" s="1215">
        <v>7.83</v>
      </c>
      <c r="I39" s="1215">
        <v>4.7699999999999996</v>
      </c>
      <c r="J39" s="1215">
        <v>5.22</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39340</v>
      </c>
      <c r="D40" s="1215">
        <v>6.48</v>
      </c>
      <c r="E40" s="1215">
        <v>7.29</v>
      </c>
      <c r="F40" s="1215">
        <v>7.47</v>
      </c>
      <c r="G40" s="1215">
        <v>7.65</v>
      </c>
      <c r="H40" s="1215">
        <v>7.83</v>
      </c>
      <c r="I40" s="1215">
        <v>4.7699999999999996</v>
      </c>
      <c r="J40" s="1215">
        <v>5.22</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39316</v>
      </c>
      <c r="D41" s="1215">
        <v>6.21</v>
      </c>
      <c r="E41" s="1215">
        <v>7.02</v>
      </c>
      <c r="F41" s="1215">
        <v>7.2</v>
      </c>
      <c r="G41" s="1215">
        <v>7.38</v>
      </c>
      <c r="H41" s="1215">
        <v>7.56</v>
      </c>
      <c r="I41" s="1215">
        <v>4.59</v>
      </c>
      <c r="J41" s="1215">
        <v>5.04</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39284</v>
      </c>
      <c r="D42" s="1215">
        <v>6.03</v>
      </c>
      <c r="E42" s="1215">
        <v>6.84</v>
      </c>
      <c r="F42" s="1215">
        <v>7.02</v>
      </c>
      <c r="G42" s="1215">
        <v>7.2</v>
      </c>
      <c r="H42" s="1215">
        <v>7.38</v>
      </c>
      <c r="I42" s="1215">
        <v>4.5</v>
      </c>
      <c r="J42" s="1215">
        <v>4.95</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39221</v>
      </c>
      <c r="D43" s="1215">
        <v>5.85</v>
      </c>
      <c r="E43" s="1215">
        <v>6.57</v>
      </c>
      <c r="F43" s="1215">
        <v>6.75</v>
      </c>
      <c r="G43" s="1215">
        <v>6.93</v>
      </c>
      <c r="H43" s="1215">
        <v>7.2</v>
      </c>
      <c r="I43" s="1215">
        <v>4.41</v>
      </c>
      <c r="J43" s="1215">
        <v>4.8600000000000003</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39159</v>
      </c>
      <c r="D44" s="1215">
        <v>5.67</v>
      </c>
      <c r="E44" s="1215">
        <v>6.39</v>
      </c>
      <c r="F44" s="1215">
        <v>6.57</v>
      </c>
      <c r="G44" s="1215">
        <v>6.75</v>
      </c>
      <c r="H44" s="1215">
        <v>7.11</v>
      </c>
      <c r="I44" s="1215">
        <v>4.32</v>
      </c>
      <c r="J44" s="1215">
        <v>4.7699999999999996</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38948</v>
      </c>
      <c r="D45" s="1215">
        <v>5.58</v>
      </c>
      <c r="E45" s="1215">
        <v>6.12</v>
      </c>
      <c r="F45" s="1215">
        <v>6.3</v>
      </c>
      <c r="G45" s="1215">
        <v>6.48</v>
      </c>
      <c r="H45" s="1215">
        <v>6.84</v>
      </c>
      <c r="I45" s="1215">
        <v>4.1399999999999997</v>
      </c>
      <c r="J45" s="1215">
        <v>4.59</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38835</v>
      </c>
      <c r="D46" s="1215">
        <v>5.4</v>
      </c>
      <c r="E46" s="1215">
        <v>5.85</v>
      </c>
      <c r="F46" s="1215">
        <v>6.03</v>
      </c>
      <c r="G46" s="1215">
        <v>6.12</v>
      </c>
      <c r="H46" s="1215">
        <v>6.39</v>
      </c>
      <c r="I46" s="1215">
        <v>4.1399999999999997</v>
      </c>
      <c r="J46" s="1215">
        <v>4.59</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38428</v>
      </c>
      <c r="D47" s="1215">
        <v>5.22</v>
      </c>
      <c r="E47" s="1215">
        <v>5.58</v>
      </c>
      <c r="F47" s="1215">
        <v>5.76</v>
      </c>
      <c r="G47" s="1215">
        <v>5.85</v>
      </c>
      <c r="H47" s="1215">
        <v>6.12</v>
      </c>
      <c r="I47" s="1215">
        <v>3.96</v>
      </c>
      <c r="J47" s="1215">
        <v>4.41</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38289</v>
      </c>
      <c r="D48" s="1215">
        <v>5.22</v>
      </c>
      <c r="E48" s="1215">
        <v>5.58</v>
      </c>
      <c r="F48" s="1215">
        <v>5.76</v>
      </c>
      <c r="G48" s="1215">
        <v>5.85</v>
      </c>
      <c r="H48" s="1215">
        <v>6.12</v>
      </c>
      <c r="I48" s="1215">
        <v>3.78</v>
      </c>
      <c r="J48" s="1215">
        <v>4.2300000000000004</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37308</v>
      </c>
      <c r="D49" s="1215">
        <v>5.04</v>
      </c>
      <c r="E49" s="1215">
        <v>5.31</v>
      </c>
      <c r="F49" s="1215">
        <v>5.49</v>
      </c>
      <c r="G49" s="1215">
        <v>5.58</v>
      </c>
      <c r="H49" s="1215">
        <v>5.76</v>
      </c>
      <c r="I49" s="1215">
        <v>3.6</v>
      </c>
      <c r="J49" s="1215">
        <v>4.05</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36321</v>
      </c>
      <c r="D50" s="1215">
        <v>5.58</v>
      </c>
      <c r="E50" s="1215">
        <v>5.85</v>
      </c>
      <c r="F50" s="1215">
        <v>5.94</v>
      </c>
      <c r="G50" s="1215">
        <v>6.03</v>
      </c>
      <c r="H50" s="1215">
        <v>6.21</v>
      </c>
      <c r="I50" s="1215">
        <v>4.1399999999999997</v>
      </c>
      <c r="J50" s="1215">
        <v>4.59</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36136</v>
      </c>
      <c r="D51" s="1215">
        <v>6.12</v>
      </c>
      <c r="E51" s="1215">
        <v>6.39</v>
      </c>
      <c r="F51" s="1215">
        <v>6.66</v>
      </c>
      <c r="G51" s="1215">
        <v>7.2</v>
      </c>
      <c r="H51" s="1215">
        <v>7.56</v>
      </c>
      <c r="I51" s="1215">
        <v>0</v>
      </c>
      <c r="J51" s="1215">
        <v>0</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35977</v>
      </c>
      <c r="D52" s="1215">
        <v>6.57</v>
      </c>
      <c r="E52" s="1215">
        <v>6.93</v>
      </c>
      <c r="F52" s="1215">
        <v>7.11</v>
      </c>
      <c r="G52" s="1215">
        <v>7.65</v>
      </c>
      <c r="H52" s="1215">
        <v>8.01</v>
      </c>
      <c r="I52" s="1215">
        <v>0</v>
      </c>
      <c r="J52" s="1215">
        <v>0</v>
      </c>
      <c r="L52" s="1215"/>
      <c r="M52" s="1216"/>
      <c r="N52" s="1215"/>
      <c r="O52" s="1215"/>
      <c r="P52" s="1215"/>
      <c r="Q52" s="1215"/>
      <c r="R52" s="1215"/>
      <c r="S52" s="1215"/>
      <c r="T52" s="1215"/>
      <c r="U52" s="1215"/>
      <c r="V52" s="1215"/>
      <c r="W52" s="1215"/>
      <c r="X52" s="1215"/>
      <c r="Y52" s="1215"/>
      <c r="Z52" s="1215"/>
    </row>
    <row r="53" spans="2:26">
      <c r="B53" s="1215"/>
      <c r="C53" s="1216">
        <v>35879</v>
      </c>
      <c r="D53" s="1215">
        <v>7.02</v>
      </c>
      <c r="E53" s="1215">
        <v>7.92</v>
      </c>
      <c r="F53" s="1215">
        <v>9</v>
      </c>
      <c r="G53" s="1215">
        <v>9.7200000000000006</v>
      </c>
      <c r="H53" s="1215">
        <v>10.35</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35726</v>
      </c>
      <c r="D54" s="1215">
        <v>7.65</v>
      </c>
      <c r="E54" s="1215">
        <v>8.64</v>
      </c>
      <c r="F54" s="1215">
        <v>9.36</v>
      </c>
      <c r="G54" s="1215">
        <v>9.9</v>
      </c>
      <c r="H54" s="1215">
        <v>10.53</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35300</v>
      </c>
      <c r="D55" s="1215">
        <v>9.18</v>
      </c>
      <c r="E55" s="1215">
        <v>10.08</v>
      </c>
      <c r="F55" s="1215">
        <v>10.98</v>
      </c>
      <c r="G55" s="1215">
        <v>11.7</v>
      </c>
      <c r="H55" s="1215">
        <v>12.42</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35186</v>
      </c>
      <c r="D56" s="1215">
        <v>9.7200000000000006</v>
      </c>
      <c r="E56" s="1215">
        <v>10.98</v>
      </c>
      <c r="F56" s="1215">
        <v>13.14</v>
      </c>
      <c r="G56" s="1215">
        <v>14.94</v>
      </c>
      <c r="H56" s="1215">
        <v>15.12</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34881</v>
      </c>
      <c r="D57" s="1215">
        <v>10.08</v>
      </c>
      <c r="E57" s="1215">
        <v>12.06</v>
      </c>
      <c r="F57" s="1215">
        <v>13.5</v>
      </c>
      <c r="G57" s="1215">
        <v>15.12</v>
      </c>
      <c r="H57" s="1215">
        <v>15.3</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34700</v>
      </c>
      <c r="D58" s="1215">
        <v>9</v>
      </c>
      <c r="E58" s="1215">
        <v>10.98</v>
      </c>
      <c r="F58" s="1215">
        <v>12.96</v>
      </c>
      <c r="G58" s="1215">
        <v>14.58</v>
      </c>
      <c r="H58" s="1215">
        <v>14.76</v>
      </c>
      <c r="I58" s="1215">
        <v>0</v>
      </c>
      <c r="J58" s="1215">
        <v>0</v>
      </c>
    </row>
    <row r="59" spans="2:26">
      <c r="B59" s="1215"/>
      <c r="C59" s="1216">
        <v>34161</v>
      </c>
      <c r="D59" s="1215">
        <v>9</v>
      </c>
      <c r="E59" s="1215">
        <v>10.98</v>
      </c>
      <c r="F59" s="1215">
        <v>12.24</v>
      </c>
      <c r="G59" s="1215">
        <v>13.86</v>
      </c>
      <c r="H59" s="1215">
        <v>14.04</v>
      </c>
      <c r="I59" s="1215">
        <v>0</v>
      </c>
      <c r="J59" s="1215">
        <v>0</v>
      </c>
    </row>
    <row r="60" spans="2:26">
      <c r="B60" s="1215"/>
      <c r="C60" s="1216">
        <v>34104</v>
      </c>
      <c r="D60" s="1215">
        <v>8.82</v>
      </c>
      <c r="E60" s="1215">
        <v>9.36</v>
      </c>
      <c r="F60" s="1215">
        <v>10.8</v>
      </c>
      <c r="G60" s="1215">
        <v>12.06</v>
      </c>
      <c r="H60" s="1215">
        <v>12.24</v>
      </c>
      <c r="I60" s="1215">
        <v>0</v>
      </c>
      <c r="J60" s="1215">
        <v>0</v>
      </c>
    </row>
    <row r="61" spans="2:26">
      <c r="B61" s="1215"/>
      <c r="C61" s="1216">
        <v>33349</v>
      </c>
      <c r="D61" s="1215">
        <v>8.1</v>
      </c>
      <c r="E61" s="1215">
        <v>8.64</v>
      </c>
      <c r="F61" s="1215">
        <v>9</v>
      </c>
      <c r="G61" s="1215">
        <v>9.5399999999999991</v>
      </c>
      <c r="H61" s="1215">
        <v>9.7200000000000006</v>
      </c>
      <c r="I61" s="1215">
        <v>0</v>
      </c>
      <c r="J61" s="1215">
        <v>0</v>
      </c>
    </row>
    <row r="62" spans="2:26">
      <c r="B62" s="1215"/>
      <c r="C62" s="1216">
        <v>33318</v>
      </c>
      <c r="D62" s="1215">
        <v>9</v>
      </c>
      <c r="E62" s="1215">
        <v>10.08</v>
      </c>
      <c r="F62" s="1215">
        <v>10.8</v>
      </c>
      <c r="G62" s="1215">
        <v>11.52</v>
      </c>
      <c r="H62" s="1215">
        <v>11.88</v>
      </c>
      <c r="I62" s="1215" t="s">
        <v>965</v>
      </c>
      <c r="J62" s="1215" t="s">
        <v>965</v>
      </c>
    </row>
    <row r="63" spans="2:26">
      <c r="B63" s="1215"/>
      <c r="C63" s="1216">
        <v>33106</v>
      </c>
      <c r="D63" s="1215">
        <v>8.64</v>
      </c>
      <c r="E63" s="1215">
        <v>9.36</v>
      </c>
      <c r="F63" s="1215">
        <v>10.08</v>
      </c>
      <c r="G63" s="1215">
        <v>10.8</v>
      </c>
      <c r="H63" s="1215">
        <v>11.16</v>
      </c>
      <c r="I63" s="1215">
        <v>0</v>
      </c>
      <c r="J63" s="1215">
        <v>0</v>
      </c>
    </row>
    <row r="64" spans="2:26">
      <c r="B64" s="1215"/>
      <c r="C64" s="1216">
        <v>32540</v>
      </c>
      <c r="D64" s="1215">
        <v>11.34</v>
      </c>
      <c r="E64" s="1215">
        <v>11.34</v>
      </c>
      <c r="F64" s="1215">
        <v>12.78</v>
      </c>
      <c r="G64" s="1215">
        <v>14.4</v>
      </c>
      <c r="H64" s="1215">
        <v>19.260000000000002</v>
      </c>
      <c r="I64" s="1215">
        <v>0</v>
      </c>
      <c r="J64" s="1215">
        <v>0</v>
      </c>
    </row>
    <row r="65" spans="2:10">
      <c r="B65" s="1215"/>
      <c r="C65" s="1216"/>
      <c r="D65" s="1215"/>
      <c r="E65" s="1215"/>
      <c r="F65" s="1215"/>
      <c r="G65" s="1215"/>
      <c r="H65" s="1215"/>
      <c r="I65" s="1215"/>
      <c r="J65" s="1215"/>
    </row>
    <row r="66" spans="2:10">
      <c r="B66" s="1219"/>
      <c r="C66" s="1220"/>
      <c r="D66" s="1219"/>
      <c r="E66" s="1219"/>
      <c r="F66" s="1219"/>
      <c r="G66" s="1219"/>
      <c r="H66" s="1219"/>
      <c r="I66" s="1219"/>
      <c r="J66" s="1219"/>
    </row>
    <row r="67" spans="2:10">
      <c r="B67" s="1219"/>
      <c r="C67" s="1220"/>
      <c r="D67" s="1219"/>
      <c r="E67" s="1219"/>
      <c r="F67" s="1219"/>
      <c r="G67" s="1219"/>
      <c r="H67" s="1219"/>
      <c r="I67" s="1219"/>
      <c r="J67" s="1219"/>
    </row>
    <row r="68" spans="2:10">
      <c r="B68" s="1219"/>
      <c r="C68" s="1220"/>
      <c r="D68" s="1219"/>
      <c r="E68" s="1219"/>
      <c r="F68" s="1219"/>
      <c r="G68" s="1219"/>
      <c r="H68" s="1219"/>
      <c r="I68" s="1219"/>
      <c r="J68" s="1219"/>
    </row>
    <row r="69" spans="2:10">
      <c r="B69" s="1166"/>
      <c r="C69" s="1166"/>
      <c r="D69" s="1166"/>
      <c r="E69" s="1166"/>
      <c r="F69" s="1166"/>
      <c r="G69" s="1166"/>
      <c r="H69" s="1166"/>
      <c r="I69" s="1166"/>
      <c r="J69" s="1166"/>
    </row>
    <row r="70" spans="2:10">
      <c r="B70" s="1166"/>
      <c r="C70" s="1166"/>
      <c r="D70" s="1166"/>
      <c r="E70" s="1166"/>
      <c r="F70" s="1166"/>
      <c r="G70" s="1166"/>
      <c r="H70" s="1166"/>
      <c r="I70" s="1166"/>
      <c r="J70" s="116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37:S43"/>
  <sheetViews>
    <sheetView topLeftCell="H1" zoomScale="130" zoomScaleNormal="130" workbookViewId="0">
      <selection activeCell="L28" sqref="L28"/>
    </sheetView>
  </sheetViews>
  <sheetFormatPr defaultRowHeight="13.5"/>
  <sheetData>
    <row r="37" spans="16:19">
      <c r="P37">
        <v>62</v>
      </c>
      <c r="Q37">
        <v>4500</v>
      </c>
      <c r="R37">
        <f>Q37/P37</f>
        <v>72.58064516129032</v>
      </c>
      <c r="S37">
        <f>R37*$P$43</f>
        <v>5352.0967741935483</v>
      </c>
    </row>
    <row r="38" spans="16:19">
      <c r="P38">
        <v>55</v>
      </c>
      <c r="Q38">
        <v>4600</v>
      </c>
      <c r="R38">
        <f t="shared" ref="R38:R40" si="0">Q38/P38</f>
        <v>83.63636363636364</v>
      </c>
      <c r="S38">
        <f t="shared" ref="S38:S40" si="1">R38*$P$43</f>
        <v>6167.3454545454542</v>
      </c>
    </row>
    <row r="39" spans="16:19">
      <c r="P39">
        <v>42.84</v>
      </c>
      <c r="Q39">
        <v>3800</v>
      </c>
      <c r="R39">
        <f t="shared" si="0"/>
        <v>88.702147525676935</v>
      </c>
      <c r="S39">
        <f t="shared" si="1"/>
        <v>6540.8963585434167</v>
      </c>
    </row>
    <row r="40" spans="16:19">
      <c r="P40">
        <v>62</v>
      </c>
      <c r="Q40">
        <v>4600</v>
      </c>
      <c r="R40">
        <f t="shared" si="0"/>
        <v>74.193548387096769</v>
      </c>
      <c r="S40">
        <f t="shared" si="1"/>
        <v>5471.0322580645152</v>
      </c>
    </row>
    <row r="41" spans="16:19">
      <c r="R41">
        <f>AVERAGE(R37:R40)</f>
        <v>79.778176177606923</v>
      </c>
    </row>
    <row r="43" spans="16:19">
      <c r="P43">
        <v>73.739999999999995</v>
      </c>
      <c r="R43">
        <f>R41*P43</f>
        <v>5882.8427113367343</v>
      </c>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2020-08-03T08:20:51Z</cp:lastPrinted>
  <dcterms:created xsi:type="dcterms:W3CDTF">2015-07-13T07:17:23Z</dcterms:created>
  <dcterms:modified xsi:type="dcterms:W3CDTF">2022-04-26T09:25:31Z</dcterms:modified>
</cp:coreProperties>
</file>