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E20" i="1"/>
  <c r="H20" i="1"/>
  <c r="I27" i="21"/>
  <c r="G27" i="21"/>
  <c r="E27" i="21"/>
  <c r="C33" i="21" l="1"/>
  <c r="D93" i="21"/>
  <c r="E93" i="21" s="1"/>
  <c r="I5" i="34" l="1"/>
  <c r="G5" i="34"/>
  <c r="E5" i="34"/>
  <c r="C34" i="34"/>
  <c r="C37" i="34" l="1"/>
  <c r="E37" i="34" s="1"/>
  <c r="G37" i="34" s="1"/>
  <c r="I37" i="34" s="1"/>
  <c r="C37" i="21"/>
  <c r="E37" i="21" s="1"/>
  <c r="G37" i="21" s="1"/>
  <c r="I37" i="21" s="1"/>
  <c r="G14" i="6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21"/>
  <c r="E2" i="36"/>
  <c r="D6" i="61"/>
  <c r="D7" i="61"/>
  <c r="F4" i="61"/>
  <c r="E2" i="11"/>
  <c r="C19" i="57"/>
  <c r="D19" i="57"/>
  <c r="F7" i="61"/>
  <c r="E2" i="33"/>
  <c r="E2" i="37"/>
  <c r="E2" i="35"/>
  <c r="D3" i="61"/>
  <c r="E2" i="34"/>
  <c r="F3" i="61"/>
  <c r="D5" i="61"/>
  <c r="F6" i="61"/>
  <c r="F5" i="61"/>
  <c r="D4" i="61"/>
  <c r="H23" i="31"/>
  <c r="D20" i="57"/>
  <c r="C20" i="57"/>
  <c r="AA36" i="21" l="1"/>
  <c r="U28" i="21"/>
  <c r="AB37" i="21"/>
  <c r="C9" i="11"/>
  <c r="C7" i="11"/>
  <c r="C110" i="57"/>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U17" i="21"/>
  <c r="W1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17" i="21" l="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D117" i="9"/>
  <c r="D44" i="50" s="1"/>
  <c r="I102" i="9"/>
  <c r="N48" i="9" s="1"/>
  <c r="D30" i="50"/>
  <c r="D9" i="50"/>
  <c r="B21" i="60" s="1"/>
  <c r="I111" i="9"/>
  <c r="F122" i="9"/>
  <c r="F5" i="52" s="1"/>
  <c r="B42" i="60" s="1"/>
  <c r="F4" i="52"/>
  <c r="B40" i="60" s="1"/>
  <c r="C103" i="9"/>
  <c r="H4" i="52"/>
  <c r="D122" i="9"/>
  <c r="D5" i="52" s="1"/>
  <c r="B39" i="60" s="1"/>
  <c r="D4" i="52"/>
  <c r="B37" i="60" s="1"/>
  <c r="F14" i="62" l="1"/>
  <c r="C5" i="62"/>
  <c r="I110" i="9"/>
  <c r="D125" i="9" s="1"/>
  <c r="D8" i="52" s="1"/>
  <c r="I115" i="9"/>
  <c r="D23" i="50" s="1"/>
  <c r="B34" i="60" s="1"/>
  <c r="E14" i="62"/>
  <c r="D28" i="50"/>
  <c r="D29" i="50" s="1"/>
  <c r="D7" i="50"/>
  <c r="B19" i="60" s="1"/>
  <c r="D45" i="9"/>
  <c r="C72" i="9" s="1"/>
  <c r="G14" i="62"/>
  <c r="B6" i="62" s="1"/>
  <c r="C6" i="62" s="1"/>
  <c r="D126" i="9"/>
  <c r="D9" i="52" s="1"/>
  <c r="D17" i="50"/>
  <c r="D36" i="50" l="1"/>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<sst xmlns="http://schemas.openxmlformats.org/spreadsheetml/2006/main" count="7113" uniqueCount="3101">
  <si>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</si>
  <si>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</si>
  <si>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</si>
  <si>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</si>
  <si>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</si>
  <si>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</si>
  <si>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</si>
  <si>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</si>
  <si>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</si>
  <si>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</si>
  <si>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</si>
  <si>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</si>
  <si>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</si>
  <si>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</si>
  <si>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</si>
  <si>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</si>
  <si>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</si>
  <si>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</si>
  <si>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</si>
  <si>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</si>
  <si>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</si>
  <si>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</si>
  <si>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</si>
  <si>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</si>
  <si>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</si>
  <si>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</si>
  <si>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</si>
  <si>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</si>
  <si>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</si>
  <si>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</si>
  <si>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</si>
  <si>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</si>
  <si>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</si>
  <si>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</si>
  <si>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</si>
  <si>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</si>
  <si>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</si>
  <si>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</si>
  <si>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</si>
  <si>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</si>
  <si>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</si>
  <si>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</si>
  <si>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</si>
  <si>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</si>
  <si>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</si>
  <si>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</si>
  <si>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</si>
  <si>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</si>
  <si>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</si>
  <si>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</si>
  <si>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</si>
  <si>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</si>
  <si>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</si>
  <si>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</si>
  <si>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</si>
  <si>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</si>
  <si>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</si>
  <si>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</si>
  <si>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</si>
  <si>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</si>
  <si>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</si>
  <si>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</si>
  <si>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</si>
  <si>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</si>
  <si>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</si>
  <si>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</si>
  <si>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</si>
  <si>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</si>
  <si>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</si>
  <si>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</si>
  <si>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</si>
  <si>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</si>
  <si>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</si>
  <si>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</si>
  <si>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</si>
  <si>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</si>
  <si>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</si>
  <si>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</si>
  <si>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</si>
  <si>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</si>
  <si>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</si>
  <si>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</si>
  <si>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</si>
  <si>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</si>
  <si>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</si>
  <si>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</si>
  <si>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</si>
  <si>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</si>
  <si>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</si>
  <si>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</si>
  <si>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</si>
  <si>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</si>
  <si>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</si>
  <si>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</si>
  <si>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</si>
  <si>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</si>
  <si>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</si>
  <si>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</si>
  <si>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</si>
  <si>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</si>
  <si>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</si>
  <si>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</si>
  <si>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</si>
  <si>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</si>
  <si>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</si>
  <si>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</si>
  <si>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</si>
  <si>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</si>
  <si>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</si>
  <si>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</si>
  <si>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</si>
  <si>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</si>
  <si>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</si>
  <si>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</si>
  <si>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</si>
  <si>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</si>
  <si>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</si>
  <si>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</si>
  <si>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</si>
  <si>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</si>
  <si>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</si>
  <si>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</si>
  <si>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</si>
  <si>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</si>
  <si>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</si>
  <si>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</si>
  <si>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</si>
  <si>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</si>
  <si>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</si>
  <si>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</si>
  <si>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</si>
  <si>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</si>
  <si>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</si>
  <si>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</si>
  <si>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</si>
  <si>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</si>
  <si>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</si>
  <si>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</si>
  <si>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</si>
  <si>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</si>
  <si>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</si>
  <si>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</si>
  <si>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</si>
  <si>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</si>
  <si>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</si>
  <si>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</si>
  <si>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</si>
  <si>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</si>
  <si>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</si>
  <si>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</si>
  <si>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</si>
  <si>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</si>
  <si>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</si>
  <si>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</si>
  <si>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</si>
  <si>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</si>
  <si>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</si>
  <si>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</si>
  <si>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</si>
  <si>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</si>
  <si>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</si>
  <si>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</si>
  <si>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</si>
  <si>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</si>
  <si>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</si>
  <si>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</si>
  <si>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</si>
  <si>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</si>
  <si>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</si>
  <si>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</si>
  <si>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</si>
  <si>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</si>
  <si>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</si>
  <si>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</si>
  <si>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</si>
  <si>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</si>
  <si>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</si>
  <si>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</si>
  <si>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</si>
  <si>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</si>
  <si>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</si>
  <si>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</si>
  <si>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</si>
  <si>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</si>
  <si>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</si>
  <si>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</si>
  <si>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</si>
  <si>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</si>
  <si>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</si>
  <si>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</si>
  <si>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</si>
  <si>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</si>
  <si>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</si>
  <si>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</si>
  <si>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</si>
  <si>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</si>
  <si>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</si>
  <si>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</si>
  <si>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</si>
  <si>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</si>
  <si>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</si>
  <si>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</si>
  <si>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</si>
  <si>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</si>
  <si>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</si>
  <si>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</si>
  <si>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</si>
  <si>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</si>
  <si>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</si>
  <si>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</si>
  <si>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</si>
  <si>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</si>
  <si>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</si>
  <si>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</si>
  <si>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</si>
  <si>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</si>
  <si>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</si>
  <si>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</si>
  <si>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</si>
  <si>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</si>
  <si>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</si>
  <si>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</si>
  <si>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</si>
  <si>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</si>
  <si>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</si>
  <si>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</si>
  <si>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</si>
  <si>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</si>
  <si>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</si>
  <si>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</si>
  <si>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</si>
  <si>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</si>
  <si>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</si>
  <si>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</si>
  <si>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</si>
  <si>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</si>
  <si>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</si>
  <si>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</si>
  <si>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</si>
  <si>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</si>
  <si>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</si>
  <si>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</si>
  <si>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</si>
  <si>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</si>
  <si>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</si>
  <si>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</si>
  <si>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</si>
  <si>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</si>
  <si>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</si>
  <si>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</si>
  <si>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</si>
  <si>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</si>
  <si>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</si>
  <si>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</si>
  <si>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</si>
  <si>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</si>
  <si>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</si>
  <si>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</si>
  <si>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</si>
  <si>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</si>
  <si>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</si>
  <si>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</si>
  <si>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</si>
  <si>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</si>
  <si>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</si>
  <si>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</si>
  <si>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</si>
  <si>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</si>
  <si>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</si>
  <si>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</si>
  <si>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</si>
  <si>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</si>
  <si>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</si>
  <si>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</si>
  <si>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</si>
  <si>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</si>
  <si>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</si>
  <si>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</si>
  <si>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</si>
  <si>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</si>
  <si>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</si>
  <si>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</si>
  <si>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</si>
  <si>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</si>
  <si>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</si>
  <si>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</si>
  <si>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</si>
  <si>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</si>
  <si>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</si>
  <si>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</si>
  <si>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</si>
  <si>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</si>
  <si>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</si>
  <si>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</si>
  <si>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</si>
  <si>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</si>
  <si>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</si>
  <si>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</si>
  <si>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</si>
  <si>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</si>
  <si>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</si>
  <si>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</si>
  <si>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</si>
  <si>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</si>
  <si>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</si>
  <si>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</si>
  <si>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</si>
  <si>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</si>
  <si>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</si>
  <si>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</si>
  <si>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</si>
  <si>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</si>
  <si>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</si>
  <si>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</si>
  <si>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</si>
  <si>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</si>
  <si>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</si>
  <si>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</si>
  <si>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</si>
  <si>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</si>
  <si>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</si>
  <si>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</si>
  <si>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</si>
  <si>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</si>
  <si>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</si>
  <si>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</si>
  <si>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</si>
  <si>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</si>
  <si>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</si>
  <si>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</si>
  <si>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</si>
  <si>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</si>
  <si>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</si>
  <si>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</si>
  <si>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</si>
  <si>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</si>
  <si>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</si>
  <si>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</si>
  <si>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</si>
  <si>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</si>
  <si>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</si>
  <si>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</si>
  <si>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</si>
  <si>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</si>
  <si>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</si>
  <si>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</si>
  <si>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</si>
  <si>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</si>
  <si>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</si>
  <si>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</si>
  <si>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</si>
  <si>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</si>
  <si>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</si>
  <si>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</si>
  <si>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</si>
  <si>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</si>
  <si>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</si>
  <si>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</si>
  <si>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</si>
  <si>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</si>
  <si>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</si>
  <si>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</si>
  <si>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</si>
  <si>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</si>
  <si>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</si>
  <si>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</si>
  <si>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</si>
  <si>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</si>
  <si>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</si>
  <si>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</si>
  <si>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</si>
  <si>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</si>
  <si>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</si>
  <si>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</si>
  <si>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</si>
  <si>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</si>
  <si>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</si>
  <si>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</si>
  <si>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</si>
  <si>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</si>
  <si>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</si>
  <si>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</si>
  <si>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</si>
  <si>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</si>
  <si>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</si>
  <si>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</si>
  <si>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</si>
  <si>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</si>
  <si>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</si>
  <si>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</si>
  <si>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</si>
  <si>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</si>
  <si>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</si>
  <si>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</si>
  <si>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</si>
  <si>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</si>
  <si>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</si>
  <si>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</si>
  <si>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</si>
  <si>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</si>
  <si>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</si>
  <si>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</si>
  <si>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</si>
  <si>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</si>
  <si>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</si>
  <si>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</si>
  <si>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</si>
  <si>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</si>
  <si>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</si>
  <si>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</si>
  <si>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</si>
  <si>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</si>
  <si>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</si>
  <si>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</si>
  <si>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</si>
  <si>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</si>
  <si>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</si>
  <si>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</si>
  <si>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</si>
  <si>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</si>
  <si>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</si>
  <si>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</si>
  <si>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</si>
  <si>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</si>
  <si>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</si>
  <si>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</si>
  <si>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</si>
  <si>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</si>
  <si>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</si>
  <si>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</si>
  <si>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</si>
  <si>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</si>
  <si>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</si>
  <si>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</si>
  <si>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</si>
  <si>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</si>
  <si>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</si>
  <si>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</si>
  <si>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</si>
  <si>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</si>
  <si>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</si>
  <si>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</si>
  <si>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</si>
  <si>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</si>
  <si>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</si>
  <si>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</si>
  <si>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</si>
  <si>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</si>
  <si>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</si>
  <si>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</si>
  <si>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</si>
  <si>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</si>
  <si>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</si>
  <si>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</si>
  <si>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</si>
  <si>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</si>
  <si>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</si>
  <si>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</si>
  <si>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</si>
  <si>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</si>
  <si>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</si>
  <si>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</si>
  <si>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</si>
  <si>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</si>
  <si>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</si>
  <si>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</si>
  <si>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</si>
  <si>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</si>
  <si>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</si>
  <si>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</si>
  <si>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</si>
  <si>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</si>
  <si>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</si>
  <si>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</si>
  <si>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</si>
  <si>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</si>
  <si>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</si>
  <si>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</si>
  <si>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</si>
  <si>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</si>
  <si>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</si>
  <si>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</si>
  <si>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</si>
  <si>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</si>
  <si>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</si>
  <si>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</si>
  <si>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</si>
  <si>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</si>
  <si>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</si>
  <si>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</si>
  <si>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</si>
  <si>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</si>
  <si>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</si>
  <si>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</si>
  <si>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</si>
  <si>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</si>
  <si>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</si>
  <si>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</si>
  <si>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</si>
  <si>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</si>
  <si>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</si>
  <si>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</si>
  <si>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</si>
  <si>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</si>
  <si>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</si>
  <si>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</si>
  <si>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</si>
  <si>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</si>
  <si>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</si>
  <si>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</si>
  <si>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</si>
  <si>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</si>
  <si>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</si>
  <si>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</si>
  <si>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</si>
  <si>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</si>
  <si>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</si>
  <si>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</si>
  <si>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</si>
  <si>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</si>
  <si>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</si>
  <si>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</si>
  <si>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</si>
  <si>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</si>
  <si>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</si>
  <si>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</si>
  <si>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</si>
  <si>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</si>
  <si>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</si>
  <si>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</si>
  <si>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</si>
  <si>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</si>
  <si>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</si>
  <si>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</si>
  <si>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</si>
  <si>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</si>
  <si>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</si>
  <si>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</si>
  <si>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</si>
  <si>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</si>
  <si>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</si>
  <si>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</si>
  <si>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</si>
  <si>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</si>
  <si>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</si>
  <si>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</si>
  <si>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</si>
  <si>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</si>
  <si>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</si>
  <si>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</si>
  <si>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</si>
  <si>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</si>
  <si>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</si>
  <si>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</si>
  <si>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</si>
  <si>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</si>
  <si>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</si>
  <si>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</si>
  <si>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</si>
  <si>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</si>
  <si>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</si>
  <si>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</si>
  <si>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</si>
  <si>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</si>
  <si>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</si>
  <si>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</si>
  <si>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</si>
  <si>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</si>
  <si>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</si>
  <si>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</si>
  <si>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</si>
  <si>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</si>
  <si>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</si>
  <si>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</si>
  <si>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</si>
  <si>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</si>
  <si>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</si>
  <si>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</si>
  <si>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</si>
  <si>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</si>
  <si>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</si>
  <si>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</si>
  <si>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</si>
  <si>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</si>
  <si>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</si>
  <si>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</si>
  <si>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</si>
  <si>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</si>
  <si>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</si>
  <si>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</si>
  <si>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</si>
  <si>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</si>
  <si>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</si>
  <si>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</si>
  <si>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</si>
  <si>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</si>
  <si>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</si>
  <si>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</si>
  <si>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</si>
  <si>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</si>
  <si>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</si>
  <si>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</si>
  <si>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</si>
  <si>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</si>
  <si>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</si>
  <si>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</si>
  <si>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</si>
  <si>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</si>
  <si>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</si>
  <si>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</si>
  <si>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</si>
  <si>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</si>
  <si>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</si>
  <si>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</si>
  <si>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</si>
  <si>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</si>
  <si>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</si>
  <si>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</si>
  <si>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</si>
  <si>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</si>
  <si>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</si>
  <si>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</si>
  <si>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</si>
  <si>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</si>
  <si>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</si>
  <si>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</si>
  <si>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</si>
  <si>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</si>
  <si>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</si>
  <si>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</si>
  <si>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</si>
  <si>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</si>
  <si>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</si>
  <si>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</si>
  <si>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</si>
  <si>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</si>
  <si>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</si>
  <si>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</si>
  <si>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</si>
  <si>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</si>
  <si>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</si>
  <si>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</si>
  <si>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</si>
  <si>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</si>
  <si>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</si>
  <si>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</si>
  <si>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</si>
  <si>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</si>
  <si>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</si>
  <si>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</si>
  <si>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</si>
  <si>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</si>
  <si>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</si>
  <si>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</si>
  <si>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</si>
  <si>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</si>
  <si>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</si>
  <si>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</si>
  <si>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</si>
  <si>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</si>
  <si>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</si>
  <si>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</si>
  <si>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</si>
  <si>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</si>
  <si>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</si>
  <si>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</si>
  <si>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</si>
  <si>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</si>
  <si>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</si>
  <si>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</si>
  <si>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</si>
  <si>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</si>
  <si>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</si>
  <si>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</si>
  <si>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</si>
  <si>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</si>
  <si>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</si>
  <si>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</si>
  <si>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</si>
  <si>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</si>
  <si>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</si>
  <si>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</si>
  <si>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</si>
  <si>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</si>
  <si>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</si>
  <si>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</si>
  <si>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</si>
  <si>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</si>
  <si>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</si>
  <si>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</si>
  <si>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</si>
  <si>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</si>
  <si>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</si>
  <si>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</si>
  <si>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</si>
  <si>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</si>
  <si>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</si>
  <si>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</si>
  <si>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</si>
  <si>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</si>
  <si>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</si>
  <si>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</si>
  <si>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</si>
  <si>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</si>
  <si>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</si>
  <si>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</si>
  <si>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</si>
  <si>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</si>
  <si>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</si>
  <si>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</si>
  <si>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</si>
  <si>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</si>
  <si>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</si>
  <si>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</si>
  <si>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</si>
  <si>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</si>
  <si>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</si>
  <si>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</si>
  <si>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</si>
  <si>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</si>
  <si>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</si>
  <si>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</si>
  <si>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</si>
  <si>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</si>
  <si>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</si>
  <si>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</si>
  <si>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</si>
  <si>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</si>
  <si>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</si>
  <si>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</si>
  <si>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</si>
  <si>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</si>
  <si>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</si>
  <si>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</si>
  <si>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</si>
  <si>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</si>
  <si>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</si>
  <si>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</si>
  <si>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</si>
  <si>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</si>
  <si>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</si>
  <si>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</si>
  <si>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</si>
  <si>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</si>
  <si>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</si>
  <si>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</si>
  <si>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</si>
  <si>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</si>
  <si>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</si>
  <si>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</si>
  <si>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</si>
  <si>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</si>
  <si>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</si>
  <si>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</si>
  <si>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</si>
  <si>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</si>
  <si>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</si>
  <si>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</si>
  <si>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</si>
  <si>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</si>
  <si>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</si>
  <si>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</si>
  <si>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</si>
  <si>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</si>
  <si>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</si>
  <si>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</si>
  <si>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</si>
  <si>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</si>
  <si>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</si>
  <si>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</si>
  <si>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</si>
  <si>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</si>
  <si>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</si>
  <si>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</si>
  <si>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</si>
  <si>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</si>
  <si>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</si>
  <si>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</si>
  <si>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</si>
  <si>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</si>
  <si>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</si>
  <si>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</si>
  <si>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</si>
  <si>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</si>
  <si>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</si>
  <si>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</si>
  <si>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</si>
  <si>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</si>
  <si>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</si>
  <si>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</si>
  <si>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</si>
  <si>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</si>
  <si>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</si>
  <si>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</si>
  <si>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</si>
  <si>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</si>
  <si>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</si>
  <si>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</si>
  <si>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</si>
  <si>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</si>
  <si>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</si>
  <si>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</si>
  <si>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</si>
  <si>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</si>
  <si>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</si>
  <si>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</si>
  <si>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</si>
  <si>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</si>
  <si>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</si>
  <si>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</si>
  <si>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</si>
  <si>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</si>
  <si>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</si>
  <si>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</si>
  <si>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</si>
  <si>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</si>
  <si>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</si>
  <si>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</si>
  <si>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</si>
  <si>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</si>
  <si>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</si>
  <si>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</si>
  <si>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</si>
  <si>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</si>
  <si>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</si>
  <si>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</si>
  <si>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</si>
  <si>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</si>
  <si>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</si>
  <si>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</si>
  <si>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</si>
  <si>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</si>
  <si>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</si>
  <si>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</si>
  <si>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</si>
  <si>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</si>
  <si>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</si>
  <si>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</si>
  <si>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</si>
  <si>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</si>
  <si>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</si>
  <si>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</si>
  <si>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</si>
  <si>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</si>
  <si>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</si>
  <si>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</si>
  <si>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</si>
  <si>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</si>
  <si>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</si>
  <si>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</si>
  <si>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</si>
  <si>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</si>
  <si>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</si>
  <si>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</si>
  <si>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</si>
  <si>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</si>
  <si>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</si>
  <si>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</si>
  <si>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</si>
  <si>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</si>
  <si>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</si>
  <si>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</si>
  <si>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</si>
  <si>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</si>
  <si>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</si>
  <si>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</si>
  <si>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</si>
  <si>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</si>
  <si>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</si>
  <si>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</si>
  <si>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</si>
  <si>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</si>
  <si>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</si>
  <si>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</si>
  <si>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</si>
  <si>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</si>
  <si>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</si>
  <si>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</si>
  <si>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</si>
  <si>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</si>
  <si>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</si>
  <si>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</si>
  <si>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</si>
  <si>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</si>
  <si>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</si>
  <si>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</si>
  <si>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</si>
  <si>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</si>
  <si>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</si>
  <si>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</si>
  <si>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</si>
  <si>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</si>
  <si>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</si>
  <si>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</si>
  <si>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</si>
  <si>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</si>
  <si>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</si>
  <si>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</si>
  <si>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</si>
  <si>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</si>
  <si>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</si>
  <si>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</si>
  <si>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</si>
  <si>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</si>
  <si>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</si>
  <si>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</si>
  <si>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</si>
  <si>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</si>
  <si>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</si>
  <si>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</si>
  <si>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</si>
  <si>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</si>
  <si>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</si>
  <si>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</si>
  <si>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</si>
  <si>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</si>
  <si>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</si>
  <si>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</si>
  <si>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</si>
  <si>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</si>
  <si>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</si>
  <si>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</si>
  <si>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</si>
  <si>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</si>
  <si>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</si>
  <si>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</si>
  <si>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</si>
  <si>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</si>
  <si>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</si>
  <si>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</si>
  <si>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</si>
  <si>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</si>
  <si>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</si>
  <si>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</si>
  <si>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</si>
  <si>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</si>
  <si>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</si>
  <si>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</si>
  <si>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</si>
  <si>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</si>
  <si>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</si>
  <si>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</si>
  <si>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</si>
  <si>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</si>
  <si>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</si>
  <si>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</si>
  <si>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</si>
  <si>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</si>
  <si>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</si>
  <si>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</si>
  <si>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</si>
  <si>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</si>
  <si>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</si>
  <si>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</si>
  <si>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</si>
  <si>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</si>
  <si>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</si>
  <si>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</si>
  <si>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</si>
  <si>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</si>
  <si>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</si>
  <si>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</si>
  <si>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</si>
  <si>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</si>
  <si>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</si>
  <si>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</si>
  <si>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</si>
  <si>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</si>
  <si>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</si>
  <si>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</si>
  <si>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</si>
  <si>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</si>
  <si>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</si>
  <si>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</si>
  <si>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</si>
  <si>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</si>
  <si>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</si>
  <si>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</si>
  <si>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</si>
  <si>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</si>
  <si>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</si>
  <si>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</si>
  <si>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</si>
  <si>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</si>
  <si>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</si>
  <si>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</si>
  <si>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</si>
  <si>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</si>
  <si>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</si>
  <si>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</si>
  <si>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</si>
  <si>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</si>
  <si>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</si>
  <si>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</si>
  <si>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</si>
  <si>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</si>
  <si>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</si>
  <si>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</si>
  <si>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</si>
  <si>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</si>
  <si>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</si>
  <si>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</si>
  <si>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</si>
  <si>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</si>
  <si>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</si>
  <si>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</si>
  <si>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</si>
  <si>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</si>
  <si>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</si>
  <si>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</si>
  <si>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</si>
  <si>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</si>
  <si>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</si>
  <si>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</si>
  <si>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</si>
  <si>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</si>
  <si>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</si>
  <si>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</si>
  <si>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</si>
  <si>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</si>
  <si>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</si>
  <si>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</si>
  <si>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</si>
  <si>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</si>
  <si>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</si>
  <si>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</si>
  <si>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</si>
  <si>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</si>
  <si>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</si>
  <si>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</si>
  <si>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</si>
  <si>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</si>
  <si>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</si>
  <si>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</si>
  <si>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</si>
  <si>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</si>
  <si>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</si>
  <si>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</si>
  <si>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</si>
  <si>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</si>
  <si>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</si>
  <si>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</si>
  <si>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</si>
  <si>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</si>
  <si>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</si>
  <si>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</si>
  <si>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</si>
  <si>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</si>
  <si>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</si>
  <si>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</si>
  <si>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</si>
  <si>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</si>
  <si>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</si>
  <si>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</si>
  <si>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</si>
  <si>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</si>
  <si>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</si>
  <si>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</si>
  <si>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</si>
  <si>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</si>
  <si>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</si>
  <si>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</si>
  <si>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</si>
  <si>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</si>
  <si>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</si>
  <si>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</si>
  <si>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</si>
  <si>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</si>
  <si>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</si>
  <si>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</si>
  <si>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</si>
  <si>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</si>
  <si>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</si>
  <si>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</si>
  <si>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</si>
  <si>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</si>
  <si>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</si>
  <si>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</si>
  <si>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</si>
  <si>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</si>
  <si>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</si>
  <si>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</si>
  <si>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</si>
  <si>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</si>
  <si>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</si>
  <si>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</si>
  <si>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</si>
  <si>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</si>
  <si>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</si>
  <si>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</si>
  <si>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</si>
  <si>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</si>
  <si>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</si>
  <si>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</si>
  <si>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</si>
  <si>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</si>
  <si>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</si>
  <si>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</si>
  <si>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</si>
  <si>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</si>
  <si>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</si>
  <si>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</si>
  <si>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</si>
  <si>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</si>
  <si>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</si>
  <si>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</si>
  <si>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</si>
  <si>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</si>
  <si>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</si>
  <si>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</si>
  <si>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</si>
  <si>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</si>
  <si>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</si>
  <si>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</si>
  <si>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</si>
  <si>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</si>
  <si>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</si>
  <si>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</si>
  <si>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</si>
  <si>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</si>
  <si>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</si>
  <si>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</si>
  <si>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</si>
  <si>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</si>
  <si>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</si>
  <si>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</si>
  <si>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</si>
  <si>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</si>
  <si>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</si>
  <si>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</si>
  <si>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</si>
  <si>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</si>
  <si>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</si>
  <si>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</si>
  <si>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</si>
  <si>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</si>
  <si>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</si>
  <si>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</si>
  <si>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</si>
  <si>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</si>
  <si>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</si>
  <si>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</si>
  <si>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</si>
  <si>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</si>
  <si>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</si>
  <si>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</si>
  <si>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</si>
  <si>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</si>
  <si>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</si>
  <si>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</si>
  <si>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</si>
  <si>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</si>
  <si>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</si>
  <si>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</si>
  <si>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</si>
  <si>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</si>
  <si>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</si>
  <si>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</si>
  <si>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</si>
  <si>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</si>
  <si>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</si>
  <si>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</si>
  <si>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</si>
  <si>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</si>
  <si>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</si>
  <si>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</si>
  <si>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</si>
  <si>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</si>
  <si>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</si>
  <si>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</si>
  <si>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</si>
  <si>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</si>
  <si>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</si>
  <si>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</si>
  <si>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</si>
  <si>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</si>
  <si>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</si>
  <si>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</si>
  <si>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</si>
  <si>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</si>
  <si>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</si>
  <si>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</si>
  <si>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</si>
  <si>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</si>
  <si>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</si>
  <si>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</si>
  <si>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</si>
  <si>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</si>
  <si>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</si>
  <si>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</si>
  <si>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</si>
  <si>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</si>
  <si>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</si>
  <si>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</si>
  <si>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</si>
  <si>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</si>
  <si>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</si>
  <si>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</si>
  <si>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</si>
  <si>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</si>
  <si>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</si>
  <si>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</si>
  <si>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</si>
  <si>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</si>
  <si>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</si>
  <si>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</si>
  <si>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</si>
  <si>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</si>
  <si>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</si>
  <si>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</si>
  <si>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</si>
  <si>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</si>
  <si>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</si>
  <si>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</si>
  <si>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</si>
  <si>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</si>
  <si>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</si>
  <si>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</si>
  <si>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</si>
  <si>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</si>
  <si>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</si>
  <si>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</si>
  <si>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</si>
  <si>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</si>
  <si>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</si>
  <si>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</si>
  <si>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</si>
  <si>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</si>
  <si>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</si>
  <si>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</si>
  <si>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</si>
  <si>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</si>
  <si>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</si>
  <si>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</si>
  <si>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</si>
  <si>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</si>
  <si>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</si>
  <si>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</si>
  <si>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</si>
  <si>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</si>
  <si>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</si>
  <si>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</si>
  <si>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</si>
  <si>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</si>
  <si>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</si>
  <si>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</si>
  <si>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</si>
  <si>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</si>
  <si>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</si>
  <si>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</si>
  <si>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</si>
  <si>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</si>
  <si>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</si>
  <si>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</si>
  <si>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</si>
  <si>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</si>
  <si>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</si>
  <si>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</si>
  <si>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</si>
  <si>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</si>
  <si>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</si>
  <si>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</si>
  <si>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</si>
  <si>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</si>
  <si>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</si>
  <si>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</si>
  <si>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</si>
  <si>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</si>
  <si>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</si>
  <si>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</si>
  <si>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</si>
  <si>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</si>
  <si>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</si>
  <si>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</si>
  <si>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</si>
  <si>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</si>
  <si>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</si>
  <si>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</si>
  <si>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</si>
  <si>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</si>
  <si>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</si>
  <si>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</si>
  <si>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</si>
  <si>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</si>
  <si>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</si>
  <si>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</si>
  <si>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</si>
  <si>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</si>
  <si>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</si>
  <si>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</si>
  <si>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</si>
  <si>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</si>
  <si>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</si>
  <si>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</si>
  <si>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</si>
  <si>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</si>
  <si>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</si>
  <si>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</si>
  <si>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</si>
  <si>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</si>
  <si>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</si>
  <si>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</si>
  <si>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</si>
  <si>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</si>
  <si>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</si>
  <si>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</si>
  <si>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</si>
  <si>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</si>
  <si>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</si>
  <si>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</si>
  <si>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</si>
  <si>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</si>
  <si>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</si>
  <si>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</si>
  <si>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</si>
  <si>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</si>
  <si>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</si>
  <si>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</si>
  <si>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</si>
  <si>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</si>
  <si>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</si>
  <si>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</si>
  <si>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</si>
  <si>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</si>
  <si>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</si>
  <si>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</si>
  <si>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</si>
  <si>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</si>
  <si>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</si>
  <si>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</si>
  <si>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</si>
  <si>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</si>
  <si>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</si>
  <si>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</si>
  <si>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</si>
  <si>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</si>
  <si>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</si>
  <si>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</si>
  <si>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</si>
  <si>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</si>
  <si>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</si>
  <si>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</si>
  <si>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</si>
  <si>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</si>
  <si>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</si>
  <si>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</si>
  <si>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</si>
  <si>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</si>
  <si>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</si>
  <si>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</si>
  <si>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</si>
  <si>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</si>
  <si>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</si>
  <si>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</si>
  <si>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</si>
  <si>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</si>
  <si>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</si>
  <si>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</si>
  <si>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</si>
  <si>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</si>
  <si>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</si>
  <si>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</si>
  <si>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</si>
  <si>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</si>
  <si>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</si>
  <si>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</si>
  <si>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</si>
  <si>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</si>
  <si>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</si>
  <si>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</si>
  <si>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</si>
  <si>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</si>
  <si>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</si>
  <si>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</si>
  <si>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</si>
  <si>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</si>
  <si>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</si>
  <si>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</si>
  <si>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</si>
  <si>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</si>
  <si>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</si>
  <si>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</si>
  <si>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</si>
  <si>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</si>
  <si>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</si>
  <si>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</si>
  <si>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</si>
  <si>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</si>
  <si>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</si>
  <si>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</si>
  <si>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</si>
  <si>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</si>
  <si>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</si>
  <si>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</si>
  <si>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</si>
  <si>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</si>
  <si>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</si>
  <si>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</si>
  <si>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</si>
  <si>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</si>
  <si>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</si>
  <si>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</si>
  <si>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</si>
  <si>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</si>
  <si>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</si>
  <si>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</si>
  <si>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</si>
  <si>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</si>
  <si>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</si>
  <si>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</si>
  <si>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</si>
  <si>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</si>
  <si>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</si>
  <si>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</si>
  <si>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</si>
  <si>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</si>
  <si>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</si>
  <si>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</si>
  <si>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</si>
  <si>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</si>
  <si>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</si>
  <si>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</si>
  <si>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</si>
  <si>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</si>
  <si>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</si>
  <si>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</si>
  <si>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</si>
  <si>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</si>
  <si>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</si>
  <si>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</si>
  <si>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</si>
  <si>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</si>
  <si>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</si>
  <si>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</si>
  <si>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</si>
  <si>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</si>
  <si>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</si>
  <si>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</si>
  <si>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</si>
  <si>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</si>
  <si>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</si>
  <si>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</si>
  <si>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</si>
  <si>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</si>
  <si>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</si>
  <si>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</si>
  <si>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</si>
  <si>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</si>
  <si>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</si>
  <si>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</si>
  <si>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</si>
  <si>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</si>
  <si>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</si>
  <si>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</si>
  <si>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</si>
  <si>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</si>
  <si>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</si>
  <si>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</si>
  <si>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</si>
  <si>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</si>
  <si>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</si>
  <si>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</si>
  <si>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</si>
  <si>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</si>
  <si>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</si>
  <si>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</si>
  <si>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</si>
  <si>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</si>
  <si>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</si>
  <si>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</si>
  <si>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</si>
  <si>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</si>
  <si>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</si>
  <si>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</si>
  <si>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</si>
  <si>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</si>
  <si>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</si>
  <si>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</si>
  <si>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</si>
  <si>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</si>
  <si>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</si>
  <si>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</si>
  <si>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</si>
  <si>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</si>
  <si>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</si>
  <si>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</si>
  <si>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</si>
  <si>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</si>
  <si>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</si>
  <si>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</si>
  <si>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</si>
  <si>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</si>
  <si>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</si>
  <si>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</si>
  <si>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</si>
  <si>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</si>
  <si>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</si>
  <si>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</si>
  <si>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</si>
  <si>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</si>
  <si>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</si>
  <si>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</si>
  <si>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</si>
  <si>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</si>
  <si>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</si>
  <si>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</si>
  <si>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</si>
  <si>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</si>
  <si>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</si>
  <si>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</si>
  <si>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</si>
  <si>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</si>
  <si>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</si>
  <si>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</si>
  <si>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</si>
  <si>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</si>
  <si>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</si>
  <si>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</si>
  <si>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</si>
  <si>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</si>
  <si>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</si>
  <si>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</si>
  <si>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</si>
  <si>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</si>
  <si>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</si>
  <si>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</si>
  <si>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</si>
  <si>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</si>
  <si>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</si>
  <si>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</si>
  <si>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</si>
  <si>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</si>
  <si>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</si>
  <si>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</si>
  <si>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</si>
  <si>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</si>
  <si>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</si>
  <si>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</si>
  <si>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</si>
  <si>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</si>
  <si>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</si>
  <si>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</si>
  <si>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</si>
  <si>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</si>
  <si>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</si>
  <si>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</si>
  <si>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</si>
  <si>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</si>
  <si>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</si>
  <si>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</si>
  <si>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</si>
  <si>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</si>
  <si>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</si>
  <si>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</si>
  <si>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</si>
  <si>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</si>
  <si>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</si>
  <si>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</si>
  <si>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</si>
  <si>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</si>
  <si>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</si>
  <si>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</si>
  <si>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</si>
  <si>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</si>
  <si>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</si>
  <si>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</si>
  <si>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</si>
  <si>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</si>
  <si>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</si>
  <si>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</si>
  <si>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</si>
  <si>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</si>
  <si>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</si>
  <si>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</si>
  <si>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</si>
  <si>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</si>
  <si>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</si>
  <si>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</si>
  <si>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</si>
  <si>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</si>
  <si>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</si>
  <si>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</si>
  <si>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</si>
  <si>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</si>
  <si>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</si>
  <si>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</si>
  <si>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</si>
  <si>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</si>
  <si>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</si>
  <si>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</si>
  <si>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</si>
  <si>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</si>
  <si>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</si>
  <si>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</si>
  <si>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</si>
  <si>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</si>
  <si>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</si>
  <si>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</si>
  <si>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</si>
  <si>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</si>
  <si>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</si>
  <si>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</si>
  <si>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</si>
  <si>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</si>
  <si>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</si>
  <si>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</si>
  <si>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</si>
  <si>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</si>
  <si>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</si>
  <si>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</si>
  <si>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</si>
  <si>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</si>
  <si>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</si>
  <si>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</si>
  <si>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</si>
  <si>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</si>
  <si>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</si>
  <si>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</si>
  <si>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</si>
  <si>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</si>
  <si>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</si>
  <si>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</si>
  <si>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</si>
  <si>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</si>
  <si>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</si>
  <si>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</si>
  <si>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</si>
  <si>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</si>
  <si>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</si>
  <si>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</si>
  <si>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</si>
  <si>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</si>
  <si>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</si>
  <si>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</si>
  <si>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</si>
  <si>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</si>
  <si>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</si>
  <si>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</si>
  <si>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</si>
  <si>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</si>
  <si>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</si>
  <si>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</si>
  <si>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</si>
  <si>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</si>
  <si>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</si>
  <si>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</si>
  <si>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</si>
  <si>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</si>
  <si>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</si>
  <si>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</si>
  <si>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</si>
  <si>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</si>
  <si>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</si>
  <si>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</si>
  <si>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</si>
  <si>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</si>
  <si>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</si>
  <si>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</si>
  <si>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</si>
  <si>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</si>
  <si>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</si>
  <si>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</si>
  <si>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</si>
  <si>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</si>
  <si>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</si>
  <si>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</si>
  <si>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</si>
  <si>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</si>
  <si>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</si>
  <si>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</si>
  <si>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</si>
  <si>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</si>
  <si>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</si>
  <si>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</si>
  <si>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</si>
  <si>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</si>
  <si>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</si>
  <si>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</si>
  <si>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</si>
  <si>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</si>
  <si>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</si>
  <si>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</si>
  <si>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</si>
  <si>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</si>
  <si>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</si>
  <si>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</si>
  <si>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</si>
  <si>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</si>
  <si>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</si>
  <si>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</si>
  <si>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</si>
  <si>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</si>
  <si>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</si>
  <si>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</si>
  <si>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</si>
  <si>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</si>
  <si>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</si>
  <si>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</si>
  <si>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</si>
  <si>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</si>
  <si>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</si>
  <si>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</si>
  <si>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</si>
  <si>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</si>
  <si>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</si>
  <si>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</si>
  <si>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</si>
  <si>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</si>
  <si>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</si>
  <si>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</si>
  <si>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</si>
  <si>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</si>
  <si>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</si>
  <si>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</si>
  <si>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</si>
  <si>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</si>
  <si>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</si>
  <si>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</si>
  <si>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</si>
  <si>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</si>
  <si>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</si>
  <si>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</si>
  <si>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</si>
  <si>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</si>
  <si>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</si>
  <si>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</si>
  <si>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</si>
  <si>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</si>
  <si>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</si>
  <si>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</si>
  <si>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</si>
  <si>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</si>
  <si>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</si>
  <si>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</si>
  <si>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</si>
  <si>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</si>
  <si>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</si>
  <si>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</si>
  <si>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</si>
  <si>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</si>
  <si>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</si>
  <si>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</si>
  <si>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</si>
  <si>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</si>
  <si>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</si>
  <si>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</si>
  <si>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</si>
  <si>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</si>
  <si>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</si>
  <si>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</si>
  <si>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</si>
  <si>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</si>
  <si>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</si>
  <si>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</si>
  <si>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</si>
  <si>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</si>
  <si>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</si>
  <si>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</si>
  <si>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</si>
  <si>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</si>
  <si>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</si>
  <si>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</si>
  <si>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</si>
  <si>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</si>
  <si>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</si>
  <si>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</si>
  <si>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</si>
  <si>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</si>
  <si>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</si>
  <si>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</si>
  <si>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</si>
  <si>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</si>
  <si>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</si>
  <si>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</si>
  <si>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</si>
  <si>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</si>
  <si>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</si>
  <si>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</si>
  <si>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</si>
  <si>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</si>
  <si>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</si>
  <si>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</si>
  <si>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</si>
  <si>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</si>
  <si>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</si>
  <si>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</si>
  <si>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</si>
  <si>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</si>
  <si>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</si>
  <si>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</si>
  <si>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</si>
  <si>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</si>
  <si>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</si>
  <si>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</si>
  <si>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</si>
  <si>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</si>
  <si>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</si>
  <si>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</si>
  <si>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</si>
  <si>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</si>
  <si>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</si>
  <si>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</si>
  <si>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</si>
  <si>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</si>
  <si>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</si>
  <si>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</si>
  <si>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</si>
  <si>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</si>
  <si>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</si>
  <si>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</si>
  <si>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</si>
  <si>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</si>
  <si>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</si>
  <si>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</si>
  <si>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</si>
  <si>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</si>
  <si>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</si>
  <si>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</si>
  <si>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</si>
  <si>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</si>
  <si>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</si>
  <si>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</si>
  <si>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</si>
  <si>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</si>
  <si>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</si>
  <si>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</si>
  <si>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</si>
  <si>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</si>
  <si>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</si>
  <si>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</si>
  <si>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</si>
  <si>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</si>
  <si>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</si>
  <si>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</si>
  <si>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</si>
  <si>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</si>
  <si>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</si>
  <si>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</si>
  <si>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</si>
  <si>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</si>
  <si>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</si>
  <si>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</si>
  <si>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</si>
  <si>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</si>
  <si>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</si>
  <si>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</si>
  <si>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</si>
  <si>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</si>
  <si>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</si>
  <si>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</si>
  <si>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</si>
  <si>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</si>
  <si>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</si>
  <si>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</si>
  <si>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</si>
  <si>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</si>
  <si>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</si>
  <si>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</si>
  <si>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</si>
  <si>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</si>
  <si>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</si>
  <si>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</si>
  <si>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</si>
  <si>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</si>
  <si>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</si>
  <si>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</si>
  <si>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</si>
  <si>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</si>
  <si>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</si>
  <si>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</si>
  <si>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</si>
  <si>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</si>
  <si>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</si>
  <si>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</si>
  <si>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</si>
  <si>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</si>
  <si>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</si>
  <si>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</si>
  <si>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</si>
  <si>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</si>
  <si>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</si>
  <si>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</si>
  <si>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</si>
  <si>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</si>
  <si>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</si>
  <si>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</si>
  <si>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</si>
  <si>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</si>
  <si>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</si>
  <si>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</si>
  <si>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</si>
  <si>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</si>
  <si>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</si>
  <si>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</si>
  <si>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</si>
  <si>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</si>
  <si>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</si>
  <si>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</si>
  <si>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</si>
  <si>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</si>
  <si>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</si>
  <si>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</si>
  <si>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</si>
  <si>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</si>
  <si>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</si>
  <si>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</si>
  <si>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</si>
  <si>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</si>
  <si>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</si>
  <si>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</si>
  <si>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</si>
  <si>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</si>
  <si>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</si>
  <si>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</si>
  <si>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</si>
  <si>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</si>
  <si>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</si>
  <si>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</si>
  <si>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</si>
  <si>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</si>
  <si>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</si>
  <si>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</si>
  <si>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</si>
  <si>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</si>
  <si>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</si>
  <si>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</si>
  <si>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</si>
  <si>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</si>
  <si>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</si>
  <si>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</si>
  <si>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</si>
  <si>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</si>
  <si>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</si>
  <si>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</si>
  <si>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</si>
  <si>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</si>
  <si>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</si>
  <si>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</si>
  <si>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</si>
  <si>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</si>
  <si>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</si>
  <si>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</si>
  <si>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</si>
  <si>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</si>
  <si>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</si>
  <si>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</si>
  <si>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</si>
  <si>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</si>
  <si>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</si>
  <si>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</si>
  <si>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</si>
  <si>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</si>
  <si>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</si>
  <si>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</si>
  <si>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</si>
  <si>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</si>
  <si>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</si>
  <si>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</si>
  <si>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</si>
  <si>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</si>
  <si>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</si>
  <si>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</si>
  <si>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</si>
  <si>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</si>
  <si>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</si>
  <si>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</si>
  <si>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</si>
  <si>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</si>
  <si>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</si>
  <si>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</si>
  <si>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</si>
  <si>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</si>
  <si>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</si>
  <si>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</si>
  <si>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</si>
  <si>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</si>
  <si>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</si>
  <si>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</si>
  <si>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</si>
  <si>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</si>
  <si>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</si>
  <si>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</si>
  <si>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</si>
  <si>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</si>
  <si>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</si>
  <si>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</si>
  <si>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</si>
  <si>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</si>
  <si>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</si>
  <si>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</si>
  <si>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</si>
  <si>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</si>
  <si>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</si>
  <si>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</si>
  <si>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</si>
  <si>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</si>
  <si>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</si>
  <si>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</si>
  <si>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</si>
  <si>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</si>
  <si>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</si>
  <si>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</si>
  <si>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</si>
  <si>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</si>
  <si>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</si>
  <si>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</si>
  <si>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</si>
  <si>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</si>
  <si>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</si>
  <si>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</si>
  <si>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</si>
  <si>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</si>
  <si>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</si>
  <si>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</si>
  <si>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</si>
  <si>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</si>
  <si>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</si>
  <si>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</si>
  <si>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</si>
  <si>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</si>
  <si>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</si>
  <si>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</si>
  <si>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</si>
  <si>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</si>
  <si>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</si>
  <si>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</si>
  <si>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</si>
  <si>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</si>
  <si>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</si>
  <si>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</si>
  <si>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</si>
  <si>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</si>
  <si>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</si>
  <si>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</si>
  <si>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</si>
  <si>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</si>
  <si>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</si>
  <si>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</si>
  <si>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</si>
  <si>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</si>
  <si>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</si>
  <si>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</si>
  <si>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</si>
  <si>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</si>
  <si>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</si>
  <si>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</si>
  <si>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</si>
  <si>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</si>
  <si>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</si>
  <si>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</si>
  <si>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</si>
  <si>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</si>
  <si>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</si>
  <si>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</si>
  <si>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</si>
  <si>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</si>
  <si>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</si>
  <si>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</si>
  <si>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</si>
  <si>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</si>
  <si>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</si>
  <si>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</si>
  <si>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</si>
  <si>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</si>
  <si>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</si>
  <si>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</si>
  <si>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</si>
  <si>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</si>
  <si>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</si>
  <si>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</si>
  <si>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</si>
  <si>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</si>
  <si>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</si>
  <si>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</si>
  <si>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</si>
  <si>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</si>
  <si>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</si>
  <si>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</si>
  <si>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</si>
  <si>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</si>
  <si>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</si>
  <si>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</si>
  <si>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</si>
  <si>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</si>
  <si>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</si>
  <si>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</si>
  <si>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</si>
  <si>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</si>
  <si>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</si>
  <si>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</si>
  <si>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</si>
  <si>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</si>
  <si>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</si>
  <si>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</si>
  <si>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</si>
  <si>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</si>
  <si>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</si>
  <si>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</si>
  <si>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</si>
  <si>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</si>
  <si>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</si>
  <si>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</si>
  <si>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</si>
  <si>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</si>
  <si>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</si>
  <si>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</si>
  <si>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</si>
  <si>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</si>
  <si>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</si>
  <si>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</si>
  <si>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</si>
  <si>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</si>
  <si>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</si>
  <si>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</si>
  <si>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</si>
  <si>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</si>
  <si>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</si>
  <si>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</si>
  <si>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</si>
  <si>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</si>
  <si>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</si>
  <si>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</si>
  <si>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</si>
  <si>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</si>
  <si>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</si>
  <si>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</si>
  <si>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</si>
  <si>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</si>
  <si>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</si>
  <si>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</si>
  <si>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</si>
  <si>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</si>
  <si>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</si>
  <si>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</si>
  <si>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</si>
  <si>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</si>
  <si>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</si>
  <si>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</si>
  <si>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</si>
  <si>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</si>
  <si>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</si>
  <si>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</si>
  <si>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</si>
  <si>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</si>
  <si>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</si>
  <si>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</si>
  <si>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</si>
  <si>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</si>
  <si>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</si>
  <si>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</si>
  <si>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</si>
  <si>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</si>
  <si>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</si>
  <si>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</si>
  <si>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</si>
  <si>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</si>
  <si>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</si>
  <si>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</si>
  <si>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</si>
  <si>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</si>
  <si>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</si>
  <si>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</si>
  <si>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</si>
  <si>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</si>
  <si>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</si>
  <si>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</si>
  <si>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</si>
  <si>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</si>
  <si>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</si>
  <si>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</si>
  <si>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</si>
  <si>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</si>
  <si>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</si>
  <si>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</si>
  <si>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</si>
  <si>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</si>
  <si>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</si>
  <si>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</si>
  <si>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</si>
  <si>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</si>
  <si>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</si>
  <si>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</si>
  <si>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</si>
  <si>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</si>
  <si>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</si>
  <si>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</si>
  <si>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</si>
  <si>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</si>
  <si>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</si>
  <si>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</si>
  <si>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</si>
  <si>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</si>
  <si>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</si>
  <si>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</si>
  <si>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</si>
  <si>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</si>
  <si>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</si>
  <si>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</si>
  <si>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</si>
  <si>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</si>
  <si>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</si>
  <si>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</si>
  <si>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</si>
  <si>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</si>
  <si>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</si>
  <si>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</si>
  <si>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</si>
  <si>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</si>
  <si>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</si>
  <si>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</si>
  <si>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</si>
  <si>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</si>
  <si>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</si>
  <si>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</si>
  <si>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</si>
  <si>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</si>
  <si>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</si>
  <si>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</si>
  <si>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</si>
  <si>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</si>
  <si>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</si>
  <si>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</si>
  <si>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</si>
  <si>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</si>
  <si>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</si>
  <si>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</si>
  <si>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</si>
  <si>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</si>
  <si>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</si>
  <si>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</si>
  <si>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</si>
  <si>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</si>
  <si>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</si>
  <si>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</si>
  <si>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</si>
  <si>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</si>
  <si>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</si>
  <si>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</si>
  <si>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</si>
  <si>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</si>
  <si>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</si>
  <si>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</si>
  <si>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</si>
  <si>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</si>
  <si>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</si>
  <si>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</si>
  <si>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</si>
  <si>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</si>
  <si>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</si>
  <si>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</si>
  <si>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</si>
  <si>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</si>
  <si>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</si>
  <si>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</si>
  <si>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</si>
  <si>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</si>
  <si>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</si>
  <si>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</si>
  <si>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</si>
  <si>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</si>
  <si>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</si>
  <si>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</si>
  <si>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</si>
  <si>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</si>
  <si>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</si>
  <si>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</si>
  <si>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</si>
  <si>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</si>
  <si>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</si>
  <si>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</si>
  <si>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</si>
  <si>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</si>
  <si>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</si>
  <si>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</si>
  <si>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</si>
  <si>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</si>
  <si>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</si>
  <si>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</si>
  <si>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</si>
  <si>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</si>
  <si>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</si>
  <si>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</si>
  <si>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</si>
  <si>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</si>
  <si>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</si>
  <si>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</si>
  <si>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</si>
  <si>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</si>
  <si>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</si>
  <si>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</si>
  <si>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</si>
  <si>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</si>
  <si>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</si>
  <si>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</si>
  <si>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</si>
  <si>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</si>
  <si>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</si>
  <si>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</si>
  <si>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</si>
  <si>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</si>
  <si>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</si>
  <si>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</si>
  <si>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</si>
  <si>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</si>
  <si>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</si>
  <si>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</si>
  <si>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</si>
  <si>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</si>
  <si>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</si>
  <si>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</si>
  <si>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</si>
  <si>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</si>
  <si>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</si>
  <si>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</si>
  <si>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</si>
  <si>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</si>
  <si>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</si>
  <si>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</si>
  <si>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</si>
  <si>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</si>
  <si>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</si>
  <si>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</si>
  <si>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</si>
  <si>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</si>
  <si>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</si>
  <si>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</si>
  <si>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</si>
  <si>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</si>
  <si>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</si>
  <si>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</si>
  <si>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</si>
  <si>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</si>
  <si>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</si>
  <si>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</si>
  <si>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</si>
  <si>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</si>
  <si>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</si>
  <si>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</si>
  <si>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</si>
  <si>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</si>
  <si>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</si>
  <si>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</si>
  <si>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</si>
  <si>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</si>
  <si>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</si>
  <si>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</si>
  <si>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</si>
  <si>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</si>
  <si>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</si>
  <si>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</si>
  <si>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</si>
  <si>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</si>
  <si>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</si>
  <si>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</si>
  <si>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</si>
  <si>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</si>
  <si>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</si>
  <si>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</si>
  <si>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</si>
  <si>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</si>
  <si>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</si>
  <si>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</si>
  <si>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</si>
  <si>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</si>
  <si>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</si>
  <si>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</si>
  <si>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</si>
  <si>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</si>
  <si>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</si>
  <si>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</si>
  <si>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</si>
  <si>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</si>
  <si>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</si>
  <si>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</si>
  <si>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</si>
  <si>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</si>
  <si>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</si>
  <si>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</si>
  <si>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</si>
  <si>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</si>
  <si>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</si>
  <si>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</si>
  <si>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</si>
  <si>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</si>
  <si>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</si>
  <si>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</si>
  <si>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</si>
  <si>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</si>
  <si>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</si>
  <si>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</si>
  <si>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</si>
  <si>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</si>
  <si>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</si>
  <si>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</si>
  <si>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</si>
  <si>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</si>
  <si>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</si>
  <si>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</si>
  <si>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</si>
  <si>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</si>
  <si>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</si>
  <si>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</si>
  <si>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</si>
  <si>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</si>
  <si>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</si>
  <si>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</si>
  <si>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</si>
  <si>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</si>
  <si>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</si>
  <si>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</si>
  <si>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</si>
  <si>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</si>
  <si>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</si>
  <si>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</si>
  <si>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</si>
  <si>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</si>
  <si>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</si>
  <si>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</si>
  <si>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</si>
  <si>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</si>
  <si>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</si>
  <si>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</si>
  <si>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</si>
  <si>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</si>
  <si>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</si>
  <si>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</si>
  <si>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</si>
  <si>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</si>
  <si>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</si>
  <si>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</si>
  <si>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</si>
  <si>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</si>
  <si>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</si>
  <si>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</si>
  <si>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</si>
  <si>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</si>
  <si>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</si>
  <si>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</si>
  <si>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</si>
  <si>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</si>
  <si>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</si>
  <si>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</si>
  <si>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</si>
  <si>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</si>
  <si>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</si>
  <si>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</si>
  <si>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</si>
  <si>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</si>
  <si>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</si>
  <si>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</si>
  <si>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</si>
  <si>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</si>
  <si>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</si>
  <si>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</si>
  <si>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</si>
  <si>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</si>
  <si>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</si>
  <si>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</si>
  <si>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</si>
  <si>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</si>
  <si>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</si>
  <si>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</si>
  <si>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</si>
  <si>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</si>
  <si>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</si>
  <si>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</si>
  <si>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</si>
  <si>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</si>
  <si>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</si>
  <si>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</si>
  <si>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</si>
  <si>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</si>
  <si>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</si>
  <si>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</si>
  <si>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</si>
  <si>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</si>
  <si>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</si>
  <si>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</si>
  <si>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</si>
  <si>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</si>
  <si>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</si>
  <si>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</si>
  <si>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</si>
  <si>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</si>
  <si>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</si>
  <si>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</si>
  <si>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</si>
  <si>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</si>
  <si>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</si>
  <si>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</si>
  <si>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</si>
  <si>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</si>
  <si>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</si>
  <si>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</si>
  <si>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</si>
  <si>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</si>
  <si>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</si>
  <si>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</si>
  <si>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</si>
  <si>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</si>
  <si>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</si>
  <si>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</si>
  <si>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</si>
  <si>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</si>
  <si>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</si>
  <si>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</si>
  <si>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</si>
  <si>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</si>
  <si>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</si>
  <si>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</si>
  <si>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</si>
  <si>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</si>
  <si>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</si>
  <si>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</si>
  <si>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</si>
  <si>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</si>
  <si>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</si>
  <si>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</si>
  <si>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</si>
  <si>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</si>
  <si>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</si>
  <si>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</si>
  <si>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</si>
  <si>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</si>
  <si>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</si>
  <si>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</si>
  <si>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</si>
  <si>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</si>
  <si>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</si>
  <si>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</si>
  <si>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</si>
  <si>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</si>
  <si>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</si>
  <si>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</si>
  <si>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</si>
  <si>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</si>
  <si>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</si>
  <si>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</si>
  <si>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</si>
  <si>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</si>
  <si>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</si>
  <si>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</si>
  <si>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</si>
  <si>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</si>
  <si>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</si>
  <si>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</si>
  <si>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</si>
  <si>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</si>
  <si>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</si>
  <si>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</si>
  <si>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</si>
  <si>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</si>
  <si>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</si>
  <si>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</si>
  <si>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</si>
  <si>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</si>
  <si>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</si>
  <si>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</si>
  <si>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</si>
  <si>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</si>
  <si>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</si>
  <si>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</si>
  <si>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</si>
  <si>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</si>
  <si>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</si>
  <si>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</si>
  <si>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</si>
  <si>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</si>
  <si>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</si>
  <si>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</si>
  <si>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</si>
  <si>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</si>
  <si>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</si>
  <si>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</si>
  <si>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</si>
  <si>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</si>
  <si>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</si>
  <si>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</si>
  <si>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</si>
  <si>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</si>
  <si>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</si>
  <si>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</si>
  <si>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</si>
  <si>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</si>
  <si>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</si>
  <si>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</si>
  <si>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</si>
  <si>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</si>
  <si>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</si>
  <si>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</si>
  <si>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</si>
  <si>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</si>
  <si>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</si>
  <si>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</si>
  <si>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</si>
  <si>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</si>
  <si>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</si>
  <si>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</si>
  <si>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</si>
  <si>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</si>
  <si>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</si>
  <si>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</si>
  <si>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</si>
  <si>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</si>
  <si>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</si>
  <si>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</si>
  <si>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</si>
  <si>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</si>
  <si>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</si>
  <si>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</si>
  <si>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</si>
  <si>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</si>
  <si>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</si>
  <si>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</si>
  <si>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</si>
  <si>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</si>
  <si>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</si>
  <si>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</si>
  <si>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</si>
  <si>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</si>
  <si>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</si>
  <si>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</si>
  <si>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</si>
  <si>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</si>
  <si>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</si>
  <si>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</si>
  <si>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</si>
  <si>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</si>
  <si>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</si>
  <si>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</si>
  <si>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</si>
  <si>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</si>
  <si>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</si>
  <si>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</si>
  <si>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</si>
  <si>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</si>
  <si>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</si>
  <si>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</si>
  <si>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</si>
  <si>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</si>
  <si>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</si>
  <si>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</si>
  <si>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</si>
  <si>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</si>
  <si>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</si>
  <si>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</si>
  <si>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</si>
  <si>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</si>
  <si>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</si>
  <si>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</si>
  <si>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</si>
  <si>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</si>
  <si>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</si>
  <si>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</si>
  <si>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</si>
  <si>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</si>
  <si>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</si>
  <si>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</si>
  <si>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</si>
  <si>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</si>
  <si>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</si>
  <si>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</si>
  <si>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</si>
  <si>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</si>
  <si>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</si>
  <si>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</si>
  <si>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</si>
  <si>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</si>
  <si>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</si>
  <si>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</si>
  <si>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</si>
  <si>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</si>
  <si>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</si>
  <si>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</si>
  <si>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</si>
  <si>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</si>
  <si>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</si>
  <si>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</si>
  <si>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</si>
  <si>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</si>
  <si>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</si>
  <si>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</si>
  <si>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</si>
  <si>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</si>
  <si>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</si>
  <si>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</si>
  <si>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</si>
  <si>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</si>
  <si>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</si>
  <si>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</si>
  <si>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</si>
  <si>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</si>
  <si>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</si>
  <si>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</si>
  <si>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</si>
  <si>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</si>
  <si>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</si>
  <si>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</si>
  <si>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</si>
  <si>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</si>
  <si>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</si>
  <si>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</si>
  <si>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</si>
  <si>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</si>
  <si>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</si>
  <si>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</si>
  <si>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</si>
  <si>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</si>
  <si>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</si>
  <si>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</si>
  <si>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</si>
  <si>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</si>
  <si>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</si>
  <si>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</si>
  <si>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</si>
  <si>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</si>
  <si>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</si>
  <si>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</si>
  <si>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</si>
  <si>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</si>
  <si>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</si>
  <si>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</si>
  <si>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</si>
  <si>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</si>
  <si>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</si>
  <si>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</si>
  <si>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</si>
  <si>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</si>
  <si>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</si>
  <si>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</si>
  <si>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</si>
  <si>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</si>
  <si>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</si>
  <si>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</si>
  <si>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</si>
  <si>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</si>
  <si>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</si>
  <si>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</si>
  <si>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</si>
  <si>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</si>
  <si>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</si>
  <si>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</si>
  <si>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</si>
  <si>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</si>
  <si>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</si>
  <si>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</si>
  <si>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</si>
  <si>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</si>
  <si>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</si>
  <si>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</si>
  <si>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</si>
  <si>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</si>
  <si>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</si>
  <si>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</si>
  <si>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</si>
  <si>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</si>
  <si>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</si>
  <si>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</si>
  <si>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</si>
  <si>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</si>
  <si>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</si>
  <si>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</si>
  <si>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</si>
  <si>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</si>
  <si>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</si>
  <si>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</si>
  <si>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</si>
  <si>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</si>
  <si>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</si>
  <si>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</si>
  <si>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</si>
  <si>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</si>
  <si>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</si>
  <si>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</si>
  <si>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</si>
  <si>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</si>
  <si>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</si>
  <si>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</si>
  <si>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</si>
  <si>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</si>
  <si>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</si>
  <si>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</si>
  <si>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</si>
  <si>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</si>
  <si>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</si>
  <si>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</si>
  <si>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</si>
  <si>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</si>
  <si>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</si>
  <si>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</si>
  <si>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</si>
  <si>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</si>
  <si>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</si>
  <si>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</si>
  <si>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</si>
  <si>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</si>
  <si>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</si>
  <si>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</si>
  <si>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</si>
  <si>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</si>
  <si>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</si>
  <si>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</si>
  <si>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</si>
  <si>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</si>
  <si>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</si>
  <si>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</si>
  <si>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</si>
  <si>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</si>
  <si>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</si>
  <si>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</si>
  <si>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</si>
  <si>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</si>
  <si>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</si>
  <si>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</si>
  <si>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</si>
  <si>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</si>
  <si>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</si>
  <si>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</si>
  <si>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</si>
  <si>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</si>
  <si>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</si>
  <si>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</si>
  <si>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</si>
  <si>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</si>
  <si>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</si>
  <si>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</si>
  <si>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</si>
  <si>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</si>
  <si>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</si>
  <si>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</si>
  <si>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</si>
  <si>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</si>
  <si>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</si>
  <si>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</si>
  <si>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</si>
  <si>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</si>
  <si>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</si>
  <si>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</si>
  <si>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</si>
  <si>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</si>
  <si>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</si>
  <si>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</si>
  <si>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</si>
  <si>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</si>
  <si>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</si>
  <si>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</si>
  <si>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</si>
  <si>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</si>
  <si>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</si>
  <si>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</si>
  <si>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</si>
  <si>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</si>
  <si>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</si>
  <si>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</si>
  <si>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</si>
  <si>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</si>
  <si>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</si>
  <si>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</si>
  <si>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</si>
  <si>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</si>
  <si>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</si>
  <si>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</si>
  <si>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</si>
  <si>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</si>
  <si>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</si>
  <si>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</si>
  <si>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</si>
  <si>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</si>
  <si>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</si>
  <si>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</si>
  <si>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</si>
  <si>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</si>
  <si>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</si>
  <si>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</si>
  <si>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</si>
  <si>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</si>
  <si>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</si>
  <si>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</si>
  <si>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</si>
  <si>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</si>
  <si>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</si>
  <si>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</si>
  <si>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</si>
  <si>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</si>
  <si>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</si>
  <si>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</si>
  <si>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</si>
  <si>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</si>
  <si>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</si>
  <si>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</si>
  <si>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</si>
  <si>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</si>
  <si>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</si>
  <si>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</si>
  <si>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</si>
  <si>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</si>
  <si>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</si>
  <si>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</si>
  <si>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</si>
  <si>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</si>
  <si>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</si>
  <si>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</si>
  <si>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</si>
  <si>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</si>
  <si>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</si>
  <si>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</si>
  <si>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</si>
  <si>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</si>
  <si>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</si>
  <si>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</si>
  <si>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</si>
  <si>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</si>
  <si>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</si>
  <si>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</si>
  <si>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</si>
  <si>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</si>
  <si>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</si>
  <si>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</si>
  <si>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</si>
  <si>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</si>
  <si>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</si>
  <si>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</si>
  <si>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</si>
  <si>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</si>
  <si>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</si>
  <si>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</si>
  <si>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</si>
  <si>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</si>
  <si>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</si>
  <si>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</si>
  <si>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</si>
  <si>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</si>
  <si>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</si>
  <si>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</si>
  <si>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</si>
  <si>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</si>
  <si>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</si>
  <si>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</si>
  <si>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</si>
  <si>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</si>
  <si>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</si>
  <si>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</si>
  <si>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</si>
  <si>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</si>
  <si>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</si>
  <si>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</si>
  <si>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</si>
  <si>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</si>
  <si>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</si>
  <si>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</si>
  <si>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</si>
  <si>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</si>
  <si>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</si>
  <si>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</si>
  <si>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</si>
  <si>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</si>
  <si>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</si>
  <si>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</si>
  <si>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</si>
  <si>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</si>
  <si>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</si>
  <si>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</si>
  <si>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</si>
  <si>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</si>
  <si>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</si>
  <si>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</si>
  <si>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</si>
  <si>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</si>
  <si>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</si>
  <si>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</si>
  <si>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</si>
  <si>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</si>
  <si>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</si>
  <si>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</si>
  <si>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</si>
  <si>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</si>
  <si>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</si>
  <si>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</si>
  <si>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</si>
  <si>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</si>
  <si>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</si>
  <si>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</si>
  <si>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</si>
  <si>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</si>
  <si>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</si>
  <si>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</si>
  <si>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</si>
  <si>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</si>
  <si>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</si>
  <si>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</si>
  <si>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</si>
  <si>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</si>
  <si>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</si>
  <si>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</si>
  <si>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</si>
  <si>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</si>
  <si>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</si>
  <si>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</si>
  <si>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</si>
  <si>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</si>
  <si>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</si>
  <si>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</si>
  <si>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</si>
  <si>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</si>
  <si>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</si>
  <si>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</si>
  <si>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</si>
  <si>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</si>
  <si>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</si>
  <si>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</si>
  <si>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</si>
  <si>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</si>
  <si>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</si>
  <si>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</si>
  <si>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</si>
  <si>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</si>
  <si>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</si>
  <si>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</si>
  <si>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</si>
  <si>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</si>
  <si>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</si>
  <si>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</si>
  <si>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</si>
  <si>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</si>
  <si>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</si>
  <si>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</si>
  <si>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</si>
  <si>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</si>
  <si>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</si>
  <si>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</si>
  <si>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</si>
  <si>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</si>
  <si>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</si>
  <si>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</si>
  <si>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</si>
  <si>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</si>
  <si>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</si>
  <si>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</si>
  <si>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</si>
  <si>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</si>
  <si>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</si>
  <si>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</si>
  <si>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</si>
  <si>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</si>
  <si>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</si>
  <si>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</si>
  <si>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</si>
  <si>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</si>
  <si>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</si>
  <si>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</si>
  <si>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</si>
  <si>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</si>
  <si>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</si>
  <si>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</si>
  <si>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</si>
  <si>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</si>
  <si>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</si>
  <si>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</si>
  <si>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</si>
  <si>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</si>
  <si>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</si>
  <si>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</si>
  <si>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</si>
  <si>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</si>
  <si>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</si>
  <si>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</si>
  <si>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</si>
  <si>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</si>
  <si>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</si>
  <si>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</si>
  <si>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</si>
  <si>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</si>
  <si>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</si>
  <si>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</si>
  <si>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</si>
  <si>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</si>
  <si>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</si>
  <si>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</si>
  <si>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</si>
  <si>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</si>
  <si>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</si>
  <si>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</si>
  <si>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</si>
  <si>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</si>
  <si>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</si>
  <si>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</si>
  <si>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</si>
  <si>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</si>
  <si>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</si>
  <si>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专业</t>
  </si>
  <si>
    <t>专业</t>
    <phoneticPr fontId="4" type="noConversion"/>
  </si>
  <si>
    <t>住宅</t>
    <phoneticPr fontId="4" type="noConversion"/>
  </si>
  <si>
    <t>中档</t>
  </si>
  <si>
    <t>比较法-住宅</t>
  </si>
  <si>
    <t>万元</t>
  </si>
  <si>
    <t>自然人</t>
  </si>
  <si>
    <t>独栋</t>
  </si>
  <si>
    <t>联排</t>
  </si>
  <si>
    <t>简单装修</t>
  </si>
  <si>
    <t>毛坯</t>
  </si>
  <si>
    <t>主干道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</si>
</sst>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
      <sz val="11"/>
      <color rgb="FF000000"/>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181" fontId="39" fillId="0" borderId="6" xfId="8" applyNumberFormat="1" applyFont="1" applyFill="1" applyBorder="1" applyAlignment="1" applyProtection="1">
      <alignment horizontal="left" vertical="center"/>
      <protection locked="0"/>
    </xf>
    <xf numFmtId="181" fontId="39" fillId="0" borderId="58" xfId="8" applyNumberFormat="1" applyFont="1" applyFill="1" applyBorder="1" applyAlignment="1" applyProtection="1">
      <alignment horizontal="left" vertical="center"/>
      <protection locked="0"/>
    </xf>
    <xf numFmtId="183" fontId="39" fillId="0" borderId="43" xfId="8" applyNumberFormat="1" applyFont="1" applyFill="1" applyBorder="1" applyAlignment="1" applyProtection="1">
      <alignment horizontal="left" vertical="center"/>
      <protection locked="0"/>
    </xf>
    <xf numFmtId="0" fontId="92" fillId="0" borderId="11" xfId="8" applyFont="1" applyBorder="1" applyAlignment="1" applyProtection="1">
      <alignment horizontal="center" vertical="center" wrapText="1"/>
      <protection locked="0"/>
    </xf>
    <xf numFmtId="0" fontId="39" fillId="0" borderId="1" xfId="8" applyFont="1" applyBorder="1" applyAlignment="1" applyProtection="1">
      <alignment horizontal="center" vertical="center" wrapText="1"/>
      <protection locked="0"/>
    </xf>
    <xf numFmtId="0" fontId="39" fillId="0" borderId="75" xfId="8" applyFont="1" applyBorder="1" applyAlignment="1" applyProtection="1">
      <alignment horizontal="center" vertical="center" wrapText="1"/>
      <protection locked="0"/>
    </xf>
    <xf numFmtId="0" fontId="46" fillId="0" borderId="75" xfId="8" applyFont="1" applyBorder="1" applyAlignment="1" applyProtection="1">
      <alignment horizontal="center" vertical="center" wrapText="1"/>
      <protection locked="0"/>
    </xf>
    <xf numFmtId="0" fontId="256" fillId="0" borderId="32" xfId="8" applyFont="1" applyBorder="1" applyAlignment="1" applyProtection="1">
      <alignment horizontal="center" vertical="center" wrapText="1"/>
      <protection locked="0"/>
    </xf>
    <xf numFmtId="0" fontId="46" fillId="0" borderId="32" xfId="8" applyNumberFormat="1" applyFont="1" applyFill="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135" fillId="0" borderId="32" xfId="8" applyFont="1" applyBorder="1" applyAlignment="1" applyProtection="1">
      <alignment horizontal="center" vertical="center" wrapText="1"/>
      <protection locked="0"/>
    </xf>
    <xf numFmtId="0" fontId="39" fillId="5" borderId="0" xfId="8" applyFont="1" applyFill="1" applyAlignment="1" applyProtection="1">
      <alignmen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7224;&#37089;&#33457;&#2225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9743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估价对象为北京市房地产，为XX所有。根据《》[]，估价对象建筑面积为353.61平方米。根据《》[]，估价对象（分摊）出让国有建设用地使用权面积为平方米。估价对象用途为。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353.61</v>
      </c>
    </row>
    <row r="19" spans="1:2">
      <c r="A19" s="1139" t="s">
        <v>874</v>
      </c>
      <c r="B19" s="1126">
        <f ca="1">'预评函-2（1）'!D7</f>
        <v>1589</v>
      </c>
    </row>
    <row r="20" spans="1:2">
      <c r="A20" s="1139" t="s">
        <v>912</v>
      </c>
      <c r="B20" s="1126" t="str">
        <f>'预评函-2（1）'!C7</f>
        <v>总价（万元）</v>
      </c>
    </row>
    <row r="21" spans="1:2">
      <c r="A21" s="1139" t="s">
        <v>875</v>
      </c>
      <c r="B21" s="1126">
        <f ca="1">'预评函-2（1）'!D9</f>
        <v>44926</v>
      </c>
    </row>
    <row r="22" spans="1:2">
      <c r="A22" s="1139" t="s">
        <v>876</v>
      </c>
      <c r="B22" s="1126" t="str">
        <f ca="1">'预评函-2（1）'!D8</f>
        <v>壹仟伍佰捌拾玖万元整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1589</v>
      </c>
    </row>
    <row r="30" spans="1:2">
      <c r="A30" s="1139" t="s">
        <v>882</v>
      </c>
      <c r="B30" s="1126" t="str">
        <f ca="1">'预评函-2（1）'!D16</f>
        <v>壹仟伍佰捌拾玖万元整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1142</v>
      </c>
    </row>
    <row r="38" spans="1:2">
      <c r="A38" s="1139" t="s">
        <v>890</v>
      </c>
      <c r="B38" s="1126">
        <f ca="1">'预评函-2（2）'!E4</f>
        <v>32302</v>
      </c>
    </row>
    <row r="39" spans="1:2">
      <c r="A39" s="1139" t="s">
        <v>891</v>
      </c>
      <c r="B39" s="1126" t="str">
        <f ca="1">'预评函-2（2）'!D5</f>
        <v>壹仟壹佰肆拾贰万元整</v>
      </c>
    </row>
    <row r="40" spans="1:2">
      <c r="A40" s="1139" t="s">
        <v>892</v>
      </c>
      <c r="B40" s="1126">
        <f ca="1">'预评函-2（2）'!F4</f>
        <v>446</v>
      </c>
    </row>
    <row r="41" spans="1:2">
      <c r="A41" s="1139" t="s">
        <v>893</v>
      </c>
      <c r="B41" s="1126">
        <f ca="1">'预评函-2（2）'!G4</f>
        <v>12624</v>
      </c>
    </row>
    <row r="42" spans="1:2" s="1136" customFormat="1" ht="15.75" thickBot="1">
      <c r="A42" s="1140" t="s">
        <v>894</v>
      </c>
      <c r="B42" s="1128" t="str">
        <f ca="1">'预评函-2（2）'!F5</f>
        <v>肆佰肆拾陆万元整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44926</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B7" sqref="B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44725</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3095</v>
      </c>
      <c r="C7" s="1453" t="str">
        <f>IF(B7="自然人","姓名","名称")</f>
        <v>姓名</v>
      </c>
      <c r="D7" s="1366" t="s">
        <v>2480</v>
      </c>
      <c r="E7" s="783"/>
      <c r="F7" s="783"/>
      <c r="G7" s="1122"/>
    </row>
    <row r="8" spans="1:17" ht="13.5" thickTop="1">
      <c r="A8" s="3418" t="s">
        <v>1301</v>
      </c>
      <c r="B8" s="1367" t="s">
        <v>1302</v>
      </c>
      <c r="C8" s="3430"/>
      <c r="D8" s="3431"/>
      <c r="E8" s="2516" t="s">
        <v>1303</v>
      </c>
      <c r="F8" s="2517" t="s">
        <v>1304</v>
      </c>
      <c r="G8" s="2518" t="str">
        <f>C6</f>
        <v>XX</v>
      </c>
    </row>
    <row r="9" spans="1:17" ht="25.5">
      <c r="A9" s="3418"/>
      <c r="B9" s="259" t="s">
        <v>1305</v>
      </c>
      <c r="C9" s="1359"/>
      <c r="D9" s="1368" t="s">
        <v>3034</v>
      </c>
      <c r="E9" s="2809" t="s">
        <v>1306</v>
      </c>
      <c r="F9" s="2519"/>
      <c r="G9" s="2520"/>
    </row>
    <row r="10" spans="1:17" ht="13.5" thickBot="1">
      <c r="A10" s="3418"/>
      <c r="B10" s="259" t="s">
        <v>1307</v>
      </c>
      <c r="C10" s="3432"/>
      <c r="D10" s="3433"/>
      <c r="E10" s="2810" t="s">
        <v>1308</v>
      </c>
      <c r="F10" s="2521"/>
      <c r="G10" s="2522"/>
    </row>
    <row r="11" spans="1:17" ht="13.5" thickBot="1">
      <c r="A11" s="3418"/>
      <c r="B11" s="1370" t="s">
        <v>1309</v>
      </c>
      <c r="C11" s="3434"/>
      <c r="D11" s="3435"/>
      <c r="E11" s="769"/>
      <c r="F11" s="769"/>
      <c r="G11" s="788"/>
    </row>
    <row r="12" spans="1:17" ht="13.5" thickBot="1">
      <c r="A12" s="3421" t="s">
        <v>2587</v>
      </c>
      <c r="B12" s="2811" t="s">
        <v>1310</v>
      </c>
      <c r="C12" s="766">
        <v>353.61</v>
      </c>
      <c r="D12" s="1371" t="s">
        <v>1311</v>
      </c>
      <c r="E12" s="1372"/>
      <c r="F12" s="1373"/>
      <c r="G12" s="788"/>
    </row>
    <row r="13" spans="1:17" ht="21" customHeight="1" thickBot="1">
      <c r="A13" s="3422"/>
      <c r="B13" s="2812" t="s">
        <v>1312</v>
      </c>
      <c r="C13" s="767"/>
      <c r="D13" s="1374" t="s">
        <v>1313</v>
      </c>
      <c r="E13" s="1375"/>
      <c r="F13" s="769"/>
      <c r="G13" s="788"/>
      <c r="I13" s="3407"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407"/>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407"/>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36" t="s">
        <v>1320</v>
      </c>
      <c r="C17" s="3437"/>
      <c r="D17" s="3438" t="s">
        <v>1321</v>
      </c>
      <c r="E17" s="3439"/>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17" t="s">
        <v>2586</v>
      </c>
      <c r="B24" s="3417"/>
      <c r="C24" s="3417"/>
      <c r="D24" s="3417"/>
      <c r="E24" s="3417"/>
      <c r="F24" s="3417"/>
      <c r="G24" s="3417"/>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24" t="s">
        <v>1334</v>
      </c>
      <c r="D28" s="3425"/>
      <c r="E28" s="759"/>
      <c r="F28" s="761" t="s">
        <v>1334</v>
      </c>
      <c r="G28" s="759"/>
      <c r="K28" s="2816"/>
    </row>
    <row r="29" spans="1:66">
      <c r="A29" s="762" t="s">
        <v>1335</v>
      </c>
      <c r="B29" s="756"/>
      <c r="C29" s="3426" t="s">
        <v>1336</v>
      </c>
      <c r="D29" s="3427"/>
      <c r="E29" s="756"/>
      <c r="F29" s="762" t="s">
        <v>1336</v>
      </c>
      <c r="G29" s="756"/>
      <c r="K29" s="2816"/>
    </row>
    <row r="30" spans="1:66">
      <c r="A30" s="762" t="s">
        <v>1337</v>
      </c>
      <c r="B30" s="756"/>
      <c r="C30" s="3426" t="s">
        <v>1337</v>
      </c>
      <c r="D30" s="3427"/>
      <c r="E30" s="756"/>
      <c r="F30" s="762" t="s">
        <v>1338</v>
      </c>
      <c r="G30" s="756"/>
      <c r="K30" s="2816"/>
    </row>
    <row r="31" spans="1:66">
      <c r="A31" s="762" t="s">
        <v>1339</v>
      </c>
      <c r="B31" s="756"/>
      <c r="C31" s="3414" t="s">
        <v>1340</v>
      </c>
      <c r="D31" s="769"/>
      <c r="E31" s="2542" t="str">
        <f>E32&amp;" "&amp;E33&amp;" "&amp;E34&amp;" "&amp;E35</f>
        <v xml:space="preserve">   </v>
      </c>
      <c r="F31" s="762" t="s">
        <v>1341</v>
      </c>
      <c r="G31" s="756"/>
    </row>
    <row r="32" spans="1:66">
      <c r="A32" s="762" t="s">
        <v>1342</v>
      </c>
      <c r="B32" s="756"/>
      <c r="C32" s="3415"/>
      <c r="D32" s="259" t="s">
        <v>1343</v>
      </c>
      <c r="E32" s="756"/>
      <c r="F32" s="762" t="s">
        <v>1344</v>
      </c>
      <c r="G32" s="756"/>
    </row>
    <row r="33" spans="1:7" ht="24.75" thickBot="1">
      <c r="A33" s="763" t="s">
        <v>1345</v>
      </c>
      <c r="B33" s="760"/>
      <c r="C33" s="3415"/>
      <c r="D33" s="259" t="s">
        <v>1346</v>
      </c>
      <c r="E33" s="756"/>
      <c r="F33" s="762" t="s">
        <v>1347</v>
      </c>
      <c r="G33" s="756"/>
    </row>
    <row r="34" spans="1:7">
      <c r="A34" s="761" t="s">
        <v>1348</v>
      </c>
      <c r="B34" s="759"/>
      <c r="C34" s="3415"/>
      <c r="D34" s="259" t="s">
        <v>1349</v>
      </c>
      <c r="E34" s="756"/>
      <c r="F34" s="762" t="s">
        <v>1350</v>
      </c>
      <c r="G34" s="756"/>
    </row>
    <row r="35" spans="1:7" ht="13.5" thickBot="1">
      <c r="A35" s="762" t="s">
        <v>1351</v>
      </c>
      <c r="B35" s="756"/>
      <c r="C35" s="3416"/>
      <c r="D35" s="259" t="s">
        <v>1352</v>
      </c>
      <c r="E35" s="756"/>
      <c r="F35" s="763" t="s">
        <v>1353</v>
      </c>
      <c r="G35" s="2543"/>
    </row>
    <row r="36" spans="1:7">
      <c r="A36" s="762" t="s">
        <v>1310</v>
      </c>
      <c r="B36" s="756"/>
      <c r="C36" s="3426" t="s">
        <v>1354</v>
      </c>
      <c r="D36" s="3427"/>
      <c r="E36" s="756"/>
      <c r="F36" s="2544" t="s">
        <v>1355</v>
      </c>
      <c r="G36" s="759"/>
    </row>
    <row r="37" spans="1:7" ht="13.5" thickBot="1">
      <c r="A37" s="762" t="s">
        <v>1356</v>
      </c>
      <c r="B37" s="756"/>
      <c r="C37" s="3428" t="s">
        <v>1357</v>
      </c>
      <c r="D37" s="3429"/>
      <c r="E37" s="760"/>
      <c r="F37" s="1391" t="s">
        <v>1358</v>
      </c>
      <c r="G37" s="756"/>
    </row>
    <row r="38" spans="1:7" ht="13.5" thickBot="1">
      <c r="A38" s="762" t="s">
        <v>1359</v>
      </c>
      <c r="B38" s="756"/>
      <c r="C38" s="3412" t="s">
        <v>1360</v>
      </c>
      <c r="D38" s="1371" t="s">
        <v>1344</v>
      </c>
      <c r="E38" s="759"/>
      <c r="F38" s="763" t="s">
        <v>1361</v>
      </c>
      <c r="G38" s="760"/>
    </row>
    <row r="39" spans="1:7">
      <c r="A39" s="762" t="s">
        <v>1362</v>
      </c>
      <c r="B39" s="756"/>
      <c r="C39" s="3419"/>
      <c r="D39" s="259" t="s">
        <v>1351</v>
      </c>
      <c r="E39" s="756"/>
      <c r="F39" s="761" t="s">
        <v>1363</v>
      </c>
      <c r="G39" s="759"/>
    </row>
    <row r="40" spans="1:7">
      <c r="A40" s="762" t="s">
        <v>1364</v>
      </c>
      <c r="B40" s="756"/>
      <c r="C40" s="3419" t="s">
        <v>1365</v>
      </c>
      <c r="D40" s="259" t="s">
        <v>1310</v>
      </c>
      <c r="E40" s="756"/>
      <c r="F40" s="762" t="s">
        <v>1366</v>
      </c>
      <c r="G40" s="756"/>
    </row>
    <row r="41" spans="1:7" ht="24.75" customHeight="1" thickBot="1">
      <c r="A41" s="763" t="s">
        <v>1367</v>
      </c>
      <c r="B41" s="760"/>
      <c r="C41" s="3420"/>
      <c r="D41" s="1374" t="s">
        <v>1312</v>
      </c>
      <c r="E41" s="760"/>
      <c r="F41" s="763" t="s">
        <v>1368</v>
      </c>
      <c r="G41" s="760"/>
    </row>
    <row r="42" spans="1:7">
      <c r="A42" s="764" t="s">
        <v>1369</v>
      </c>
      <c r="B42" s="2545"/>
      <c r="C42" s="3408" t="s">
        <v>1369</v>
      </c>
      <c r="D42" s="3409"/>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10" t="s">
        <v>1372</v>
      </c>
      <c r="D49" s="3411"/>
      <c r="E49" s="778"/>
      <c r="F49" s="763" t="s">
        <v>1373</v>
      </c>
      <c r="G49" s="760"/>
    </row>
    <row r="50" spans="1:66">
      <c r="A50" s="762" t="s">
        <v>1374</v>
      </c>
      <c r="B50" s="777"/>
      <c r="C50" s="3412" t="s">
        <v>1375</v>
      </c>
      <c r="D50" s="3413"/>
      <c r="E50" s="2547"/>
      <c r="F50" s="795"/>
      <c r="G50" s="796"/>
    </row>
    <row r="51" spans="1:66" ht="13.5" thickBot="1">
      <c r="A51" s="762" t="s">
        <v>1376</v>
      </c>
      <c r="B51" s="777"/>
      <c r="C51" s="3420" t="s">
        <v>1377</v>
      </c>
      <c r="D51" s="3423"/>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0" t="s">
        <v>0</v>
      </c>
      <c r="B1" s="3440" t="s">
        <v>2</v>
      </c>
      <c r="C1" s="3440" t="s">
        <v>3</v>
      </c>
      <c r="D1" s="3441" t="s">
        <v>67</v>
      </c>
      <c r="E1" s="3441" t="s">
        <v>68</v>
      </c>
      <c r="F1" s="3441"/>
      <c r="G1" s="3441"/>
      <c r="H1" s="3441"/>
      <c r="I1" s="3441"/>
      <c r="J1" s="3441"/>
      <c r="K1" s="3441"/>
      <c r="L1" s="3441"/>
      <c r="M1" s="3441"/>
    </row>
    <row r="2" spans="1:13" ht="27" customHeight="1">
      <c r="A2" s="3440"/>
      <c r="B2" s="3440"/>
      <c r="C2" s="3440"/>
      <c r="D2" s="3441"/>
      <c r="E2" s="3441" t="s">
        <v>51</v>
      </c>
      <c r="F2" s="3441" t="s">
        <v>52</v>
      </c>
      <c r="G2" s="3441"/>
      <c r="H2" s="3441"/>
      <c r="I2" s="3441"/>
      <c r="J2" s="3441" t="s">
        <v>53</v>
      </c>
      <c r="K2" s="3441"/>
      <c r="L2" s="3441"/>
      <c r="M2" s="3441"/>
    </row>
    <row r="3" spans="1:13" ht="28.5">
      <c r="A3" s="3440"/>
      <c r="B3" s="3440"/>
      <c r="C3" s="3440"/>
      <c r="D3" s="3441"/>
      <c r="E3" s="34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1" t="s">
        <v>69</v>
      </c>
      <c r="B9" s="3441"/>
      <c r="C9" s="34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9" style="2549"/>
  </cols>
  <sheetData>
    <row r="1" spans="1:41" ht="19.5" thickBot="1">
      <c r="A1" s="2834" t="s">
        <v>1379</v>
      </c>
      <c r="B1" s="905"/>
      <c r="D1" s="2548"/>
      <c r="E1" s="2548"/>
    </row>
    <row r="2" spans="1:41" s="2552" customFormat="1" ht="15.75" thickBot="1">
      <c r="A2" s="2835" t="s">
        <v>1380</v>
      </c>
      <c r="B2" s="2836">
        <f>项目基本情况!D2</f>
        <v>44725</v>
      </c>
      <c r="C2" s="1613"/>
      <c r="D2" s="3442"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3094</v>
      </c>
      <c r="C3" s="1613"/>
      <c r="D3" s="3443"/>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43"/>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353.61</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1"/>
      <c r="D9" s="2881"/>
      <c r="E9" s="2881"/>
      <c r="F9" s="2881"/>
      <c r="G9" s="2881"/>
      <c r="H9" s="2881"/>
    </row>
    <row r="10" spans="1:41" s="2552" customFormat="1" ht="15" thickBot="1">
      <c r="A10" s="2838" t="s">
        <v>1388</v>
      </c>
      <c r="B10" s="2561" t="s">
        <v>2643</v>
      </c>
      <c r="C10" s="1613"/>
      <c r="D10" s="2835" t="s">
        <v>1389</v>
      </c>
      <c r="E10" s="2839" t="s">
        <v>1390</v>
      </c>
      <c r="F10" s="3002"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50</v>
      </c>
      <c r="C13" s="2879"/>
      <c r="D13" s="2845" t="s">
        <v>1397</v>
      </c>
      <c r="E13" s="2568">
        <f>成本法!C9</f>
        <v>56578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0.93200000000000005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3344">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3344">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345">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346">
        <v>6.5000000000000002E-2</v>
      </c>
      <c r="C18" s="1613"/>
      <c r="D18" s="2851" t="str">
        <f>IF(B26=0,"建安总额","在建建安")</f>
        <v>建安总额</v>
      </c>
      <c r="E18" s="2852">
        <f>ROUND(B5*E17*IF(B26=0,1,E20),0)</f>
        <v>1237635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ROUND((H21+H20)/2,2)</f>
        <v>0.8</v>
      </c>
      <c r="F20" s="905"/>
      <c r="G20" s="1613"/>
      <c r="H20" s="3355">
        <f>ROUND(1-(1-0)*(2022-B27)/60,2)</f>
        <v>0.7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7">
        <v>0.03</v>
      </c>
      <c r="F21" s="2585" t="s">
        <v>2605</v>
      </c>
      <c r="G21" s="1613"/>
      <c r="H21" s="3355">
        <v>0.9</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18">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19">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0">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1">
        <v>0.03</v>
      </c>
      <c r="F25" s="2585" t="s">
        <v>2604</v>
      </c>
      <c r="I25" s="2880"/>
    </row>
    <row r="26" spans="1:41" ht="15" thickBot="1">
      <c r="A26" s="2858" t="s">
        <v>1417</v>
      </c>
      <c r="B26" s="2862">
        <f>B22-B23</f>
        <v>0</v>
      </c>
      <c r="D26" s="2842" t="s">
        <v>1420</v>
      </c>
      <c r="E26" s="3322">
        <v>0.02</v>
      </c>
      <c r="F26" s="2585" t="s">
        <v>2604</v>
      </c>
      <c r="G26" s="2881"/>
      <c r="H26" s="2881"/>
      <c r="I26" s="1613"/>
      <c r="J26" s="1613"/>
      <c r="K26" s="1613"/>
      <c r="L26" s="1613"/>
      <c r="M26" s="1613"/>
      <c r="N26" s="1613"/>
    </row>
    <row r="27" spans="1:41" ht="15.75" thickBot="1">
      <c r="A27" s="2863" t="s">
        <v>1419</v>
      </c>
      <c r="B27" s="2579">
        <v>2004</v>
      </c>
      <c r="C27" s="1613"/>
      <c r="D27" s="3066" t="s">
        <v>3037</v>
      </c>
      <c r="E27" s="2864">
        <f ca="1">IF(D27="利息：取LPR",存贷款利率!G1,存贷款利率!G1+F27)</f>
        <v>4.2000000000000003E-2</v>
      </c>
      <c r="F27" s="3067">
        <v>5.0000000000000001E-3</v>
      </c>
      <c r="G27" s="2881"/>
      <c r="H27" s="2881"/>
      <c r="K27" s="1613"/>
      <c r="N27" s="1613"/>
    </row>
    <row r="28" spans="1:41" ht="15" thickBot="1">
      <c r="A28" s="905"/>
      <c r="B28" s="905"/>
      <c r="D28" s="2845" t="s">
        <v>1422</v>
      </c>
      <c r="E28" s="2581">
        <v>0.2</v>
      </c>
      <c r="G28" s="2881"/>
      <c r="H28" s="2881"/>
      <c r="K28" s="1613"/>
      <c r="N28" s="1613"/>
    </row>
    <row r="29" spans="1:41" ht="14.25">
      <c r="A29" s="2865" t="s">
        <v>1421</v>
      </c>
      <c r="B29" s="2580" t="s">
        <v>3036</v>
      </c>
      <c r="D29" s="2847" t="s">
        <v>1423</v>
      </c>
      <c r="E29" s="2866">
        <f>E30+E31</f>
        <v>5.6000000000000001E-2</v>
      </c>
      <c r="F29" s="1238"/>
      <c r="G29" s="2881"/>
      <c r="H29" s="2881"/>
      <c r="K29" s="1613"/>
      <c r="N29" s="1613"/>
    </row>
    <row r="30" spans="1:41" ht="14.25">
      <c r="A30" s="2842" t="str">
        <f>IF(B29="租赁期内按合同租金","合同租金","市场租金")</f>
        <v>市场租金</v>
      </c>
      <c r="B30" s="2582">
        <v>20000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6.000000000000001E-3</v>
      </c>
      <c r="F31" s="1238"/>
      <c r="G31" s="2881"/>
      <c r="H31" s="2881"/>
      <c r="K31" s="1613"/>
      <c r="N31" s="1613"/>
    </row>
    <row r="32" spans="1:41" ht="14.25">
      <c r="A32" s="2842" t="s">
        <v>1426</v>
      </c>
      <c r="B32" s="2570">
        <v>0.03</v>
      </c>
      <c r="D32" s="2849" t="s">
        <v>1429</v>
      </c>
      <c r="E32" s="2584">
        <v>7.0000000000000007E-2</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50</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44" t="s">
        <v>1463</v>
      </c>
      <c r="B1" s="3445"/>
      <c r="C1" s="3445"/>
      <c r="D1" s="3445"/>
      <c r="E1" s="3445"/>
      <c r="F1" s="3445"/>
      <c r="G1" s="3445"/>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08"/>
      <c r="B2" s="3009"/>
      <c r="C2" s="3010" t="s">
        <v>2607</v>
      </c>
      <c r="D2" s="3011"/>
      <c r="E2" s="3008"/>
      <c r="F2" s="3012"/>
      <c r="G2" s="3010" t="s">
        <v>2608</v>
      </c>
      <c r="H2" s="3013"/>
      <c r="I2" s="3013"/>
      <c r="J2" s="3013"/>
      <c r="K2" s="3013"/>
      <c r="L2" s="3013"/>
      <c r="M2" s="3013"/>
      <c r="N2" s="3013"/>
      <c r="O2" s="3013"/>
      <c r="P2" s="3013"/>
      <c r="Q2" s="3013"/>
      <c r="R2" s="3013"/>
      <c r="S2" s="3013"/>
      <c r="T2" s="3013"/>
      <c r="U2" s="3013"/>
      <c r="V2" s="3013"/>
      <c r="W2" s="3013"/>
      <c r="X2" s="3013"/>
      <c r="Y2" s="3013"/>
      <c r="Z2" s="3013"/>
      <c r="AA2" s="3013"/>
      <c r="AB2" s="3013"/>
      <c r="AC2" s="3013"/>
    </row>
    <row r="3" spans="1:29" s="2549" customFormat="1" ht="36">
      <c r="A3" s="3014" t="s">
        <v>2609</v>
      </c>
      <c r="B3" s="3015" t="s">
        <v>2610</v>
      </c>
      <c r="C3" s="3016" t="s">
        <v>2611</v>
      </c>
      <c r="D3" s="3017"/>
      <c r="E3" s="3018" t="s">
        <v>2609</v>
      </c>
      <c r="F3" s="3019" t="s">
        <v>2612</v>
      </c>
      <c r="G3" s="3020" t="s">
        <v>2613</v>
      </c>
      <c r="H3" s="3013"/>
      <c r="I3" s="3013"/>
      <c r="J3" s="3013"/>
      <c r="K3" s="3013"/>
      <c r="L3" s="3013"/>
      <c r="M3" s="3013"/>
      <c r="N3" s="3013"/>
      <c r="O3" s="3013"/>
      <c r="P3" s="3013"/>
      <c r="Q3" s="3013"/>
      <c r="R3" s="3013"/>
      <c r="S3" s="3013"/>
      <c r="T3" s="3013"/>
      <c r="U3" s="3013"/>
      <c r="V3" s="3013"/>
      <c r="W3" s="3013"/>
      <c r="X3" s="3013"/>
      <c r="Y3" s="3013"/>
      <c r="Z3" s="3013"/>
      <c r="AA3" s="3013"/>
      <c r="AB3" s="3013"/>
      <c r="AC3" s="3013"/>
    </row>
    <row r="4" spans="1:29" s="2549" customFormat="1" ht="24.75">
      <c r="A4" s="3018"/>
      <c r="B4" s="3003" t="s">
        <v>2614</v>
      </c>
      <c r="C4" s="3021" t="s">
        <v>2615</v>
      </c>
      <c r="D4" s="3017"/>
      <c r="E4" s="3022"/>
      <c r="F4" s="3005" t="s">
        <v>2616</v>
      </c>
      <c r="G4" s="3023" t="s">
        <v>2617</v>
      </c>
      <c r="H4" s="3013"/>
      <c r="I4" s="3013"/>
      <c r="J4" s="3013"/>
      <c r="K4" s="3013"/>
      <c r="L4" s="3013"/>
      <c r="M4" s="3013"/>
      <c r="N4" s="3013"/>
      <c r="O4" s="3013"/>
      <c r="P4" s="3013"/>
      <c r="Q4" s="3013"/>
      <c r="R4" s="3013"/>
      <c r="S4" s="3013"/>
      <c r="T4" s="3013"/>
      <c r="U4" s="3013"/>
      <c r="V4" s="3013"/>
      <c r="W4" s="3013"/>
      <c r="X4" s="3013"/>
      <c r="Y4" s="3013"/>
      <c r="Z4" s="3013"/>
      <c r="AA4" s="3013"/>
      <c r="AB4" s="3013"/>
      <c r="AC4" s="3013"/>
    </row>
    <row r="5" spans="1:29" s="2549" customFormat="1" ht="24.75">
      <c r="A5" s="3018"/>
      <c r="B5" s="3003" t="s">
        <v>2618</v>
      </c>
      <c r="C5" s="3021" t="s">
        <v>2619</v>
      </c>
      <c r="D5" s="3017"/>
      <c r="E5" s="3022"/>
      <c r="F5" s="3003" t="s">
        <v>2620</v>
      </c>
      <c r="G5" s="3023" t="s">
        <v>2621</v>
      </c>
      <c r="H5" s="3013"/>
      <c r="I5" s="3013"/>
      <c r="J5" s="3013"/>
      <c r="K5" s="3013"/>
      <c r="L5" s="3013"/>
      <c r="M5" s="3013"/>
      <c r="N5" s="3013"/>
      <c r="O5" s="3013"/>
      <c r="P5" s="3013"/>
      <c r="Q5" s="3013"/>
      <c r="R5" s="3013"/>
      <c r="S5" s="3013"/>
      <c r="T5" s="3013"/>
      <c r="U5" s="3013"/>
      <c r="V5" s="3013"/>
      <c r="W5" s="3013"/>
      <c r="X5" s="3013"/>
      <c r="Y5" s="3013"/>
      <c r="Z5" s="3013"/>
      <c r="AA5" s="3013"/>
      <c r="AB5" s="3013"/>
      <c r="AC5" s="3013"/>
    </row>
    <row r="6" spans="1:29" s="2549" customFormat="1" ht="36">
      <c r="A6" s="3018"/>
      <c r="B6" s="3003" t="s">
        <v>2622</v>
      </c>
      <c r="C6" s="3023" t="s">
        <v>2617</v>
      </c>
      <c r="D6" s="3017"/>
      <c r="E6" s="3022"/>
      <c r="F6" s="3003" t="s">
        <v>2623</v>
      </c>
      <c r="G6" s="3023" t="s">
        <v>2624</v>
      </c>
      <c r="H6" s="3013"/>
      <c r="I6" s="3013"/>
      <c r="J6" s="3013"/>
      <c r="K6" s="3013"/>
      <c r="L6" s="3013"/>
      <c r="M6" s="3013"/>
      <c r="N6" s="3013"/>
      <c r="O6" s="3013"/>
      <c r="P6" s="3013"/>
      <c r="Q6" s="3013"/>
      <c r="R6" s="3013"/>
      <c r="S6" s="3013"/>
      <c r="T6" s="3013"/>
      <c r="U6" s="3013"/>
      <c r="V6" s="3013"/>
      <c r="W6" s="3013"/>
      <c r="X6" s="3013"/>
      <c r="Y6" s="3013"/>
      <c r="Z6" s="3013"/>
      <c r="AA6" s="3013"/>
      <c r="AB6" s="3013"/>
      <c r="AC6" s="3013"/>
    </row>
    <row r="7" spans="1:29" s="2549" customFormat="1" ht="24.75" thickBot="1">
      <c r="A7" s="3018"/>
      <c r="B7" s="3003" t="s">
        <v>2620</v>
      </c>
      <c r="C7" s="3023" t="s">
        <v>2621</v>
      </c>
      <c r="D7" s="2894"/>
      <c r="E7" s="3024"/>
      <c r="F7" s="3025" t="s">
        <v>2625</v>
      </c>
      <c r="G7" s="3026" t="s">
        <v>2626</v>
      </c>
      <c r="H7" s="3013"/>
      <c r="I7" s="3013"/>
      <c r="J7" s="3013"/>
      <c r="K7" s="3013"/>
      <c r="L7" s="3013"/>
      <c r="M7" s="3013"/>
      <c r="N7" s="3013"/>
      <c r="O7" s="3013"/>
      <c r="P7" s="3013"/>
      <c r="Q7" s="3013"/>
      <c r="R7" s="3013"/>
      <c r="S7" s="3013"/>
      <c r="T7" s="3013"/>
      <c r="U7" s="3013"/>
      <c r="V7" s="3013"/>
      <c r="W7" s="3013"/>
      <c r="X7" s="3013"/>
      <c r="Y7" s="3013"/>
      <c r="Z7" s="3013"/>
      <c r="AA7" s="3013"/>
      <c r="AB7" s="3013"/>
      <c r="AC7" s="3013"/>
    </row>
    <row r="8" spans="1:29" s="2549" customFormat="1" ht="12.75">
      <c r="A8" s="3018"/>
      <c r="B8" s="3003" t="s">
        <v>2623</v>
      </c>
      <c r="C8" s="3023" t="s">
        <v>2624</v>
      </c>
      <c r="D8" s="2894"/>
      <c r="E8" s="2894"/>
      <c r="F8" s="2889"/>
      <c r="G8" s="2889"/>
      <c r="H8" s="3013"/>
      <c r="I8" s="3013"/>
      <c r="J8" s="3013"/>
      <c r="K8" s="3013"/>
      <c r="L8" s="3013"/>
      <c r="M8" s="3013"/>
      <c r="N8" s="3013"/>
      <c r="O8" s="3013"/>
      <c r="P8" s="3013"/>
      <c r="Q8" s="3013"/>
      <c r="R8" s="3013"/>
      <c r="S8" s="3013"/>
      <c r="T8" s="3013"/>
      <c r="U8" s="3013"/>
      <c r="V8" s="3013"/>
      <c r="W8" s="3013"/>
      <c r="X8" s="3013"/>
      <c r="Y8" s="3013"/>
      <c r="Z8" s="3013"/>
      <c r="AA8" s="3013"/>
      <c r="AB8" s="3013"/>
      <c r="AC8" s="3013"/>
    </row>
    <row r="9" spans="1:29" s="2549" customFormat="1" ht="24">
      <c r="A9" s="3018"/>
      <c r="B9" s="3003" t="s">
        <v>2627</v>
      </c>
      <c r="C9" s="3021" t="s">
        <v>2628</v>
      </c>
      <c r="D9" s="3017"/>
      <c r="E9" s="2894"/>
      <c r="F9" s="2889"/>
      <c r="G9" s="2889"/>
      <c r="H9" s="3013"/>
      <c r="I9" s="3013"/>
      <c r="J9" s="3013"/>
      <c r="K9" s="3013"/>
      <c r="L9" s="3013"/>
      <c r="M9" s="3013"/>
      <c r="N9" s="3013"/>
      <c r="O9" s="3013"/>
      <c r="P9" s="3013"/>
      <c r="Q9" s="3013"/>
      <c r="R9" s="3013"/>
      <c r="S9" s="3013"/>
      <c r="T9" s="3013"/>
      <c r="U9" s="3013"/>
      <c r="V9" s="3013"/>
      <c r="W9" s="3013"/>
      <c r="X9" s="3013"/>
      <c r="Y9" s="3013"/>
      <c r="Z9" s="3013"/>
      <c r="AA9" s="3013"/>
      <c r="AB9" s="3013"/>
      <c r="AC9" s="3013"/>
    </row>
    <row r="10" spans="1:29" s="2587" customFormat="1" ht="13.5" thickBot="1">
      <c r="A10" s="3027"/>
      <c r="B10" s="3007" t="s">
        <v>2629</v>
      </c>
      <c r="C10" s="3028"/>
      <c r="D10" s="3017"/>
      <c r="E10" s="3017"/>
      <c r="F10" s="2889"/>
      <c r="G10" s="2889"/>
      <c r="H10" s="1426"/>
      <c r="I10" s="3029"/>
      <c r="J10" s="3030"/>
      <c r="K10" s="1426"/>
      <c r="L10" s="3029"/>
      <c r="M10" s="3030"/>
      <c r="N10" s="1426"/>
      <c r="O10" s="3029"/>
      <c r="P10" s="3030"/>
      <c r="Q10" s="1426"/>
      <c r="R10" s="3029"/>
      <c r="S10" s="3013"/>
      <c r="T10" s="3013"/>
      <c r="U10" s="3013"/>
      <c r="V10" s="3013"/>
      <c r="W10" s="3013"/>
      <c r="X10" s="3013"/>
      <c r="Y10" s="3013"/>
      <c r="Z10" s="3013"/>
      <c r="AA10" s="3013"/>
      <c r="AB10" s="3013"/>
      <c r="AC10" s="3013"/>
    </row>
    <row r="11" spans="1:29" s="2587" customFormat="1" ht="12.75">
      <c r="A11" s="3031"/>
      <c r="B11" s="2894"/>
      <c r="C11" s="3017"/>
      <c r="D11" s="3017"/>
      <c r="E11" s="3017"/>
      <c r="F11" s="2894"/>
      <c r="G11" s="3032"/>
      <c r="H11" s="1426"/>
      <c r="I11" s="3029"/>
      <c r="J11" s="3030"/>
      <c r="K11" s="1426"/>
      <c r="L11" s="3029"/>
      <c r="M11" s="3030"/>
      <c r="N11" s="1426"/>
      <c r="O11" s="3029"/>
      <c r="P11" s="3030"/>
      <c r="Q11" s="1426"/>
      <c r="R11" s="3029"/>
      <c r="S11" s="3013"/>
      <c r="T11" s="3013"/>
      <c r="U11" s="3013"/>
      <c r="V11" s="3013"/>
      <c r="W11" s="3013"/>
      <c r="X11" s="3013"/>
      <c r="Y11" s="3013"/>
      <c r="Z11" s="3013"/>
      <c r="AA11" s="3013"/>
      <c r="AB11" s="3013"/>
      <c r="AC11" s="3013"/>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3"/>
      <c r="B14" s="3033"/>
      <c r="C14" s="3034" t="s">
        <v>2630</v>
      </c>
      <c r="D14" s="3017"/>
      <c r="E14" s="3035"/>
      <c r="F14" s="3035"/>
      <c r="G14" s="3010" t="s">
        <v>2631</v>
      </c>
      <c r="H14" s="3036"/>
      <c r="I14" s="3037"/>
      <c r="J14" s="3036"/>
      <c r="K14" s="3036"/>
      <c r="L14" s="3037"/>
      <c r="M14" s="3036"/>
      <c r="N14" s="3036"/>
      <c r="O14" s="3037"/>
      <c r="P14" s="3036"/>
      <c r="Q14" s="3036"/>
      <c r="R14" s="3038"/>
      <c r="S14" s="3013"/>
      <c r="T14" s="3013"/>
      <c r="U14" s="3013"/>
      <c r="V14" s="3013"/>
      <c r="W14" s="3013"/>
      <c r="X14" s="3013"/>
      <c r="Y14" s="3013"/>
      <c r="Z14" s="3013"/>
      <c r="AA14" s="3013"/>
      <c r="AB14" s="3013"/>
      <c r="AC14" s="3013"/>
    </row>
    <row r="15" spans="1:29" s="2549" customFormat="1" ht="38.25">
      <c r="A15" s="3039" t="s">
        <v>2632</v>
      </c>
      <c r="B15" s="3040" t="s">
        <v>2610</v>
      </c>
      <c r="C15" s="3041" t="str">
        <f>C3</f>
        <v>估价对象周边居住用地比例、居住小区规模和社区发展完善程度，综合评价居住社区成熟度一般</v>
      </c>
      <c r="D15" s="3017"/>
      <c r="E15" s="3042" t="s">
        <v>2633</v>
      </c>
      <c r="F15" s="3040" t="s">
        <v>2634</v>
      </c>
      <c r="G15" s="3043" t="str">
        <f>G3</f>
        <v>估价对象位于XX开发区，园区建设成熟度XX，产业集聚程度XX</v>
      </c>
      <c r="H15" s="3036"/>
      <c r="I15" s="3037"/>
      <c r="J15" s="3036"/>
      <c r="K15" s="3036"/>
      <c r="L15" s="3037"/>
      <c r="M15" s="3036"/>
      <c r="N15" s="3036"/>
      <c r="O15" s="3037"/>
      <c r="P15" s="3036"/>
      <c r="Q15" s="3036"/>
      <c r="R15" s="3038"/>
      <c r="S15" s="3013"/>
      <c r="T15" s="3013"/>
      <c r="U15" s="3013"/>
      <c r="V15" s="3013"/>
      <c r="W15" s="3013"/>
      <c r="X15" s="3013"/>
      <c r="Y15" s="3013"/>
      <c r="Z15" s="3013"/>
      <c r="AA15" s="3013"/>
      <c r="AB15" s="3013"/>
      <c r="AC15" s="3013"/>
    </row>
    <row r="16" spans="1:29" s="2549" customFormat="1" ht="25.5">
      <c r="A16" s="3044"/>
      <c r="B16" s="2489" t="s">
        <v>2614</v>
      </c>
      <c r="C16" s="3045" t="str">
        <f>C4</f>
        <v>估价对象位于XX商圈，周边商业氛围成熟，人流量大，商业繁华度好</v>
      </c>
      <c r="D16" s="3017"/>
      <c r="E16" s="3046"/>
      <c r="F16" s="3004" t="s">
        <v>2616</v>
      </c>
      <c r="G16" s="3047" t="str">
        <f>G4</f>
        <v>估价对象周边道路状况、公共交通通达情况、停车便捷程度，综合评价交通便捷度较好</v>
      </c>
      <c r="H16" s="3036"/>
      <c r="I16" s="3037"/>
      <c r="J16" s="3036"/>
      <c r="K16" s="3036"/>
      <c r="L16" s="3037"/>
      <c r="M16" s="3036"/>
      <c r="N16" s="3036"/>
      <c r="O16" s="3037"/>
      <c r="P16" s="3036"/>
      <c r="Q16" s="3036"/>
      <c r="R16" s="3038"/>
      <c r="S16" s="3013"/>
      <c r="T16" s="3013"/>
      <c r="U16" s="3013"/>
      <c r="V16" s="3013"/>
      <c r="W16" s="3013"/>
      <c r="X16" s="3013"/>
      <c r="Y16" s="3013"/>
      <c r="Z16" s="3013"/>
      <c r="AA16" s="3013"/>
      <c r="AB16" s="3013"/>
      <c r="AC16" s="3013"/>
    </row>
    <row r="17" spans="1:29" s="2549" customFormat="1" ht="25.5">
      <c r="A17" s="3044"/>
      <c r="B17" s="2489" t="s">
        <v>2618</v>
      </c>
      <c r="C17" s="3045" t="str">
        <f>C5</f>
        <v>估价对象位于XX商圈，周边办公楼项目较多，入驻率高，办公集聚程度较好</v>
      </c>
      <c r="D17" s="2894"/>
      <c r="E17" s="3046"/>
      <c r="F17" s="3316" t="s">
        <v>3029</v>
      </c>
      <c r="G17" s="3048"/>
      <c r="H17" s="3036"/>
      <c r="I17" s="3037"/>
      <c r="J17" s="3036"/>
      <c r="K17" s="3036"/>
      <c r="L17" s="3037"/>
      <c r="M17" s="3036"/>
      <c r="N17" s="3036"/>
      <c r="O17" s="3037"/>
      <c r="P17" s="3036"/>
      <c r="Q17" s="3036"/>
      <c r="R17" s="3038"/>
      <c r="S17" s="3013"/>
      <c r="T17" s="3013"/>
      <c r="U17" s="3013"/>
      <c r="V17" s="3013"/>
      <c r="W17" s="3013"/>
      <c r="X17" s="3013"/>
      <c r="Y17" s="3013"/>
      <c r="Z17" s="3013"/>
      <c r="AA17" s="3013"/>
      <c r="AB17" s="3013"/>
      <c r="AC17" s="3013"/>
    </row>
    <row r="18" spans="1:29" s="2549" customFormat="1" ht="38.25">
      <c r="A18" s="3044"/>
      <c r="B18" s="3004" t="s">
        <v>2622</v>
      </c>
      <c r="C18" s="3047" t="str">
        <f>C6</f>
        <v>估价对象周边道路状况、公共交通通达情况、停车便捷程度，综合评价交通便捷度较好</v>
      </c>
      <c r="D18" s="2894"/>
      <c r="E18" s="3046"/>
      <c r="F18" s="3004" t="s">
        <v>2625</v>
      </c>
      <c r="G18" s="3047" t="str">
        <f>G7</f>
        <v>该园区内是否有污染型企业，绿化情况，卫生条件，整体环境状况判断</v>
      </c>
      <c r="H18" s="3036"/>
      <c r="I18" s="3037"/>
      <c r="J18" s="3036"/>
      <c r="K18" s="3036"/>
      <c r="L18" s="3037"/>
      <c r="M18" s="3036"/>
      <c r="N18" s="3036"/>
      <c r="O18" s="3037"/>
      <c r="P18" s="3036"/>
      <c r="Q18" s="3036"/>
      <c r="R18" s="3038"/>
      <c r="S18" s="3013"/>
      <c r="T18" s="3013"/>
      <c r="U18" s="3013"/>
      <c r="V18" s="3013"/>
      <c r="W18" s="3013"/>
      <c r="X18" s="3013"/>
      <c r="Y18" s="3013"/>
      <c r="Z18" s="3013"/>
      <c r="AA18" s="3013"/>
      <c r="AB18" s="3013"/>
      <c r="AC18" s="3013"/>
    </row>
    <row r="19" spans="1:29" s="2549" customFormat="1" ht="12.75">
      <c r="A19" s="3044"/>
      <c r="B19" s="3316" t="s">
        <v>3028</v>
      </c>
      <c r="C19" s="3048"/>
      <c r="D19" s="3017"/>
      <c r="E19" s="3046"/>
      <c r="F19" s="3003" t="s">
        <v>2620</v>
      </c>
      <c r="G19" s="3047" t="str">
        <f>G5</f>
        <v>估价对象所在区域公共配套设施齐备情况</v>
      </c>
      <c r="H19" s="3036"/>
      <c r="I19" s="3037"/>
      <c r="J19" s="3036"/>
      <c r="K19" s="3036"/>
      <c r="L19" s="3037"/>
      <c r="M19" s="3036"/>
      <c r="N19" s="3036"/>
      <c r="O19" s="3037"/>
      <c r="P19" s="3036"/>
      <c r="Q19" s="3036"/>
      <c r="R19" s="3038"/>
      <c r="S19" s="3013"/>
      <c r="T19" s="3013"/>
      <c r="U19" s="3013"/>
      <c r="V19" s="3013"/>
      <c r="W19" s="3013"/>
      <c r="X19" s="3013"/>
      <c r="Y19" s="3013"/>
      <c r="Z19" s="3013"/>
      <c r="AA19" s="3013"/>
      <c r="AB19" s="3013"/>
      <c r="AC19" s="3013"/>
    </row>
    <row r="20" spans="1:29" s="2549" customFormat="1" ht="25.5">
      <c r="A20" s="3044"/>
      <c r="B20" s="3004" t="s">
        <v>2635</v>
      </c>
      <c r="C20" s="3045" t="str">
        <f>C9</f>
        <v>区域自然环境：；人文环境；综合评价环境状况一般</v>
      </c>
      <c r="D20" s="2894"/>
      <c r="E20" s="3046"/>
      <c r="F20" s="3003" t="s">
        <v>2623</v>
      </c>
      <c r="G20" s="3047" t="str">
        <f>G6</f>
        <v>估价对象所在区域基础设施水平</v>
      </c>
      <c r="H20" s="3036"/>
      <c r="I20" s="3037"/>
      <c r="J20" s="3036"/>
      <c r="K20" s="3036"/>
      <c r="L20" s="3037"/>
      <c r="M20" s="3036"/>
      <c r="N20" s="3036"/>
      <c r="O20" s="3037"/>
      <c r="P20" s="3036"/>
      <c r="Q20" s="3036"/>
      <c r="R20" s="3038"/>
      <c r="S20" s="3013"/>
      <c r="T20" s="3013"/>
      <c r="U20" s="3013"/>
      <c r="V20" s="3013"/>
      <c r="W20" s="3013"/>
      <c r="X20" s="3013"/>
      <c r="Y20" s="3013"/>
      <c r="Z20" s="3013"/>
      <c r="AA20" s="3013"/>
      <c r="AB20" s="3013"/>
      <c r="AC20" s="3013"/>
    </row>
    <row r="21" spans="1:29" s="2549" customFormat="1" ht="25.5">
      <c r="A21" s="3044"/>
      <c r="B21" s="3003" t="s">
        <v>2620</v>
      </c>
      <c r="C21" s="3047" t="str">
        <f>C7</f>
        <v>估价对象所在区域公共配套设施齐备情况</v>
      </c>
      <c r="D21" s="3017"/>
      <c r="E21" s="3046"/>
      <c r="F21" s="3004" t="s">
        <v>2636</v>
      </c>
      <c r="G21" s="3049"/>
      <c r="H21" s="3036"/>
      <c r="I21" s="3037"/>
      <c r="J21" s="3036"/>
      <c r="K21" s="3036"/>
      <c r="L21" s="3037"/>
      <c r="M21" s="3036"/>
      <c r="N21" s="3036"/>
      <c r="O21" s="3037"/>
      <c r="P21" s="3036"/>
      <c r="Q21" s="3036"/>
      <c r="R21" s="3038"/>
      <c r="S21" s="3013"/>
      <c r="T21" s="3013"/>
      <c r="U21" s="3013"/>
      <c r="V21" s="3013"/>
      <c r="W21" s="3013"/>
      <c r="X21" s="3013"/>
      <c r="Y21" s="3013"/>
      <c r="Z21" s="3013"/>
      <c r="AA21" s="3013"/>
      <c r="AB21" s="3013"/>
      <c r="AC21" s="3013"/>
    </row>
    <row r="22" spans="1:29" s="2549" customFormat="1" ht="12.75">
      <c r="A22" s="3044"/>
      <c r="B22" s="3003" t="s">
        <v>2623</v>
      </c>
      <c r="C22" s="3047" t="str">
        <f>C8</f>
        <v>估价对象所在区域基础设施水平</v>
      </c>
      <c r="D22" s="3017"/>
      <c r="E22" s="3046"/>
      <c r="F22" s="3004" t="s">
        <v>2629</v>
      </c>
      <c r="G22" s="3050"/>
      <c r="H22" s="3036"/>
      <c r="I22" s="3037"/>
      <c r="J22" s="3036"/>
      <c r="K22" s="3036"/>
      <c r="L22" s="3037"/>
      <c r="M22" s="3036"/>
      <c r="N22" s="3036"/>
      <c r="O22" s="3037"/>
      <c r="P22" s="3036"/>
      <c r="Q22" s="3036"/>
      <c r="R22" s="3038"/>
      <c r="S22" s="3013"/>
      <c r="T22" s="3013"/>
      <c r="U22" s="3013"/>
      <c r="V22" s="3013"/>
      <c r="W22" s="3013"/>
      <c r="X22" s="3013"/>
      <c r="Y22" s="3013"/>
      <c r="Z22" s="3013"/>
      <c r="AA22" s="3013"/>
      <c r="AB22" s="3013"/>
      <c r="AC22" s="3013"/>
    </row>
    <row r="23" spans="1:29" s="3013" customFormat="1" ht="13.5" thickBot="1">
      <c r="A23" s="3044"/>
      <c r="B23" s="3004" t="s">
        <v>2636</v>
      </c>
      <c r="C23" s="3049"/>
      <c r="D23" s="3036"/>
      <c r="E23" s="3051"/>
      <c r="F23" s="3006" t="s">
        <v>2637</v>
      </c>
      <c r="G23" s="3052"/>
      <c r="H23" s="3036"/>
      <c r="I23" s="3037"/>
      <c r="J23" s="3036"/>
      <c r="K23" s="3036"/>
      <c r="L23" s="3037"/>
      <c r="M23" s="3036"/>
      <c r="N23" s="3036"/>
      <c r="O23" s="3037"/>
      <c r="P23" s="3036"/>
      <c r="Q23" s="3036"/>
      <c r="R23" s="3038"/>
    </row>
    <row r="24" spans="1:29" s="3013" customFormat="1" ht="13.5" thickBot="1">
      <c r="A24" s="3053"/>
      <c r="B24" s="3006" t="s">
        <v>2638</v>
      </c>
      <c r="C24" s="3054">
        <f>C10</f>
        <v>0</v>
      </c>
      <c r="D24" s="3036"/>
      <c r="E24" s="3055"/>
      <c r="F24" s="3055"/>
      <c r="G24" s="3056"/>
      <c r="H24" s="3036"/>
      <c r="I24" s="3037"/>
      <c r="J24" s="3036"/>
      <c r="K24" s="3036"/>
      <c r="L24" s="3037"/>
      <c r="M24" s="3036"/>
      <c r="N24" s="3036"/>
      <c r="O24" s="3037"/>
      <c r="P24" s="3036"/>
      <c r="Q24" s="3036"/>
      <c r="R24" s="3038"/>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353.61</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44725</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1589</v>
      </c>
      <c r="C5" s="2496">
        <f ca="1">ROUND(B5*10000/$B$1,0)</f>
        <v>44937</v>
      </c>
      <c r="D5" s="2496" t="e">
        <f ca="1">ROUND(B5*10000/$B$2,0)</f>
        <v>#DIV/0!</v>
      </c>
      <c r="E5" s="1562"/>
      <c r="F5" s="2497"/>
      <c r="G5" s="2497"/>
    </row>
    <row r="6" spans="1:9" ht="16.5">
      <c r="A6" s="2496" t="s">
        <v>981</v>
      </c>
      <c r="B6" s="2496">
        <f ca="1">SUM(G14:G23)</f>
        <v>1589</v>
      </c>
      <c r="C6" s="2496">
        <f t="shared" ref="C6:C8" ca="1" si="0">ROUND(B6*10000/$B$1,0)</f>
        <v>44937</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353.61</v>
      </c>
      <c r="C14" s="2829">
        <f>项目基本情况!C13</f>
        <v>0</v>
      </c>
      <c r="D14" s="2829">
        <f ca="1">IF('数据-取费表'!B3="万元",IF(A14="估价对象1（结果表）",结果表!H121,'结果表 (1修多)'!H125),IF(A14="估价对象1（结果表）",结果表!H121,'结果表 (1修多)'!H125)/10000)</f>
        <v>1589</v>
      </c>
      <c r="E14" s="2829">
        <f ca="1">ROUND(D14*10000/B14,0)</f>
        <v>44937</v>
      </c>
      <c r="F14" s="2829" t="e">
        <f ca="1">ROUND(D14*10000/C14,0)</f>
        <v>#DIV/0!</v>
      </c>
      <c r="G14" s="2829">
        <f ca="1">IF('数据-取费表'!B3="万元",IF(A14="估价对象1（结果表）",结果表!D125,'结果表 (1修多)'!D129),IF(A14="估价对象1（结果表）",结果表!D125,'结果表 (1修多)'!D129)/10000)</f>
        <v>1589</v>
      </c>
      <c r="H14" s="2829" t="str">
        <f>IF('数据-取费表'!B3="万元",IF(A14="估价对象1（结果表）",结果表!D127,'结果表 (1修多)'!D131),IF(A14="估价对象1（结果表）",结果表!D127,'结果表 (1修多)'!D131)/10000)</f>
        <v>——</v>
      </c>
      <c r="I14" s="2829" t="str">
        <f>IF('数据-取费表'!B3="万元",IF(A14="估价对象1（结果表）",结果表!D129,'结果表 (1修多)'!D133),IF(A14="估价对象1（结果表）",结果表!D129,'结果表 (1修多)'!D133)/10000)</f>
        <v>——</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115" zoomScaleNormal="100" zoomScaleSheetLayoutView="115" zoomScalePageLayoutView="80" workbookViewId="0">
      <selection activeCell="A108" sqref="A108:B108"/>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1" t="str">
        <f>项目基本情况!B1</f>
        <v>北京市房地产抵押价值预评估</v>
      </c>
      <c r="B2" s="3501"/>
      <c r="C2" s="3501"/>
      <c r="D2" s="3501"/>
      <c r="E2" s="3501"/>
      <c r="F2" s="3501"/>
      <c r="G2" s="3501"/>
      <c r="H2" s="3501"/>
      <c r="I2" s="3501"/>
      <c r="J2" s="2756"/>
    </row>
    <row r="3" spans="1:15" ht="12.75">
      <c r="A3" s="3504" t="s">
        <v>1471</v>
      </c>
      <c r="B3" s="3505"/>
      <c r="C3" s="3505"/>
      <c r="D3" s="3505"/>
      <c r="E3" s="3505"/>
      <c r="F3" s="3505"/>
      <c r="G3" s="3505"/>
      <c r="H3" s="3505"/>
      <c r="I3" s="3505"/>
      <c r="J3" s="2757"/>
    </row>
    <row r="4" spans="1:15" ht="14.25">
      <c r="A4" s="2625" t="s">
        <v>1472</v>
      </c>
      <c r="B4" s="2625" t="s">
        <v>1473</v>
      </c>
      <c r="C4" s="2626" t="s">
        <v>3082</v>
      </c>
      <c r="D4" s="2626" t="s">
        <v>3093</v>
      </c>
      <c r="E4" s="3450" t="s">
        <v>1474</v>
      </c>
      <c r="F4" s="3488"/>
      <c r="G4" s="3488"/>
      <c r="H4" s="3488"/>
      <c r="I4" s="3489"/>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81" t="s">
        <v>1475</v>
      </c>
      <c r="B5" s="3481">
        <v>25</v>
      </c>
      <c r="C5" s="3490"/>
      <c r="D5" s="3503"/>
      <c r="E5" s="12" t="s">
        <v>1476</v>
      </c>
      <c r="F5" s="2015"/>
      <c r="G5" s="2015"/>
      <c r="H5" s="2015"/>
      <c r="I5" s="2010"/>
      <c r="J5" s="2758"/>
    </row>
    <row r="6" spans="1:15" ht="12.75">
      <c r="A6" s="3481"/>
      <c r="B6" s="3481"/>
      <c r="C6" s="3506"/>
      <c r="D6" s="3503"/>
      <c r="E6" s="12" t="s">
        <v>1477</v>
      </c>
      <c r="F6" s="2015"/>
      <c r="G6" s="2015"/>
      <c r="H6" s="2015"/>
      <c r="I6" s="2010"/>
      <c r="J6" s="2758"/>
    </row>
    <row r="7" spans="1:15" ht="12.75">
      <c r="A7" s="3481"/>
      <c r="B7" s="3481"/>
      <c r="C7" s="3491"/>
      <c r="D7" s="3503"/>
      <c r="E7" s="12" t="s">
        <v>1478</v>
      </c>
      <c r="F7" s="2015"/>
      <c r="G7" s="2015"/>
      <c r="H7" s="2015"/>
      <c r="I7" s="2010"/>
      <c r="J7" s="2758"/>
    </row>
    <row r="8" spans="1:15" ht="12.75">
      <c r="A8" s="3481" t="s">
        <v>1479</v>
      </c>
      <c r="B8" s="3481">
        <v>15</v>
      </c>
      <c r="C8" s="3490"/>
      <c r="D8" s="3503"/>
      <c r="E8" s="12" t="s">
        <v>1480</v>
      </c>
      <c r="F8" s="2015"/>
      <c r="G8" s="2015"/>
      <c r="H8" s="2015"/>
      <c r="I8" s="2010"/>
      <c r="J8" s="2758"/>
    </row>
    <row r="9" spans="1:15" ht="12.75">
      <c r="A9" s="3481"/>
      <c r="B9" s="3481"/>
      <c r="C9" s="3491"/>
      <c r="D9" s="3503"/>
      <c r="E9" s="12" t="s">
        <v>1481</v>
      </c>
      <c r="F9" s="2015"/>
      <c r="G9" s="2015"/>
      <c r="H9" s="2015"/>
      <c r="I9" s="2010"/>
      <c r="J9" s="2758"/>
    </row>
    <row r="10" spans="1:15" ht="12.75">
      <c r="A10" s="3481" t="s">
        <v>1482</v>
      </c>
      <c r="B10" s="3481">
        <v>15</v>
      </c>
      <c r="C10" s="3490"/>
      <c r="D10" s="3503"/>
      <c r="E10" s="12" t="s">
        <v>1483</v>
      </c>
      <c r="F10" s="2015"/>
      <c r="G10" s="2015"/>
      <c r="H10" s="2015"/>
      <c r="I10" s="2010"/>
      <c r="J10" s="2758"/>
    </row>
    <row r="11" spans="1:15" ht="12.75">
      <c r="A11" s="3481"/>
      <c r="B11" s="3481"/>
      <c r="C11" s="3491"/>
      <c r="D11" s="3503"/>
      <c r="E11" s="12" t="s">
        <v>1484</v>
      </c>
      <c r="F11" s="2015"/>
      <c r="G11" s="2015"/>
      <c r="H11" s="2015"/>
      <c r="I11" s="2010"/>
      <c r="J11" s="2758"/>
    </row>
    <row r="12" spans="1:15" ht="12.75">
      <c r="A12" s="3481" t="s">
        <v>1485</v>
      </c>
      <c r="B12" s="3481">
        <v>15</v>
      </c>
      <c r="C12" s="3490"/>
      <c r="D12" s="3503"/>
      <c r="E12" s="12" t="s">
        <v>1486</v>
      </c>
      <c r="F12" s="2015"/>
      <c r="G12" s="2015"/>
      <c r="H12" s="2015"/>
      <c r="I12" s="2010"/>
      <c r="J12" s="2758"/>
    </row>
    <row r="13" spans="1:15" ht="12.75">
      <c r="A13" s="3481"/>
      <c r="B13" s="3481"/>
      <c r="C13" s="3491"/>
      <c r="D13" s="3503"/>
      <c r="E13" s="12" t="s">
        <v>1487</v>
      </c>
      <c r="F13" s="2015"/>
      <c r="G13" s="2015"/>
      <c r="H13" s="2015"/>
      <c r="I13" s="2010"/>
      <c r="J13" s="2758"/>
    </row>
    <row r="14" spans="1:15" ht="12.75">
      <c r="A14" s="3481" t="s">
        <v>1488</v>
      </c>
      <c r="B14" s="3481">
        <v>30</v>
      </c>
      <c r="C14" s="3490">
        <v>2</v>
      </c>
      <c r="D14" s="3503">
        <v>8</v>
      </c>
      <c r="E14" s="12" t="s">
        <v>1489</v>
      </c>
      <c r="F14" s="2015"/>
      <c r="G14" s="2015"/>
      <c r="H14" s="2015"/>
      <c r="I14" s="2010"/>
      <c r="J14" s="2758"/>
    </row>
    <row r="15" spans="1:15" ht="12.75">
      <c r="A15" s="3481"/>
      <c r="B15" s="3481"/>
      <c r="C15" s="3506"/>
      <c r="D15" s="3503"/>
      <c r="E15" s="12" t="s">
        <v>1490</v>
      </c>
      <c r="F15" s="2015"/>
      <c r="G15" s="2015"/>
      <c r="H15" s="2015"/>
      <c r="I15" s="2010"/>
      <c r="J15" s="2758"/>
    </row>
    <row r="16" spans="1:15" ht="12.75">
      <c r="A16" s="3481"/>
      <c r="B16" s="3481"/>
      <c r="C16" s="3491"/>
      <c r="D16" s="3503"/>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499" t="s">
        <v>2576</v>
      </c>
      <c r="F18" s="3500"/>
      <c r="G18" s="3500"/>
      <c r="H18" s="3500"/>
      <c r="I18" s="3500"/>
      <c r="J18" s="2759"/>
    </row>
    <row r="19" spans="1:36" ht="15">
      <c r="A19" s="2632" t="s">
        <v>1494</v>
      </c>
      <c r="B19" s="2633" t="s">
        <v>1495</v>
      </c>
      <c r="C19" s="2634">
        <f ca="1">SUMIF(INDIRECT("'"&amp;C4&amp;"'"&amp;"!A:A"),结果表!B19,INDIRECT("'"&amp;C4&amp;"'"&amp;"!B:B"))</f>
        <v>672</v>
      </c>
      <c r="D19" s="2635">
        <f ca="1">SUMIF(INDIRECT("'"&amp;D4&amp;"'"&amp;"!A:A"),结果表!B19,INDIRECT("'"&amp;D4&amp;"'"&amp;"!B:B"))</f>
        <v>1818</v>
      </c>
      <c r="E19" s="2632" t="s">
        <v>1496</v>
      </c>
      <c r="F19" s="2633" t="s">
        <v>1495</v>
      </c>
      <c r="G19" s="2636">
        <f ca="1">ROUND(C19*$C$18+D19*$D$18,0)</f>
        <v>1589</v>
      </c>
      <c r="H19" s="2637" t="str">
        <f>'数据-取费表'!B3</f>
        <v>万元</v>
      </c>
      <c r="I19" s="2685"/>
      <c r="J19" s="2760"/>
    </row>
    <row r="20" spans="1:36" ht="15">
      <c r="A20" s="2638"/>
      <c r="B20" s="1622" t="s">
        <v>1497</v>
      </c>
      <c r="C20" s="1845">
        <f ca="1">SUMIF(INDIRECT("'"&amp;C4&amp;"'"&amp;"!A:A"),结果表!B20,INDIRECT("'"&amp;C4&amp;"'"&amp;"!B:B"))</f>
        <v>18998</v>
      </c>
      <c r="D20" s="1848">
        <f ca="1">SUMIF(INDIRECT("'"&amp;D4&amp;"'"&amp;"!A:A"),结果表!B20,INDIRECT("'"&amp;D4&amp;"'"&amp;"!B:B"))</f>
        <v>51408</v>
      </c>
      <c r="E20" s="2638"/>
      <c r="F20" s="1622" t="s">
        <v>1497</v>
      </c>
      <c r="G20" s="2019">
        <f ca="1">ROUND(C20*$C$18+D20*$D$18,0)</f>
        <v>44926</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1.7053571428571428</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92" t="s">
        <v>1500</v>
      </c>
      <c r="B24" s="2633" t="s">
        <v>1495</v>
      </c>
      <c r="C24" s="2636">
        <f>D30</f>
        <v>0</v>
      </c>
      <c r="D24" s="2588"/>
      <c r="E24" s="905"/>
      <c r="F24" s="905"/>
      <c r="G24" s="905"/>
      <c r="H24" s="905"/>
      <c r="I24" s="905"/>
      <c r="J24" s="2759"/>
    </row>
    <row r="25" spans="1:36" ht="21.75" customHeight="1">
      <c r="A25" s="350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44926</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32302</v>
      </c>
      <c r="D34" s="2662">
        <f ca="1">IF(D33="自定义",ROUND(C34/C32,3),1-D35)</f>
        <v>0.71899999999999997</v>
      </c>
      <c r="E34" s="1363" t="s">
        <v>1510</v>
      </c>
      <c r="F34" s="2663">
        <v>2000</v>
      </c>
      <c r="G34" s="905"/>
      <c r="H34" s="905"/>
      <c r="I34" s="905"/>
      <c r="J34" s="2759"/>
    </row>
    <row r="35" spans="1:17" ht="15.75" thickBot="1">
      <c r="A35" s="1395"/>
      <c r="B35" s="2664" t="s">
        <v>1511</v>
      </c>
      <c r="C35" s="2665">
        <f ca="1">IF(D33="自定义",F35,ROUND(C32*D35,0))</f>
        <v>12624</v>
      </c>
      <c r="D35" s="2666">
        <f ca="1">IF(D33="自定义",ROUND(C35/C32,3),IF(D33="成本法成本比率",成本法!C56,IF(D33="收益法收益比率",收益法!J38,收益法!J41)))</f>
        <v>0.28100000000000003</v>
      </c>
      <c r="E35" s="2667" t="s">
        <v>1512</v>
      </c>
      <c r="F35" s="2668">
        <v>4460</v>
      </c>
      <c r="G35" s="905"/>
      <c r="H35" s="905"/>
      <c r="I35" s="905"/>
      <c r="J35" s="2759"/>
    </row>
    <row r="36" spans="1:17" ht="15.75" thickBot="1">
      <c r="A36" s="3492" t="s">
        <v>1513</v>
      </c>
      <c r="B36" s="1396" t="s">
        <v>1514</v>
      </c>
      <c r="C36" s="2669">
        <v>0</v>
      </c>
      <c r="D36" s="2670"/>
      <c r="E36" s="1608"/>
      <c r="F36" s="1608"/>
      <c r="G36" s="905"/>
      <c r="H36" s="905"/>
      <c r="I36" s="905"/>
      <c r="J36" s="2759"/>
    </row>
    <row r="37" spans="1:17" ht="15.75" thickBot="1">
      <c r="A37" s="3493"/>
      <c r="B37" s="2020" t="s">
        <v>1515</v>
      </c>
      <c r="C37" s="2671">
        <v>0</v>
      </c>
      <c r="D37" s="1239"/>
      <c r="E37" s="1239"/>
      <c r="F37" s="1608"/>
      <c r="G37" s="1239"/>
      <c r="H37" s="1239"/>
      <c r="I37" s="1239"/>
      <c r="J37" s="2763"/>
    </row>
    <row r="38" spans="1:17" ht="15.75" thickBot="1">
      <c r="A38" s="3494"/>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96" t="s">
        <v>1524</v>
      </c>
      <c r="B45" s="3497"/>
      <c r="C45" s="3456"/>
      <c r="D45" s="246">
        <f ca="1">ROUND(I102*F45,0)</f>
        <v>1589</v>
      </c>
      <c r="E45" s="1470" t="s">
        <v>1525</v>
      </c>
      <c r="F45" s="2476">
        <v>1</v>
      </c>
      <c r="G45" s="2477" t="s">
        <v>1526</v>
      </c>
      <c r="H45" s="905"/>
      <c r="I45" s="905"/>
      <c r="J45" s="2759"/>
      <c r="K45" s="3550" t="s">
        <v>2505</v>
      </c>
      <c r="L45" s="3550"/>
      <c r="M45" s="3550"/>
      <c r="N45" s="3550"/>
      <c r="O45" s="3550"/>
      <c r="P45" s="3550"/>
      <c r="Q45" s="1236"/>
    </row>
    <row r="46" spans="1:17" ht="14.25" customHeight="1">
      <c r="A46" s="3485" t="s">
        <v>1528</v>
      </c>
      <c r="B46" s="3486"/>
      <c r="C46" s="3486"/>
      <c r="D46" s="3486"/>
      <c r="E46" s="3486"/>
      <c r="F46" s="3486"/>
      <c r="G46" s="3487"/>
      <c r="H46" s="2891"/>
      <c r="I46" s="905"/>
      <c r="J46" s="2759"/>
      <c r="K46" s="2451">
        <v>1</v>
      </c>
      <c r="L46" s="3551" t="s">
        <v>2506</v>
      </c>
      <c r="M46" s="3551"/>
      <c r="N46" s="3552" t="str">
        <f>项目基本情况!B1</f>
        <v>北京市房地产抵押价值预评估</v>
      </c>
      <c r="O46" s="3552"/>
      <c r="P46" s="3552"/>
      <c r="Q46" s="1236"/>
    </row>
    <row r="47" spans="1:17" ht="12" customHeight="1">
      <c r="A47" s="38" t="s">
        <v>1530</v>
      </c>
      <c r="B47" s="39"/>
      <c r="C47" s="40"/>
      <c r="D47" s="1028" t="s">
        <v>1531</v>
      </c>
      <c r="E47" s="235" t="s">
        <v>1532</v>
      </c>
      <c r="F47" s="41" t="s">
        <v>1533</v>
      </c>
      <c r="G47" s="2479" t="s">
        <v>1534</v>
      </c>
      <c r="H47" s="2891"/>
      <c r="I47" s="905"/>
      <c r="J47" s="2759"/>
      <c r="K47" s="2451">
        <v>2</v>
      </c>
      <c r="L47" s="3551" t="s">
        <v>2507</v>
      </c>
      <c r="M47" s="3551"/>
      <c r="N47" s="3553">
        <f>'数据-取费表'!B2</f>
        <v>44725</v>
      </c>
      <c r="O47" s="3553"/>
      <c r="P47" s="3553"/>
      <c r="Q47" s="1236"/>
    </row>
    <row r="48" spans="1:17" ht="25.5">
      <c r="A48" s="3495" t="s">
        <v>1536</v>
      </c>
      <c r="B48" s="3449"/>
      <c r="C48" s="3449"/>
      <c r="D48" s="12">
        <f ca="1">IF(H48="情况1",0,IF(H48="情况2",D52,IF(H48="情况3",D53,IF(H48="情况4",D54))))</f>
        <v>85</v>
      </c>
      <c r="E48" s="2018" t="str">
        <f>IF(H48="情况4","(销售额-原购置价)×税（费）率","销售额×税（费）率")</f>
        <v>销售额×税（费）率</v>
      </c>
      <c r="F48" s="2480">
        <f>IF(H48="情况1","免征",'数据-取费表'!E29)</f>
        <v>5.6000000000000001E-2</v>
      </c>
      <c r="G48" s="2481" t="s">
        <v>1537</v>
      </c>
      <c r="H48" s="2482" t="s">
        <v>1538</v>
      </c>
      <c r="I48" s="2891"/>
      <c r="J48" s="2766"/>
      <c r="K48" s="2451">
        <v>3</v>
      </c>
      <c r="L48" s="3551" t="s">
        <v>2508</v>
      </c>
      <c r="M48" s="3551"/>
      <c r="N48" s="3552">
        <f ca="1">I102</f>
        <v>1589</v>
      </c>
      <c r="O48" s="3552"/>
      <c r="P48" s="3552"/>
      <c r="Q48" s="1236"/>
    </row>
    <row r="49" spans="1:17" ht="25.5" customHeight="1">
      <c r="A49" s="2017" t="s">
        <v>1540</v>
      </c>
      <c r="B49" s="3488" t="s">
        <v>1541</v>
      </c>
      <c r="C49" s="3488"/>
      <c r="D49" s="2483">
        <v>0</v>
      </c>
      <c r="E49" s="261" t="s">
        <v>1542</v>
      </c>
      <c r="F49" s="2484" t="s">
        <v>48</v>
      </c>
      <c r="G49" s="3545"/>
      <c r="H49" s="2485" t="s">
        <v>2582</v>
      </c>
      <c r="I49" s="2486"/>
      <c r="J49" s="2767"/>
      <c r="K49" s="2451">
        <v>4</v>
      </c>
      <c r="L49" s="3551" t="str">
        <f>IF(项目基本情况!F5="房地产抵押价值","房地产抵押价值","抵押担保权已注销时的房地产抵押价值")</f>
        <v>房地产抵押价值</v>
      </c>
      <c r="M49" s="3551"/>
      <c r="N49" s="3552">
        <f ca="1">IF(项目基本情况!F5="房地产抵押价值",I110,I112)</f>
        <v>1589</v>
      </c>
      <c r="O49" s="3552"/>
      <c r="P49" s="3552"/>
      <c r="Q49" s="1236"/>
    </row>
    <row r="50" spans="1:17" ht="25.5" customHeight="1">
      <c r="A50" s="2007"/>
      <c r="B50" s="3488" t="s">
        <v>1543</v>
      </c>
      <c r="C50" s="3488"/>
      <c r="D50" s="2487"/>
      <c r="E50" s="269"/>
      <c r="F50" s="2484"/>
      <c r="G50" s="3546"/>
      <c r="H50" s="2488" t="s">
        <v>2501</v>
      </c>
      <c r="I50" s="2486"/>
      <c r="J50" s="2767"/>
      <c r="K50" s="3551" t="s">
        <v>2509</v>
      </c>
      <c r="L50" s="3551"/>
      <c r="M50" s="3551"/>
      <c r="N50" s="3551"/>
      <c r="O50" s="3551"/>
      <c r="P50" s="3551"/>
      <c r="Q50" s="1236"/>
    </row>
    <row r="51" spans="1:17" ht="20.45" customHeight="1">
      <c r="A51" s="2489"/>
      <c r="B51" s="3488" t="s">
        <v>1545</v>
      </c>
      <c r="C51" s="3488"/>
      <c r="D51" s="1028"/>
      <c r="E51" s="264"/>
      <c r="F51" s="2484"/>
      <c r="G51" s="3547"/>
      <c r="H51" s="2488" t="s">
        <v>2502</v>
      </c>
      <c r="I51" s="2486"/>
      <c r="J51" s="2767"/>
      <c r="K51" s="2452" t="s">
        <v>2510</v>
      </c>
      <c r="L51" s="3551" t="s">
        <v>2511</v>
      </c>
      <c r="M51" s="3551"/>
      <c r="N51" s="2452" t="s">
        <v>2512</v>
      </c>
      <c r="O51" s="2452" t="s">
        <v>2513</v>
      </c>
      <c r="P51" s="2452" t="s">
        <v>2514</v>
      </c>
      <c r="Q51" s="1236"/>
    </row>
    <row r="52" spans="1:17" ht="24" customHeight="1">
      <c r="A52" s="2008" t="s">
        <v>1551</v>
      </c>
      <c r="B52" s="3488" t="s">
        <v>1552</v>
      </c>
      <c r="C52" s="3488"/>
      <c r="D52" s="1028">
        <f ca="1">ROUND(D45*'数据-取费表'!E29/(1+'数据-取费表'!F30),0)</f>
        <v>85</v>
      </c>
      <c r="E52" s="2018" t="s">
        <v>1553</v>
      </c>
      <c r="F52" s="2490">
        <f>'数据-取费表'!E29</f>
        <v>5.6000000000000001E-2</v>
      </c>
      <c r="G52" s="2491"/>
      <c r="H52" s="905"/>
      <c r="I52" s="2892"/>
      <c r="J52" s="2767"/>
      <c r="K52" s="2451">
        <v>1</v>
      </c>
      <c r="L52" s="3518" t="s">
        <v>2515</v>
      </c>
      <c r="M52" s="3518"/>
      <c r="N52" s="2453">
        <f ca="1">D48</f>
        <v>85</v>
      </c>
      <c r="O52" s="2451" t="str">
        <f>E48</f>
        <v>销售额×税（费）率</v>
      </c>
      <c r="P52" s="2454">
        <f>F48</f>
        <v>5.6000000000000001E-2</v>
      </c>
      <c r="Q52" s="1236"/>
    </row>
    <row r="53" spans="1:17" ht="12" customHeight="1">
      <c r="A53" s="2008" t="s">
        <v>1555</v>
      </c>
      <c r="B53" s="3450" t="s">
        <v>2593</v>
      </c>
      <c r="C53" s="3489"/>
      <c r="D53" s="1028">
        <f ca="1">ROUND(D45*'数据-取费表'!E29/(1+'数据-取费表'!F30),0)</f>
        <v>85</v>
      </c>
      <c r="E53" s="2018" t="s">
        <v>1553</v>
      </c>
      <c r="F53" s="2490">
        <f>'数据-取费表'!E29</f>
        <v>5.6000000000000001E-2</v>
      </c>
      <c r="G53" s="2491"/>
      <c r="H53" s="905"/>
      <c r="I53" s="2892"/>
      <c r="J53" s="2767"/>
      <c r="K53" s="2451">
        <v>2</v>
      </c>
      <c r="L53" s="3518" t="s">
        <v>2516</v>
      </c>
      <c r="M53" s="3518"/>
      <c r="N53" s="2453">
        <f t="shared" ref="N53:P54" si="1">D55</f>
        <v>0</v>
      </c>
      <c r="O53" s="2451" t="str">
        <f t="shared" si="1"/>
        <v>销售额×税（费）率</v>
      </c>
      <c r="P53" s="2454" t="str">
        <f t="shared" si="1"/>
        <v>免征</v>
      </c>
      <c r="Q53" s="1236"/>
    </row>
    <row r="54" spans="1:17" ht="12" customHeight="1">
      <c r="A54" s="2008" t="s">
        <v>1557</v>
      </c>
      <c r="B54" s="3450" t="s">
        <v>2594</v>
      </c>
      <c r="C54" s="3489"/>
      <c r="D54" s="1028">
        <f ca="1">C68</f>
        <v>85</v>
      </c>
      <c r="E54" s="264" t="s">
        <v>1558</v>
      </c>
      <c r="F54" s="2490">
        <f>'数据-取费表'!E29</f>
        <v>5.6000000000000001E-2</v>
      </c>
      <c r="G54" s="2491"/>
      <c r="H54" s="2893"/>
      <c r="I54" s="2892"/>
      <c r="J54" s="2767"/>
      <c r="K54" s="2451">
        <v>3</v>
      </c>
      <c r="L54" s="3518" t="s">
        <v>2517</v>
      </c>
      <c r="M54" s="3518"/>
      <c r="N54" s="2453">
        <f t="shared" si="1"/>
        <v>0</v>
      </c>
      <c r="O54" s="2451" t="str">
        <f t="shared" si="1"/>
        <v>增值额×税（费）率</v>
      </c>
      <c r="P54" s="2455" t="str">
        <f t="shared" si="1"/>
        <v>免征</v>
      </c>
      <c r="Q54" s="1236"/>
    </row>
    <row r="55" spans="1:17" ht="24" customHeight="1">
      <c r="A55" s="3448" t="s">
        <v>1560</v>
      </c>
      <c r="B55" s="3449"/>
      <c r="C55" s="3449"/>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518" t="str">
        <f>IF(H59="非个人房产","——","个人所得税")</f>
        <v>——</v>
      </c>
      <c r="M55" s="3518"/>
      <c r="N55" s="2456" t="str">
        <f>D59</f>
        <v>——</v>
      </c>
      <c r="O55" s="2457" t="str">
        <f>E59</f>
        <v>——</v>
      </c>
      <c r="P55" s="2458" t="str">
        <f>F59</f>
        <v>——</v>
      </c>
      <c r="Q55" s="1236"/>
    </row>
    <row r="56" spans="1:17" ht="24.75">
      <c r="A56" s="3448" t="s">
        <v>1563</v>
      </c>
      <c r="B56" s="3449"/>
      <c r="C56" s="3449"/>
      <c r="D56" s="12">
        <f>IF(H56="个人住宅",D57,D58)</f>
        <v>0</v>
      </c>
      <c r="E56" s="2018" t="s">
        <v>1564</v>
      </c>
      <c r="F56" s="2490" t="str">
        <f>IF(H56="正常",F58,"免征")</f>
        <v>免征</v>
      </c>
      <c r="G56" s="2492" t="s">
        <v>1565</v>
      </c>
      <c r="H56" s="2493" t="s">
        <v>2498</v>
      </c>
      <c r="I56" s="2894"/>
      <c r="J56" s="2767"/>
      <c r="K56" s="2451" t="str">
        <f>IF(项目基本情况!I6="上海银行",IF(K55="",4,K55+1),"")</f>
        <v/>
      </c>
      <c r="L56" s="3532" t="str">
        <f>IF(项目基本情况!I6="上海银行","其他处置费用","")</f>
        <v/>
      </c>
      <c r="M56" s="3533"/>
      <c r="N56" s="2453" t="str">
        <f>IF(项目基本情况!I6="上海银行",N69,"")</f>
        <v/>
      </c>
      <c r="O56" s="3532" t="str">
        <f>IF(项目基本情况!I6="上海银行","包含处置中涉及的律师、诉讼、拍卖、评估等费用","")</f>
        <v/>
      </c>
      <c r="P56" s="3544"/>
      <c r="Q56" s="1236"/>
    </row>
    <row r="57" spans="1:17" ht="12.75">
      <c r="A57" s="2008" t="s">
        <v>1540</v>
      </c>
      <c r="B57" s="3450" t="s">
        <v>1566</v>
      </c>
      <c r="C57" s="3489"/>
      <c r="D57" s="2483">
        <v>0</v>
      </c>
      <c r="E57" s="261" t="s">
        <v>1542</v>
      </c>
      <c r="F57" s="235"/>
      <c r="G57" s="2491"/>
      <c r="H57" s="2894"/>
      <c r="I57" s="2894"/>
      <c r="J57" s="2767"/>
      <c r="K57" s="3518">
        <f>IF(AND(K55="",K56=""),4,IF(项目基本情况!I6="上海银行",K56+1,K55+1))</f>
        <v>4</v>
      </c>
      <c r="L57" s="3518" t="s">
        <v>2518</v>
      </c>
      <c r="M57" s="2459" t="s">
        <v>2519</v>
      </c>
      <c r="N57" s="2460"/>
      <c r="O57" s="2461">
        <f ca="1">SUMIF(N52:N56,"&lt;9e307")</f>
        <v>85</v>
      </c>
      <c r="P57" s="2462"/>
      <c r="Q57" s="1234">
        <f ca="1">O57/N49</f>
        <v>5.3492762743864067E-2</v>
      </c>
    </row>
    <row r="58" spans="1:17" ht="24.75">
      <c r="A58" s="2008" t="s">
        <v>1551</v>
      </c>
      <c r="B58" s="3450" t="s">
        <v>1569</v>
      </c>
      <c r="C58" s="3488"/>
      <c r="D58" s="12">
        <f ca="1">IF(H58="转让取得",C81,C97)</f>
        <v>899</v>
      </c>
      <c r="E58" s="2018" t="s">
        <v>1564</v>
      </c>
      <c r="F58" s="235" t="s">
        <v>48</v>
      </c>
      <c r="G58" s="2491"/>
      <c r="H58" s="2493" t="s">
        <v>1570</v>
      </c>
      <c r="I58" s="2894"/>
      <c r="J58" s="2767"/>
      <c r="K58" s="3518"/>
      <c r="L58" s="3518"/>
      <c r="M58" s="2459" t="s">
        <v>2520</v>
      </c>
      <c r="N58" s="2463"/>
      <c r="O58" s="2464" t="str">
        <f ca="1">IF(H19="元",NUMBERSTRING(INT(O57),2)&amp;"元整",NUMBERSTRING(INT(O57*10000),2)&amp;"元整")</f>
        <v>捌拾伍万元整</v>
      </c>
      <c r="P58" s="2465"/>
      <c r="Q58" s="1236"/>
    </row>
    <row r="59" spans="1:17" ht="24.75" thickBot="1">
      <c r="A59" s="3472" t="s">
        <v>1572</v>
      </c>
      <c r="B59" s="3473"/>
      <c r="C59" s="3473"/>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516">
        <f>K57+1</f>
        <v>5</v>
      </c>
      <c r="L59" s="3518" t="s">
        <v>2521</v>
      </c>
      <c r="M59" s="2451" t="s">
        <v>2519</v>
      </c>
      <c r="N59" s="2466"/>
      <c r="O59" s="2467">
        <f ca="1">N49-O57</f>
        <v>1504</v>
      </c>
      <c r="P59" s="2468"/>
      <c r="Q59" s="1236"/>
    </row>
    <row r="60" spans="1:17" ht="12" customHeight="1">
      <c r="A60" s="1385"/>
      <c r="B60" s="1389"/>
      <c r="C60" s="1389"/>
      <c r="D60" s="1389"/>
      <c r="E60" s="770"/>
      <c r="F60" s="2895"/>
      <c r="G60" s="2895"/>
      <c r="H60" s="2896"/>
      <c r="I60" s="31"/>
      <c r="K60" s="3517"/>
      <c r="L60" s="3518"/>
      <c r="M60" s="2459" t="s">
        <v>2520</v>
      </c>
      <c r="N60" s="2463"/>
      <c r="O60" s="2464" t="str">
        <f ca="1">IF(H19="元",NUMBERSTRING(INT(O59),2)&amp;"元整",NUMBERSTRING(INT(O59*10000),2)&amp;"元整")</f>
        <v>壹仟伍佰零肆万元整</v>
      </c>
      <c r="P60" s="2465"/>
      <c r="Q60" s="1236"/>
    </row>
    <row r="61" spans="1:17" ht="13.5" thickBot="1">
      <c r="A61" s="3498" t="s">
        <v>1574</v>
      </c>
      <c r="B61" s="3498"/>
      <c r="C61" s="3498"/>
      <c r="D61" s="3498"/>
      <c r="E61" s="3498"/>
      <c r="F61" s="2895"/>
      <c r="G61" s="2895"/>
      <c r="H61" s="2897"/>
      <c r="I61" s="31"/>
      <c r="K61" s="2451">
        <f>K59+1</f>
        <v>6</v>
      </c>
      <c r="L61" s="3518" t="s">
        <v>2522</v>
      </c>
      <c r="M61" s="3518"/>
      <c r="N61" s="2469"/>
      <c r="O61" s="2470">
        <f ca="1">IF(H19="元",ROUND(O59/项目基本情况!C12,0),ROUND(O59*10000/项目基本情况!C12,0))</f>
        <v>42533</v>
      </c>
      <c r="P61" s="2471"/>
      <c r="Q61" s="1236"/>
    </row>
    <row r="62" spans="1:17" ht="12.75">
      <c r="A62" s="3507" t="s">
        <v>1576</v>
      </c>
      <c r="B62" s="3508"/>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1513</v>
      </c>
      <c r="D63" s="47"/>
      <c r="E63" s="48"/>
      <c r="F63" s="2895"/>
      <c r="G63" s="2895"/>
      <c r="H63" s="2897"/>
      <c r="I63" s="31"/>
      <c r="K63" s="3534" t="s">
        <v>2523</v>
      </c>
      <c r="L63" s="2473" t="s">
        <v>2524</v>
      </c>
      <c r="M63" s="2473">
        <f ca="1">IF(N49&gt;10000,N49*0.5%,IF(AND(N49&gt;1000,N49&lt;=10000),N49*1%,IF(AND(N49&gt;100,N49&lt;=1000),N49*3%,IF(AND(N49&gt;10,N49&lt;=100),N49*5%,N49*8%))))</f>
        <v>15.89</v>
      </c>
      <c r="N63" s="2474">
        <f ca="1">ROUND(M63,1)</f>
        <v>15.9</v>
      </c>
      <c r="O63" s="2472"/>
      <c r="P63" s="2472"/>
      <c r="Q63" s="1236"/>
    </row>
    <row r="64" spans="1:17" ht="12.75">
      <c r="A64" s="49" t="s">
        <v>71</v>
      </c>
      <c r="B64" s="50" t="s">
        <v>1582</v>
      </c>
      <c r="C64" s="2699">
        <f ca="1">D45</f>
        <v>1589</v>
      </c>
      <c r="D64" s="50" t="s">
        <v>41</v>
      </c>
      <c r="E64" s="52"/>
      <c r="F64" s="2895"/>
      <c r="G64" s="2895"/>
      <c r="H64" s="2897"/>
      <c r="I64" s="31"/>
      <c r="K64" s="3534"/>
      <c r="L64" s="2473" t="s">
        <v>2525</v>
      </c>
      <c r="M64" s="2473">
        <f ca="1">IF(N49&gt;2000,N49*0.5%,IF(AND(N49&gt;1000,N49&lt;=2000),N49*0.6%,IF(AND(N49&gt;500,N49&lt;=1000),N49*0.7%,IF(AND(N49&gt;200,N49&lt;=500),N49*0.8%,IF(AND(N49&gt;100,N49&lt;=200),N49*0.9%,IF(AND(N49&gt;50,N49&lt;=100),N49*1%,IF(AND(N49&gt;20,N49&lt;=50),N49*1.5%,IF(AND(N49&gt;10,N49&lt;=20),N49*2%,IF(AND(N49&gt;1,N49&lt;=10),N49*2.5%)))))))))</f>
        <v>9.5340000000000007</v>
      </c>
      <c r="N64" s="2474">
        <f t="shared" ref="N64:N65" ca="1" si="2">ROUND(M64,1)</f>
        <v>9.5</v>
      </c>
      <c r="O64" s="2472" t="s">
        <v>2526</v>
      </c>
      <c r="P64" s="2472"/>
      <c r="Q64" s="1236"/>
    </row>
    <row r="65" spans="1:36" ht="12.75">
      <c r="A65" s="49" t="s">
        <v>72</v>
      </c>
      <c r="B65" s="50" t="s">
        <v>1585</v>
      </c>
      <c r="C65" s="2700"/>
      <c r="D65" s="50"/>
      <c r="E65" s="52"/>
      <c r="F65" s="2895"/>
      <c r="G65" s="2895"/>
      <c r="H65" s="2897"/>
      <c r="I65" s="31"/>
      <c r="K65" s="3534"/>
      <c r="L65" s="2473" t="s">
        <v>2527</v>
      </c>
      <c r="M65" s="2473">
        <f ca="1">IF(N49&gt;1000,N49*0.1%,IF(AND(N49&gt;500,N49&lt;=1000),N49*0.5%,IF(AND(N49&gt;50,N49&lt;=500),N49*1%,IF(AND(N49&gt;1,N49&lt;=50),N49*1.5%))))</f>
        <v>1.589</v>
      </c>
      <c r="N65" s="2474">
        <f t="shared" ca="1" si="2"/>
        <v>1.6</v>
      </c>
      <c r="O65" s="2472" t="s">
        <v>2526</v>
      </c>
      <c r="P65" s="2472"/>
      <c r="Q65" s="1236"/>
    </row>
    <row r="66" spans="1:36" ht="12.75">
      <c r="A66" s="53" t="s">
        <v>47</v>
      </c>
      <c r="B66" s="54" t="s">
        <v>1587</v>
      </c>
      <c r="C66" s="2701"/>
      <c r="D66" s="54" t="s">
        <v>41</v>
      </c>
      <c r="E66" s="1244" t="s">
        <v>1588</v>
      </c>
      <c r="F66" s="2895"/>
      <c r="G66" s="2895"/>
      <c r="H66" s="2897"/>
      <c r="I66" s="31"/>
      <c r="K66" s="3534"/>
      <c r="L66" s="2473" t="s">
        <v>2528</v>
      </c>
      <c r="M66" s="2473">
        <f ca="1">N49*0.5%</f>
        <v>7.9450000000000003</v>
      </c>
      <c r="N66" s="2474">
        <f ca="1">IF(M66&gt;0.5,0.5,ROUND(M66,0))</f>
        <v>0.5</v>
      </c>
      <c r="O66" s="2472" t="s">
        <v>2529</v>
      </c>
      <c r="P66" s="2472"/>
      <c r="Q66" s="1236"/>
    </row>
    <row r="67" spans="1:36" ht="12.75">
      <c r="A67" s="53" t="s">
        <v>42</v>
      </c>
      <c r="B67" s="54" t="s">
        <v>1591</v>
      </c>
      <c r="C67" s="2702">
        <f ca="1">C63-C66</f>
        <v>1513</v>
      </c>
      <c r="D67" s="50" t="s">
        <v>41</v>
      </c>
      <c r="E67" s="52"/>
      <c r="F67" s="2895"/>
      <c r="G67" s="2895"/>
      <c r="H67" s="2897"/>
      <c r="I67" s="31"/>
      <c r="K67" s="3534"/>
      <c r="L67" s="2473" t="s">
        <v>2530</v>
      </c>
      <c r="M67" s="2473">
        <f ca="1">IF(N49&gt;=10000,(8.25+(N49-10000)*0.01%),IF(AND(N49&gt;=8000,N49&lt;10000),(7.85+(N49-8000)*0.02%),IF(AND(N49&gt;=5000,N49&lt;8000),(6.65+(N49-5000)*0.04%),IF(AND(N49&gt;=2000,N49&lt;5000),(4.25+(PN49-2000)*0.08%),IF(AND(N49&gt;=1000,N49&lt;2000),(2.75+(N49-1000)*0.15%),IF(AND(N49&gt;=100,N49&lt;1000),(0.5+(N49-100)*0.25%),IF(AND(N49&gt;0,N49&lt;100),N49*0.5%)))))))</f>
        <v>3.6335000000000002</v>
      </c>
      <c r="N67" s="2474">
        <f ca="1">ROUND(M67*0.9,1)</f>
        <v>3.3</v>
      </c>
      <c r="O67" s="2472"/>
      <c r="P67" s="2472"/>
      <c r="Q67" s="1236"/>
    </row>
    <row r="68" spans="1:36" ht="13.5" thickBot="1">
      <c r="A68" s="55" t="s">
        <v>46</v>
      </c>
      <c r="B68" s="56" t="s">
        <v>1593</v>
      </c>
      <c r="C68" s="2703">
        <f ca="1">IF(C67&lt;=0,0,ROUND(C67*D68,0))</f>
        <v>85</v>
      </c>
      <c r="D68" s="2168">
        <f>'数据-取费表'!E29</f>
        <v>5.6000000000000001E-2</v>
      </c>
      <c r="E68" s="57"/>
      <c r="F68" s="2895"/>
      <c r="G68" s="2895"/>
      <c r="H68" s="2897"/>
      <c r="I68" s="31"/>
      <c r="K68" s="3534"/>
      <c r="L68" s="2473" t="s">
        <v>2531</v>
      </c>
      <c r="M68" s="2473">
        <f ca="1">IF(N49&gt;10000,N49*0.5%,IF(AND(N49&gt;5000,N49&lt;=10000),N49*1%,IF(AND(N49&gt;1000,N49&lt;=5000),N49*2%,IF(AND(N49&gt;200,N49&lt;=1000),N49*3%,N49*5%))))</f>
        <v>31.78</v>
      </c>
      <c r="N68" s="2474">
        <f ca="1">ROUND(M68,1)</f>
        <v>31.8</v>
      </c>
      <c r="O68" s="2472"/>
      <c r="P68" s="2472"/>
      <c r="Q68" s="1236"/>
    </row>
    <row r="69" spans="1:36" s="1393" customFormat="1" ht="7.5" customHeight="1">
      <c r="A69" s="1405"/>
      <c r="B69" s="1406"/>
      <c r="C69" s="1407"/>
      <c r="D69" s="1408"/>
      <c r="E69" s="1409"/>
      <c r="F69" s="770"/>
      <c r="G69" s="770"/>
      <c r="H69" s="1398"/>
      <c r="I69" s="1389"/>
      <c r="J69" s="2755"/>
      <c r="K69" s="3534"/>
      <c r="L69" s="2473" t="s">
        <v>54</v>
      </c>
      <c r="M69" s="2473"/>
      <c r="N69" s="2474">
        <f ca="1">ROUND(SUM(N63:N68),0)</f>
        <v>63</v>
      </c>
      <c r="O69" s="2475">
        <f ca="1">N69/N49</f>
        <v>3.9647577092511016E-2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10" t="s">
        <v>1596</v>
      </c>
      <c r="B70" s="3511"/>
      <c r="C70" s="3511"/>
      <c r="D70" s="3511"/>
      <c r="E70" s="3511"/>
      <c r="F70" s="3511"/>
      <c r="G70" s="3511"/>
      <c r="H70" s="3511"/>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07" t="s">
        <v>1576</v>
      </c>
      <c r="B71" s="3508"/>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1513</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9</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450" t="s">
        <v>1606</v>
      </c>
      <c r="F76" s="3488"/>
      <c r="G76" s="3488"/>
      <c r="H76" s="3502"/>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9</v>
      </c>
      <c r="D78" s="2711">
        <f>'数据-取费表'!E31</f>
        <v>6.000000000000001E-3</v>
      </c>
      <c r="E78" s="3482" t="s">
        <v>1611</v>
      </c>
      <c r="F78" s="3483"/>
      <c r="G78" s="3483"/>
      <c r="H78" s="3484"/>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1504</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167.11111111111111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899</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10" t="s">
        <v>1615</v>
      </c>
      <c r="B83" s="3511"/>
      <c r="C83" s="3511"/>
      <c r="D83" s="3511"/>
      <c r="E83" s="3511"/>
      <c r="F83" s="3511"/>
      <c r="G83" s="3511"/>
      <c r="H83" s="3511"/>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07" t="s">
        <v>1576</v>
      </c>
      <c r="B84" s="3508"/>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1513</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9</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543" t="s">
        <v>2493</v>
      </c>
      <c r="H90" s="3543"/>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82" t="s">
        <v>1623</v>
      </c>
      <c r="F91" s="3483"/>
      <c r="G91" s="3483"/>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82" t="s">
        <v>1626</v>
      </c>
      <c r="F92" s="3483"/>
      <c r="G92" s="3483"/>
      <c r="H92" s="3484"/>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9</v>
      </c>
      <c r="D93" s="2711">
        <f>'数据-取费表'!E31</f>
        <v>6.000000000000001E-3</v>
      </c>
      <c r="E93" s="3482" t="s">
        <v>1611</v>
      </c>
      <c r="F93" s="3483"/>
      <c r="G93" s="3483"/>
      <c r="H93" s="3484"/>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82" t="s">
        <v>1628</v>
      </c>
      <c r="F94" s="3483"/>
      <c r="G94" s="3483"/>
      <c r="H94" s="3484"/>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1504</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167.11111111111111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899</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9" t="s">
        <v>1630</v>
      </c>
      <c r="B99" s="3530"/>
      <c r="C99" s="3530"/>
      <c r="D99" s="3531"/>
      <c r="E99" s="1389"/>
      <c r="F99" s="3538" t="s">
        <v>1631</v>
      </c>
      <c r="G99" s="3539"/>
      <c r="H99" s="3539"/>
      <c r="I99" s="3540"/>
      <c r="J99" s="2773"/>
    </row>
    <row r="100" spans="1:36" ht="15">
      <c r="A100" s="3541" t="s">
        <v>1632</v>
      </c>
      <c r="B100" s="3542"/>
      <c r="C100" s="1235" t="str">
        <f>C4</f>
        <v>成本法</v>
      </c>
      <c r="D100" s="2721" t="str">
        <f>D4</f>
        <v>比较法-住宅</v>
      </c>
      <c r="E100" s="1389"/>
      <c r="F100" s="3453" t="s">
        <v>2537</v>
      </c>
      <c r="G100" s="3454"/>
      <c r="H100" s="3453" t="s">
        <v>2538</v>
      </c>
      <c r="I100" s="3452"/>
      <c r="J100" s="2774"/>
    </row>
    <row r="101" spans="1:36" ht="12.75">
      <c r="A101" s="3521" t="s">
        <v>2570</v>
      </c>
      <c r="B101" s="2233" t="str">
        <f>IF(H19="元","总价（元）","总价（万元）")</f>
        <v>总价（万元）</v>
      </c>
      <c r="C101" s="1235">
        <f ca="1">C19</f>
        <v>672</v>
      </c>
      <c r="D101" s="2721">
        <f ca="1">D19</f>
        <v>1818</v>
      </c>
      <c r="E101" s="1389"/>
      <c r="F101" s="3453" t="str">
        <f>项目基本情况!I1</f>
        <v>北京市房地产</v>
      </c>
      <c r="G101" s="3454"/>
      <c r="H101" s="3451">
        <f>项目基本情况!C12</f>
        <v>353.61</v>
      </c>
      <c r="I101" s="3452"/>
      <c r="J101" s="2774"/>
    </row>
    <row r="102" spans="1:36" ht="12.75">
      <c r="A102" s="3521"/>
      <c r="B102" s="2233" t="s">
        <v>2571</v>
      </c>
      <c r="C102" s="2722">
        <f ca="1">C20</f>
        <v>18998</v>
      </c>
      <c r="D102" s="2723">
        <f ca="1">D20</f>
        <v>51408</v>
      </c>
      <c r="E102" s="1389"/>
      <c r="F102" s="3463" t="s">
        <v>2567</v>
      </c>
      <c r="G102" s="3464"/>
      <c r="H102" s="2731" t="str">
        <f>C106</f>
        <v>总价（万元）</v>
      </c>
      <c r="I102" s="2732">
        <f ca="1">H121</f>
        <v>1589</v>
      </c>
      <c r="J102" s="2774"/>
    </row>
    <row r="103" spans="1:36" ht="12.75">
      <c r="A103" s="3521" t="s">
        <v>2572</v>
      </c>
      <c r="B103" s="2171" t="str">
        <f>B101</f>
        <v>总价（万元）</v>
      </c>
      <c r="C103" s="2726">
        <f ca="1">H121</f>
        <v>1589</v>
      </c>
      <c r="D103" s="2724"/>
      <c r="E103" s="1389"/>
      <c r="F103" s="3463"/>
      <c r="G103" s="3464"/>
      <c r="H103" s="2731" t="s">
        <v>2540</v>
      </c>
      <c r="I103" s="52">
        <f ca="1">I121</f>
        <v>44926</v>
      </c>
      <c r="J103" s="2758"/>
    </row>
    <row r="104" spans="1:36" ht="13.5" thickBot="1">
      <c r="A104" s="3522"/>
      <c r="B104" s="2728" t="s">
        <v>2571</v>
      </c>
      <c r="C104" s="2729">
        <f ca="1">I121</f>
        <v>44926</v>
      </c>
      <c r="D104" s="2730"/>
      <c r="E104" s="1389"/>
      <c r="F104" s="3463"/>
      <c r="G104" s="3464"/>
      <c r="H104" s="3523"/>
      <c r="I104" s="3524"/>
      <c r="J104" s="2775"/>
    </row>
    <row r="105" spans="1:36" ht="15">
      <c r="A105" s="3529" t="s">
        <v>1633</v>
      </c>
      <c r="B105" s="3530"/>
      <c r="C105" s="3530"/>
      <c r="D105" s="3531"/>
      <c r="E105" s="1389"/>
      <c r="F105" s="3527" t="s">
        <v>2541</v>
      </c>
      <c r="G105" s="3528"/>
      <c r="H105" s="2733" t="str">
        <f>C108</f>
        <v>总额（万元）</v>
      </c>
      <c r="I105" s="2732">
        <f>SUMIF(I106:I108,"&lt;9E307")</f>
        <v>0</v>
      </c>
      <c r="J105" s="2774"/>
    </row>
    <row r="106" spans="1:36" ht="14.25">
      <c r="A106" s="3463" t="s">
        <v>2564</v>
      </c>
      <c r="B106" s="3464"/>
      <c r="C106" s="2731" t="str">
        <f>B101</f>
        <v>总价（万元）</v>
      </c>
      <c r="D106" s="2732">
        <f ca="1">H121</f>
        <v>1589</v>
      </c>
      <c r="E106" s="1389"/>
      <c r="F106" s="3465" t="s">
        <v>2542</v>
      </c>
      <c r="G106" s="3466"/>
      <c r="H106" s="2733" t="str">
        <f>C109</f>
        <v>总额（万元）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3"/>
      <c r="B107" s="3464"/>
      <c r="C107" s="2731" t="s">
        <v>2565</v>
      </c>
      <c r="D107" s="52">
        <f ca="1">I121</f>
        <v>44926</v>
      </c>
      <c r="E107" s="1389"/>
      <c r="F107" s="3465" t="s">
        <v>2543</v>
      </c>
      <c r="G107" s="3466"/>
      <c r="H107" s="2733" t="str">
        <f>C110</f>
        <v>总额（万元）</v>
      </c>
      <c r="I107" s="52">
        <f>C37</f>
        <v>0</v>
      </c>
      <c r="J107" s="2758"/>
    </row>
    <row r="108" spans="1:36" ht="12.75">
      <c r="A108" s="3470" t="s">
        <v>2541</v>
      </c>
      <c r="B108" s="3471"/>
      <c r="C108" s="2733" t="str">
        <f>IF(H19="元","总额（元）","总额（万元）")</f>
        <v>总额（万元）</v>
      </c>
      <c r="D108" s="2732">
        <f>IF(D36="正常操作",I106+I107+I108,I107+I108)</f>
        <v>0</v>
      </c>
      <c r="E108" s="1389"/>
      <c r="F108" s="3465" t="s">
        <v>2568</v>
      </c>
      <c r="G108" s="3466"/>
      <c r="H108" s="2733" t="str">
        <f>C111</f>
        <v>总额（万元）</v>
      </c>
      <c r="I108" s="52">
        <f>C38</f>
        <v>0</v>
      </c>
      <c r="J108" s="2758"/>
    </row>
    <row r="109" spans="1:36" ht="12.75">
      <c r="A109" s="3465" t="s">
        <v>2542</v>
      </c>
      <c r="B109" s="3466"/>
      <c r="C109" s="2733" t="str">
        <f>C108</f>
        <v>总额（万元）</v>
      </c>
      <c r="D109" s="52">
        <f>IF(D36="同一抵押权人同一抵押物续贷",C36&amp;"（未扣减，详见特别提示）",C36)</f>
        <v>0</v>
      </c>
      <c r="E109" s="1389"/>
      <c r="F109" s="3463"/>
      <c r="G109" s="3464"/>
      <c r="H109" s="3525"/>
      <c r="I109" s="3526"/>
      <c r="J109" s="2776"/>
    </row>
    <row r="110" spans="1:36" ht="28.5" customHeight="1">
      <c r="A110" s="3465" t="s">
        <v>2566</v>
      </c>
      <c r="B110" s="3466"/>
      <c r="C110" s="2733" t="str">
        <f>C108</f>
        <v>总额（万元）</v>
      </c>
      <c r="D110" s="52">
        <f>C37</f>
        <v>0</v>
      </c>
      <c r="E110" s="1389"/>
      <c r="F110" s="3455" t="str">
        <f>IF(项目基本情况!F5="已注销","——","3.房地产抵押价值")</f>
        <v>3.房地产抵押价值</v>
      </c>
      <c r="G110" s="3456"/>
      <c r="H110" s="2719" t="str">
        <f>C112</f>
        <v>总价（万元）</v>
      </c>
      <c r="I110" s="2732">
        <f ca="1">IF(F110="——","——",I102-I105)</f>
        <v>1589</v>
      </c>
      <c r="J110" s="2774"/>
    </row>
    <row r="111" spans="1:36" ht="12.75">
      <c r="A111" s="3465" t="s">
        <v>2545</v>
      </c>
      <c r="B111" s="3466"/>
      <c r="C111" s="2733" t="str">
        <f>C108</f>
        <v>总额（万元）</v>
      </c>
      <c r="D111" s="52">
        <f>C38</f>
        <v>0</v>
      </c>
      <c r="E111" s="1389"/>
      <c r="F111" s="3554"/>
      <c r="G111" s="3555"/>
      <c r="H111" s="2731" t="s">
        <v>2540</v>
      </c>
      <c r="I111" s="2735">
        <f ca="1">D113</f>
        <v>44926</v>
      </c>
      <c r="J111" s="2777"/>
    </row>
    <row r="112" spans="1:36" ht="26.25" customHeight="1">
      <c r="A112" s="3463" t="str">
        <f>IF(项目基本情况!F5="已注销","——","3.房地产抵押价值")</f>
        <v>3.房地产抵押价值</v>
      </c>
      <c r="B112" s="3464"/>
      <c r="C112" s="2731" t="str">
        <f>B101</f>
        <v>总价（万元）</v>
      </c>
      <c r="D112" s="2732">
        <f ca="1">IF(A112="——","——",D106-D108)</f>
        <v>1589</v>
      </c>
      <c r="E112" s="1389"/>
      <c r="F112" s="3455" t="str">
        <f>IF(项目基本情况!F5="已注销及未注销","4.抵押担保权已注销时的房地产抵押价值",IF(项目基本情况!F5="已注销","3.抵押担保权已注销时的房地产抵押价值","——"))</f>
        <v>——</v>
      </c>
      <c r="G112" s="3456"/>
      <c r="H112" s="2719" t="str">
        <f>C114</f>
        <v>总价（万元）</v>
      </c>
      <c r="I112" s="2732" t="str">
        <f>IF(F112="——","——",I102-I107-I108)</f>
        <v>——</v>
      </c>
      <c r="J112" s="2774"/>
    </row>
    <row r="113" spans="1:16" ht="12.75">
      <c r="A113" s="3463"/>
      <c r="B113" s="3464"/>
      <c r="C113" s="2731" t="s">
        <v>2533</v>
      </c>
      <c r="D113" s="52">
        <f ca="1">ROUND(IF(D112=D106,D107,IF(H19="元",D112/项目基本情况!C12,D112*10000/项目基本情况!C12)),0)</f>
        <v>44926</v>
      </c>
      <c r="E113" s="1389"/>
      <c r="F113" s="3554"/>
      <c r="G113" s="3555"/>
      <c r="H113" s="2731" t="s">
        <v>2569</v>
      </c>
      <c r="I113" s="52" t="str">
        <f>D115</f>
        <v>——</v>
      </c>
      <c r="J113" s="2758"/>
    </row>
    <row r="114" spans="1:16" ht="12.75">
      <c r="A114" s="3463" t="str">
        <f>IF(项目基本情况!F5="已注销及未注销","4.抵押担保权已注销时的房地产抵押价值",IF(项目基本情况!F5="已注销","3.抵押担保权已注销时的房地产抵押价值","——"))</f>
        <v>——</v>
      </c>
      <c r="B114" s="3464"/>
      <c r="C114" s="2731" t="str">
        <f>B101</f>
        <v>总价（万元）</v>
      </c>
      <c r="D114" s="2732" t="str">
        <f>IF(A114="——","——",D106-D110-D111)</f>
        <v>——</v>
      </c>
      <c r="E114" s="1389"/>
      <c r="F114" s="3455" t="str">
        <f>IF(项目基本情况!G5="抵押净值",IF(OR(项目基本情况!F5="已注销",项目基本情况!F5="房地产抵押价值"),"4.抵押净值","5.抵押净值"),"——")</f>
        <v>——</v>
      </c>
      <c r="G114" s="3456"/>
      <c r="H114" s="2731" t="str">
        <f>C116</f>
        <v>总价（万元）</v>
      </c>
      <c r="I114" s="2732" t="str">
        <f>IF(F114="——","——",O59)</f>
        <v>——</v>
      </c>
      <c r="J114" s="2774"/>
    </row>
    <row r="115" spans="1:16" ht="13.5" thickBot="1">
      <c r="A115" s="3463"/>
      <c r="B115" s="3464"/>
      <c r="C115" s="2731" t="s">
        <v>2533</v>
      </c>
      <c r="D115" s="52" t="str">
        <f>IF(A114="——","——",ROUND(IF(D114=D106,D107,IF(H19="元",D114/项目基本情况!C12,D114*10000/项目基本情况!C12)),0))</f>
        <v>——</v>
      </c>
      <c r="E115" s="1389"/>
      <c r="F115" s="3457"/>
      <c r="G115" s="3458"/>
      <c r="H115" s="2736" t="s">
        <v>2533</v>
      </c>
      <c r="I115" s="2720" t="str">
        <f ca="1">D117</f>
        <v>——</v>
      </c>
      <c r="J115" s="2758"/>
    </row>
    <row r="116" spans="1:16" ht="15.75">
      <c r="A116" s="3463" t="str">
        <f>IF(项目基本情况!G5="抵押净值",IF(OR(项目基本情况!F5="已注销",项目基本情况!F5="房地产抵押价值"),"4.抵押净值","5.抵押净值"),"——")</f>
        <v>——</v>
      </c>
      <c r="B116" s="3464"/>
      <c r="C116" s="2731" t="str">
        <f>B101</f>
        <v>总价（万元）</v>
      </c>
      <c r="D116" s="2732" t="str">
        <f>IF(A116="——","——",O59)</f>
        <v>——</v>
      </c>
      <c r="E116" s="1389"/>
      <c r="F116" s="3549"/>
      <c r="G116" s="3549"/>
      <c r="H116" s="3513"/>
      <c r="I116" s="3513"/>
      <c r="J116" s="2778"/>
      <c r="O116" s="32"/>
      <c r="P116" s="32"/>
    </row>
    <row r="117" spans="1:16" ht="13.5" thickBot="1">
      <c r="A117" s="3468"/>
      <c r="B117" s="3469"/>
      <c r="C117" s="2736" t="s">
        <v>2533</v>
      </c>
      <c r="D117" s="2720" t="str">
        <f ca="1">IF(D116=D112,D113,IF(A116="——","——",O61))</f>
        <v>——</v>
      </c>
      <c r="E117" s="1389"/>
      <c r="F117" s="3447" t="str">
        <f>IF(B32="总价","（以上估价结果中单价为总价除以建筑面积得出）","（以上估价结果中总价为楼面单价乘以建筑面积得出）")</f>
        <v>（以上估价结果中总价为楼面单价乘以建筑面积得出）</v>
      </c>
      <c r="G117" s="3447"/>
      <c r="H117" s="3447"/>
      <c r="I117" s="3447"/>
      <c r="J117" s="2779"/>
      <c r="O117" s="32"/>
      <c r="P117" s="32"/>
    </row>
    <row r="118" spans="1:16" ht="15">
      <c r="A118" s="3514" t="s">
        <v>1634</v>
      </c>
      <c r="B118" s="3515"/>
      <c r="C118" s="3515"/>
      <c r="D118" s="3515"/>
      <c r="E118" s="3515"/>
      <c r="F118" s="3515"/>
      <c r="G118" s="3515"/>
      <c r="H118" s="3515"/>
      <c r="I118" s="3515"/>
      <c r="J118" s="2780"/>
    </row>
    <row r="119" spans="1:16" ht="12.75">
      <c r="A119" s="3448" t="s">
        <v>2551</v>
      </c>
      <c r="B119" s="3474" t="s">
        <v>2561</v>
      </c>
      <c r="C119" s="3474" t="s">
        <v>2562</v>
      </c>
      <c r="D119" s="3536" t="s">
        <v>2553</v>
      </c>
      <c r="E119" s="3537"/>
      <c r="F119" s="3449" t="s">
        <v>2563</v>
      </c>
      <c r="G119" s="3449"/>
      <c r="H119" s="3449" t="s">
        <v>2554</v>
      </c>
      <c r="I119" s="3535"/>
      <c r="J119" s="2758"/>
    </row>
    <row r="120" spans="1:16" ht="12.75">
      <c r="A120" s="3448"/>
      <c r="B120" s="3475"/>
      <c r="C120" s="3475"/>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353.61</v>
      </c>
      <c r="C121" s="2018">
        <f>项目基本情况!C13</f>
        <v>0</v>
      </c>
      <c r="D121" s="2018">
        <f ca="1">ROUND(IF(B32="总价",C34,IF('数据-取费表'!B3="万元",E121*B121/10000,E121*B121)),0)</f>
        <v>1142</v>
      </c>
      <c r="E121" s="2018">
        <f ca="1">ROUND(IF(B32="楼面单价",C34,IF(H19="元",D121/B121,D121*10000/B121)),0)</f>
        <v>32302</v>
      </c>
      <c r="F121" s="2018">
        <f ca="1">ROUND(IF(B32="总价",C35,IF('数据-取费表'!B3="万元",G121*B121/10000,G121*B121)),0)</f>
        <v>446</v>
      </c>
      <c r="G121" s="2018">
        <f ca="1">ROUND(IF(B32="楼面单价",C35,IF(H19="元",F121/B121,F121*10000/B121)),0)</f>
        <v>12624</v>
      </c>
      <c r="H121" s="2018">
        <f ca="1">ROUND(IF(B32="总价",C32,IF('数据-取费表'!B3="万元",I121*B121/10000,I121*B121)),0)</f>
        <v>1589</v>
      </c>
      <c r="I121" s="52">
        <f ca="1">ROUND(IF(B32="楼面单价",C32,IF(H19="元",H121/B121,H121*10000/B121)),0)</f>
        <v>44926</v>
      </c>
      <c r="J121" s="2758"/>
    </row>
    <row r="122" spans="1:16" ht="12.75">
      <c r="A122" s="3448" t="s">
        <v>2557</v>
      </c>
      <c r="B122" s="3449"/>
      <c r="C122" s="3449"/>
      <c r="D122" s="3476" t="str">
        <f ca="1">IF(H19="元",NUMBERSTRING(INT(D121),2)&amp;"元整",NUMBERSTRING(INT(D121*10000),2)&amp;"元整")</f>
        <v>壹仟壹佰肆拾贰万元整</v>
      </c>
      <c r="E122" s="3519"/>
      <c r="F122" s="3476" t="str">
        <f ca="1">IF(H19="元",NUMBERSTRING(INT(F121),2)&amp;"元整",NUMBERSTRING(INT(F121*10000),2)&amp;"元整")</f>
        <v>肆佰肆拾陆万元整</v>
      </c>
      <c r="G122" s="3519"/>
      <c r="H122" s="3476" t="str">
        <f ca="1">IF(H19="元",NUMBERSTRING(INT(H121),2)&amp;"元整",NUMBERSTRING(INT(H121*10000),2)&amp;"元整")</f>
        <v>壹仟伍佰捌拾玖万元整</v>
      </c>
      <c r="I122" s="3477"/>
      <c r="J122" s="2781"/>
    </row>
    <row r="123" spans="1:16" ht="12.75">
      <c r="A123" s="3453" t="str">
        <f>IF(项目基本情况!D5="房地产市场价值","——",MID(A108,3,LEN(A108)-2))</f>
        <v>估价师所知悉的法定优先受偿款</v>
      </c>
      <c r="B123" s="3459"/>
      <c r="C123" s="3454"/>
      <c r="D123" s="3451">
        <f>I105</f>
        <v>0</v>
      </c>
      <c r="E123" s="3459"/>
      <c r="F123" s="3459"/>
      <c r="G123" s="3459"/>
      <c r="H123" s="3459"/>
      <c r="I123" s="3452"/>
      <c r="J123" s="2774"/>
    </row>
    <row r="124" spans="1:16" ht="12.75">
      <c r="A124" s="3520" t="s">
        <v>2557</v>
      </c>
      <c r="B124" s="3488"/>
      <c r="C124" s="3489"/>
      <c r="D124" s="3460">
        <f>H109</f>
        <v>0</v>
      </c>
      <c r="E124" s="3461"/>
      <c r="F124" s="3461"/>
      <c r="G124" s="3461"/>
      <c r="H124" s="3461"/>
      <c r="I124" s="3462"/>
      <c r="J124" s="2782"/>
    </row>
    <row r="125" spans="1:16" ht="12.75">
      <c r="A125" s="3463" t="str">
        <f>IF(项目基本情况!D5="房地产市场价值","——",MID(A112,3,LEN(A112)-2))</f>
        <v>房地产抵押价值</v>
      </c>
      <c r="B125" s="3464"/>
      <c r="C125" s="3464"/>
      <c r="D125" s="3451">
        <f ca="1">I110</f>
        <v>1589</v>
      </c>
      <c r="E125" s="3459"/>
      <c r="F125" s="3459"/>
      <c r="G125" s="3459"/>
      <c r="H125" s="3459"/>
      <c r="I125" s="3452"/>
      <c r="J125" s="2774"/>
    </row>
    <row r="126" spans="1:16" ht="12.75">
      <c r="A126" s="3448" t="s">
        <v>2557</v>
      </c>
      <c r="B126" s="3449"/>
      <c r="C126" s="3449"/>
      <c r="D126" s="3460">
        <f ca="1">I111</f>
        <v>44926</v>
      </c>
      <c r="E126" s="3461"/>
      <c r="F126" s="3461"/>
      <c r="G126" s="3461"/>
      <c r="H126" s="3461"/>
      <c r="I126" s="3462"/>
      <c r="J126" s="2782"/>
    </row>
    <row r="127" spans="1:16" ht="13.5" thickBot="1">
      <c r="A127" s="3463" t="str">
        <f>IF(项目基本情况!D5="房地产市场价值","——",MID(A114,3,LEN(A114)-2))</f>
        <v/>
      </c>
      <c r="B127" s="3464"/>
      <c r="C127" s="3464"/>
      <c r="D127" s="3496" t="str">
        <f>I112</f>
        <v>——</v>
      </c>
      <c r="E127" s="3497"/>
      <c r="F127" s="3497"/>
      <c r="G127" s="3497"/>
      <c r="H127" s="3497"/>
      <c r="I127" s="3548"/>
      <c r="J127" s="2774"/>
    </row>
    <row r="128" spans="1:16" ht="14.25" thickTop="1" thickBot="1">
      <c r="A128" s="3448" t="s">
        <v>2557</v>
      </c>
      <c r="B128" s="3449"/>
      <c r="C128" s="3450"/>
      <c r="D128" s="3512" t="str">
        <f>I113</f>
        <v>——</v>
      </c>
      <c r="E128" s="3512"/>
      <c r="F128" s="3512"/>
      <c r="G128" s="3512"/>
      <c r="H128" s="3512"/>
      <c r="I128" s="3512"/>
      <c r="J128" s="2782"/>
    </row>
    <row r="129" spans="1:10" ht="14.25" thickTop="1" thickBot="1">
      <c r="A129" s="3463" t="str">
        <f>IF(项目基本情况!D5="房地产市场价值","——",MID(F114,3,LEN(F114)-2))</f>
        <v/>
      </c>
      <c r="B129" s="3464"/>
      <c r="C129" s="3451"/>
      <c r="D129" s="3467" t="str">
        <f>I114</f>
        <v>——</v>
      </c>
      <c r="E129" s="3467"/>
      <c r="F129" s="3467"/>
      <c r="G129" s="3467"/>
      <c r="H129" s="3467"/>
      <c r="I129" s="3467"/>
      <c r="J129" s="2774"/>
    </row>
    <row r="130" spans="1:10" ht="14.25" thickTop="1" thickBot="1">
      <c r="A130" s="3472" t="s">
        <v>2557</v>
      </c>
      <c r="B130" s="3473"/>
      <c r="C130" s="3473"/>
      <c r="D130" s="3478">
        <f>H116</f>
        <v>0</v>
      </c>
      <c r="E130" s="3479"/>
      <c r="F130" s="3479"/>
      <c r="G130" s="3479"/>
      <c r="H130" s="3479"/>
      <c r="I130" s="3480"/>
      <c r="J130" s="2782"/>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3"/>
    </row>
    <row r="132" spans="1:10" ht="13.5" thickBot="1">
      <c r="A132" s="3446" t="str">
        <f>IF(B32="总价","（以上估价结果中楼面单价为总价除以建筑面积得出）","（以上估价结果中总价为楼面单价乘以建筑面积得出）")</f>
        <v>（以上估价结果中总价为楼面单价乘以建筑面积得出）</v>
      </c>
      <c r="B132" s="3446"/>
      <c r="C132" s="3446"/>
      <c r="D132" s="3446"/>
      <c r="E132" s="3446"/>
      <c r="F132" s="3446"/>
      <c r="G132" s="3446"/>
      <c r="H132" s="3446"/>
      <c r="I132" s="3446"/>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80" t="s">
        <v>1643</v>
      </c>
      <c r="B2" s="3580"/>
      <c r="C2" s="3580"/>
      <c r="D2" s="3580"/>
      <c r="E2" s="3580"/>
      <c r="F2" s="3580"/>
      <c r="G2" s="3580"/>
      <c r="H2" s="3580"/>
      <c r="I2" s="3580"/>
      <c r="J2" s="2787"/>
    </row>
    <row r="3" spans="1:15" ht="12.75">
      <c r="A3" s="3504" t="s">
        <v>1471</v>
      </c>
      <c r="B3" s="3505"/>
      <c r="C3" s="3505"/>
      <c r="D3" s="3505"/>
      <c r="E3" s="3505"/>
      <c r="F3" s="3505"/>
      <c r="G3" s="3505"/>
      <c r="H3" s="3505"/>
      <c r="I3" s="3505"/>
      <c r="J3" s="2757"/>
    </row>
    <row r="4" spans="1:15" ht="14.25">
      <c r="A4" s="2625" t="s">
        <v>1472</v>
      </c>
      <c r="B4" s="2625" t="s">
        <v>1473</v>
      </c>
      <c r="C4" s="2626"/>
      <c r="D4" s="2626"/>
      <c r="E4" s="3450" t="s">
        <v>1644</v>
      </c>
      <c r="F4" s="3488"/>
      <c r="G4" s="3488"/>
      <c r="H4" s="3488"/>
      <c r="I4" s="3489"/>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1" t="s">
        <v>1475</v>
      </c>
      <c r="B5" s="3481">
        <v>25</v>
      </c>
      <c r="C5" s="3490"/>
      <c r="D5" s="3503"/>
      <c r="E5" s="12" t="s">
        <v>1476</v>
      </c>
      <c r="F5" s="2015"/>
      <c r="G5" s="2015"/>
      <c r="H5" s="2015"/>
      <c r="I5" s="2010"/>
      <c r="J5" s="2758"/>
    </row>
    <row r="6" spans="1:15" ht="12.75">
      <c r="A6" s="3481"/>
      <c r="B6" s="3481"/>
      <c r="C6" s="3506"/>
      <c r="D6" s="3503"/>
      <c r="E6" s="12" t="s">
        <v>1477</v>
      </c>
      <c r="F6" s="2015"/>
      <c r="G6" s="2015"/>
      <c r="H6" s="2015"/>
      <c r="I6" s="2010"/>
      <c r="J6" s="2758"/>
    </row>
    <row r="7" spans="1:15" ht="12.75">
      <c r="A7" s="3481"/>
      <c r="B7" s="3481"/>
      <c r="C7" s="3491"/>
      <c r="D7" s="3503"/>
      <c r="E7" s="12" t="s">
        <v>1478</v>
      </c>
      <c r="F7" s="2015"/>
      <c r="G7" s="2015"/>
      <c r="H7" s="2015"/>
      <c r="I7" s="2010"/>
      <c r="J7" s="2758"/>
    </row>
    <row r="8" spans="1:15" ht="12.75">
      <c r="A8" s="3481" t="s">
        <v>1479</v>
      </c>
      <c r="B8" s="3481">
        <v>15</v>
      </c>
      <c r="C8" s="3490"/>
      <c r="D8" s="3503"/>
      <c r="E8" s="12" t="s">
        <v>1480</v>
      </c>
      <c r="F8" s="2015"/>
      <c r="G8" s="2015"/>
      <c r="H8" s="2015"/>
      <c r="I8" s="2010"/>
      <c r="J8" s="2758"/>
    </row>
    <row r="9" spans="1:15" ht="12.75">
      <c r="A9" s="3481"/>
      <c r="B9" s="3481"/>
      <c r="C9" s="3491"/>
      <c r="D9" s="3503"/>
      <c r="E9" s="12" t="s">
        <v>1481</v>
      </c>
      <c r="F9" s="2015"/>
      <c r="G9" s="2015"/>
      <c r="H9" s="2015"/>
      <c r="I9" s="2010"/>
      <c r="J9" s="2758"/>
    </row>
    <row r="10" spans="1:15" ht="12.75">
      <c r="A10" s="3481" t="s">
        <v>1482</v>
      </c>
      <c r="B10" s="3481">
        <v>15</v>
      </c>
      <c r="C10" s="3490"/>
      <c r="D10" s="3503"/>
      <c r="E10" s="12" t="s">
        <v>1483</v>
      </c>
      <c r="F10" s="2015"/>
      <c r="G10" s="2015"/>
      <c r="H10" s="2015"/>
      <c r="I10" s="2010"/>
      <c r="J10" s="2758"/>
    </row>
    <row r="11" spans="1:15" ht="12.75">
      <c r="A11" s="3481"/>
      <c r="B11" s="3481"/>
      <c r="C11" s="3491"/>
      <c r="D11" s="3503"/>
      <c r="E11" s="12" t="s">
        <v>1484</v>
      </c>
      <c r="F11" s="2015"/>
      <c r="G11" s="2015"/>
      <c r="H11" s="2015"/>
      <c r="I11" s="2010"/>
      <c r="J11" s="2758"/>
    </row>
    <row r="12" spans="1:15" ht="12.75">
      <c r="A12" s="3481" t="s">
        <v>1485</v>
      </c>
      <c r="B12" s="3481">
        <v>15</v>
      </c>
      <c r="C12" s="3490"/>
      <c r="D12" s="3503"/>
      <c r="E12" s="12" t="s">
        <v>1486</v>
      </c>
      <c r="F12" s="2015"/>
      <c r="G12" s="2015"/>
      <c r="H12" s="2015"/>
      <c r="I12" s="2010"/>
      <c r="J12" s="2758"/>
    </row>
    <row r="13" spans="1:15" ht="12.75">
      <c r="A13" s="3481"/>
      <c r="B13" s="3481"/>
      <c r="C13" s="3491"/>
      <c r="D13" s="3503"/>
      <c r="E13" s="12" t="s">
        <v>1487</v>
      </c>
      <c r="F13" s="2015"/>
      <c r="G13" s="2015"/>
      <c r="H13" s="2015"/>
      <c r="I13" s="2010"/>
      <c r="J13" s="2758"/>
    </row>
    <row r="14" spans="1:15" ht="12.75">
      <c r="A14" s="3481" t="s">
        <v>1488</v>
      </c>
      <c r="B14" s="3481">
        <v>30</v>
      </c>
      <c r="C14" s="3490"/>
      <c r="D14" s="3503"/>
      <c r="E14" s="12" t="s">
        <v>1489</v>
      </c>
      <c r="F14" s="2015"/>
      <c r="G14" s="2015"/>
      <c r="H14" s="2015"/>
      <c r="I14" s="2010"/>
      <c r="J14" s="2758"/>
    </row>
    <row r="15" spans="1:15" ht="12.75">
      <c r="A15" s="3481"/>
      <c r="B15" s="3481"/>
      <c r="C15" s="3506"/>
      <c r="D15" s="3503"/>
      <c r="E15" s="12" t="s">
        <v>1490</v>
      </c>
      <c r="F15" s="2015"/>
      <c r="G15" s="2015"/>
      <c r="H15" s="2015"/>
      <c r="I15" s="2010"/>
      <c r="J15" s="2758"/>
    </row>
    <row r="16" spans="1:15" ht="12.75">
      <c r="A16" s="3481"/>
      <c r="B16" s="3481"/>
      <c r="C16" s="3491"/>
      <c r="D16" s="3503"/>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499" t="s">
        <v>2576</v>
      </c>
      <c r="F18" s="3500"/>
      <c r="G18" s="3500"/>
      <c r="H18" s="3500"/>
      <c r="I18" s="3500"/>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万元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492" t="s">
        <v>1500</v>
      </c>
      <c r="B24" s="2633" t="s">
        <v>1495</v>
      </c>
      <c r="C24" s="2636">
        <f>D30</f>
        <v>0</v>
      </c>
      <c r="D24" s="2588"/>
      <c r="E24" s="905"/>
      <c r="F24" s="905"/>
      <c r="G24" s="905"/>
      <c r="H24" s="905"/>
      <c r="I24" s="905"/>
      <c r="J24" s="2759"/>
    </row>
    <row r="25" spans="1:36" ht="21.75" customHeight="1">
      <c r="A25" s="350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57" t="s">
        <v>1647</v>
      </c>
      <c r="B32" s="3557"/>
      <c r="C32" s="3557"/>
      <c r="D32" s="3557"/>
      <c r="E32" s="3557"/>
      <c r="F32" s="3557"/>
      <c r="G32" s="3557"/>
      <c r="H32" s="3557"/>
      <c r="I32" s="3557"/>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万元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万元</v>
      </c>
      <c r="E36" s="905"/>
      <c r="F36" s="905"/>
      <c r="G36" s="905"/>
      <c r="H36" s="905"/>
      <c r="I36" s="905"/>
      <c r="J36" s="2759"/>
    </row>
    <row r="37" spans="1:16" ht="15.75" thickBot="1">
      <c r="A37" s="1395"/>
      <c r="B37" s="1397" t="s">
        <v>1655</v>
      </c>
      <c r="C37" s="2695">
        <f>IF('数据-取费表'!B3="万元",典型户型修正!Y25,典型户型修正!X25)</f>
        <v>0</v>
      </c>
      <c r="D37" s="2478" t="str">
        <f>D34</f>
        <v>万元</v>
      </c>
      <c r="E37" s="905"/>
      <c r="F37" s="905"/>
      <c r="G37" s="905"/>
      <c r="H37" s="905"/>
      <c r="I37" s="905"/>
      <c r="J37" s="2759"/>
    </row>
    <row r="38" spans="1:16" ht="15.75" thickBot="1">
      <c r="A38" s="3492" t="s">
        <v>1656</v>
      </c>
      <c r="B38" s="1396" t="s">
        <v>1657</v>
      </c>
      <c r="C38" s="2669"/>
      <c r="D38" s="2670"/>
      <c r="E38" s="1608"/>
      <c r="F38" s="1608"/>
      <c r="G38" s="905"/>
      <c r="H38" s="905"/>
      <c r="I38" s="905"/>
      <c r="J38" s="2759"/>
    </row>
    <row r="39" spans="1:16" ht="15.75" thickBot="1">
      <c r="A39" s="3493"/>
      <c r="B39" s="2020" t="s">
        <v>1658</v>
      </c>
      <c r="C39" s="2671"/>
      <c r="D39" s="1239"/>
      <c r="E39" s="1239"/>
      <c r="F39" s="1608"/>
      <c r="G39" s="1239"/>
      <c r="H39" s="1239"/>
      <c r="I39" s="1239"/>
      <c r="J39" s="2763"/>
    </row>
    <row r="40" spans="1:16" ht="15.75" thickBot="1">
      <c r="A40" s="3494"/>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96" t="s">
        <v>1669</v>
      </c>
      <c r="B47" s="3497"/>
      <c r="C47" s="3456"/>
      <c r="D47" s="246">
        <f>ROUND(I104*F47,0)</f>
        <v>0</v>
      </c>
      <c r="E47" s="1470" t="s">
        <v>1670</v>
      </c>
      <c r="F47" s="2476">
        <v>1</v>
      </c>
      <c r="G47" s="2477" t="s">
        <v>1671</v>
      </c>
      <c r="H47" s="905"/>
      <c r="I47" s="905"/>
      <c r="J47" s="2759"/>
      <c r="K47" s="3582" t="s">
        <v>1527</v>
      </c>
      <c r="L47" s="3582"/>
      <c r="M47" s="3582"/>
      <c r="N47" s="3582"/>
      <c r="O47" s="3582"/>
      <c r="P47" s="3582"/>
    </row>
    <row r="48" spans="1:16" ht="14.25" customHeight="1">
      <c r="A48" s="3485" t="s">
        <v>1528</v>
      </c>
      <c r="B48" s="3486"/>
      <c r="C48" s="3486"/>
      <c r="D48" s="3486"/>
      <c r="E48" s="3486"/>
      <c r="F48" s="3486"/>
      <c r="G48" s="3487"/>
      <c r="H48" s="2891"/>
      <c r="I48" s="905"/>
      <c r="J48" s="2759"/>
      <c r="K48" s="2428">
        <v>1</v>
      </c>
      <c r="L48" s="3577" t="s">
        <v>1529</v>
      </c>
      <c r="M48" s="3577"/>
      <c r="N48" s="3583"/>
      <c r="O48" s="3583"/>
      <c r="P48" s="3583"/>
    </row>
    <row r="49" spans="1:17" ht="12" customHeight="1">
      <c r="A49" s="38" t="s">
        <v>1530</v>
      </c>
      <c r="B49" s="39"/>
      <c r="C49" s="40"/>
      <c r="D49" s="1028" t="s">
        <v>1531</v>
      </c>
      <c r="E49" s="235" t="s">
        <v>1532</v>
      </c>
      <c r="F49" s="41" t="s">
        <v>1533</v>
      </c>
      <c r="G49" s="2479" t="s">
        <v>1534</v>
      </c>
      <c r="H49" s="2891"/>
      <c r="I49" s="905"/>
      <c r="J49" s="2759"/>
      <c r="K49" s="2428">
        <v>2</v>
      </c>
      <c r="L49" s="3577" t="s">
        <v>1535</v>
      </c>
      <c r="M49" s="3577"/>
      <c r="N49" s="3584">
        <f>'数据-取费表'!B2</f>
        <v>44725</v>
      </c>
      <c r="O49" s="3584"/>
      <c r="P49" s="3584"/>
    </row>
    <row r="50" spans="1:17" ht="25.5">
      <c r="A50" s="3495" t="s">
        <v>1536</v>
      </c>
      <c r="B50" s="3449"/>
      <c r="C50" s="3449"/>
      <c r="D50" s="12">
        <f>IF(H50="情况1",0,IF(H50="情况2",D54,IF(H50="情况3",D55,IF(H50="情况4",D56))))</f>
        <v>0</v>
      </c>
      <c r="E50" s="2018" t="str">
        <f>IF(H50="情况4","(销售额-原购置价)×税（费）率","销售额×税（费）率")</f>
        <v>销售额×税（费）率</v>
      </c>
      <c r="F50" s="2480">
        <f>IF(H50="情况1","免征",'数据-取费表'!E29)</f>
        <v>5.6000000000000001E-2</v>
      </c>
      <c r="G50" s="2481" t="s">
        <v>1537</v>
      </c>
      <c r="H50" s="2482" t="s">
        <v>1538</v>
      </c>
      <c r="I50" s="2891"/>
      <c r="J50" s="2766"/>
      <c r="K50" s="2428">
        <v>3</v>
      </c>
      <c r="L50" s="3577" t="s">
        <v>1539</v>
      </c>
      <c r="M50" s="3577"/>
      <c r="N50" s="3578">
        <f>I104</f>
        <v>0</v>
      </c>
      <c r="O50" s="3578"/>
      <c r="P50" s="3578"/>
    </row>
    <row r="51" spans="1:17" ht="25.5" customHeight="1">
      <c r="A51" s="2017" t="s">
        <v>1540</v>
      </c>
      <c r="B51" s="3488" t="s">
        <v>1541</v>
      </c>
      <c r="C51" s="3488"/>
      <c r="D51" s="2483">
        <v>0</v>
      </c>
      <c r="E51" s="261" t="s">
        <v>1542</v>
      </c>
      <c r="F51" s="2484" t="s">
        <v>48</v>
      </c>
      <c r="G51" s="3545"/>
      <c r="H51" s="2485" t="s">
        <v>2500</v>
      </c>
      <c r="I51" s="2486"/>
      <c r="J51" s="2767"/>
      <c r="K51" s="2428">
        <v>4</v>
      </c>
      <c r="L51" s="3577" t="str">
        <f>IF(项目基本情况!F5="房地产抵押价值","房地产抵押价值","抵押担保权已注销时的房地产抵押价值")</f>
        <v>房地产抵押价值</v>
      </c>
      <c r="M51" s="3577"/>
      <c r="N51" s="3578">
        <f>IF(项目基本情况!F5="房地产抵押价值",I112,I114)</f>
        <v>0</v>
      </c>
      <c r="O51" s="3578"/>
      <c r="P51" s="3578"/>
    </row>
    <row r="52" spans="1:17" ht="25.5" customHeight="1">
      <c r="A52" s="2007"/>
      <c r="B52" s="3488" t="s">
        <v>1543</v>
      </c>
      <c r="C52" s="3488"/>
      <c r="D52" s="2487"/>
      <c r="E52" s="269"/>
      <c r="F52" s="2484"/>
      <c r="G52" s="3546"/>
      <c r="H52" s="2488" t="s">
        <v>2501</v>
      </c>
      <c r="I52" s="2486"/>
      <c r="J52" s="2767"/>
      <c r="K52" s="3577" t="s">
        <v>1544</v>
      </c>
      <c r="L52" s="3577"/>
      <c r="M52" s="3577"/>
      <c r="N52" s="3577"/>
      <c r="O52" s="3577"/>
      <c r="P52" s="3577"/>
    </row>
    <row r="53" spans="1:17" ht="20.45" customHeight="1">
      <c r="A53" s="2489"/>
      <c r="B53" s="3488" t="s">
        <v>1545</v>
      </c>
      <c r="C53" s="3488"/>
      <c r="D53" s="1028"/>
      <c r="E53" s="264"/>
      <c r="F53" s="2484"/>
      <c r="G53" s="3547"/>
      <c r="H53" s="2488" t="s">
        <v>2502</v>
      </c>
      <c r="I53" s="2486"/>
      <c r="J53" s="2767"/>
      <c r="K53" s="2429" t="s">
        <v>1546</v>
      </c>
      <c r="L53" s="3577" t="s">
        <v>1547</v>
      </c>
      <c r="M53" s="3577"/>
      <c r="N53" s="2429" t="s">
        <v>1548</v>
      </c>
      <c r="O53" s="2429" t="s">
        <v>1549</v>
      </c>
      <c r="P53" s="2429" t="s">
        <v>1550</v>
      </c>
    </row>
    <row r="54" spans="1:17" ht="24" customHeight="1">
      <c r="A54" s="2008" t="s">
        <v>1551</v>
      </c>
      <c r="B54" s="3488" t="s">
        <v>1552</v>
      </c>
      <c r="C54" s="3488"/>
      <c r="D54" s="1028">
        <f>ROUND(D47*'数据-取费表'!E29/(1+'数据-取费表'!F30),0)</f>
        <v>0</v>
      </c>
      <c r="E54" s="2018" t="s">
        <v>1553</v>
      </c>
      <c r="F54" s="2490">
        <f>'数据-取费表'!E29</f>
        <v>5.6000000000000001E-2</v>
      </c>
      <c r="G54" s="2491"/>
      <c r="H54" s="905"/>
      <c r="I54" s="2892"/>
      <c r="J54" s="2767"/>
      <c r="K54" s="2428">
        <v>1</v>
      </c>
      <c r="L54" s="3573" t="s">
        <v>1554</v>
      </c>
      <c r="M54" s="3573"/>
      <c r="N54" s="2430">
        <f>D50</f>
        <v>0</v>
      </c>
      <c r="O54" s="2428" t="str">
        <f>E50</f>
        <v>销售额×税（费）率</v>
      </c>
      <c r="P54" s="2431">
        <f>F50</f>
        <v>5.6000000000000001E-2</v>
      </c>
    </row>
    <row r="55" spans="1:17" ht="12" customHeight="1">
      <c r="A55" s="2008" t="s">
        <v>1555</v>
      </c>
      <c r="B55" s="3450" t="s">
        <v>2593</v>
      </c>
      <c r="C55" s="3489"/>
      <c r="D55" s="1028">
        <f>ROUND(D47*'数据-取费表'!E29/(1+'数据-取费表'!F30),0)</f>
        <v>0</v>
      </c>
      <c r="E55" s="2018" t="s">
        <v>1553</v>
      </c>
      <c r="F55" s="2490">
        <f>'数据-取费表'!E29</f>
        <v>5.6000000000000001E-2</v>
      </c>
      <c r="G55" s="2491"/>
      <c r="H55" s="905"/>
      <c r="I55" s="2892"/>
      <c r="J55" s="2767"/>
      <c r="K55" s="2428">
        <v>2</v>
      </c>
      <c r="L55" s="3573" t="s">
        <v>1556</v>
      </c>
      <c r="M55" s="3573"/>
      <c r="N55" s="2430">
        <f t="shared" ref="N55:P56" si="1">D57</f>
        <v>0</v>
      </c>
      <c r="O55" s="2428" t="str">
        <f t="shared" si="1"/>
        <v>销售额×税（费）率</v>
      </c>
      <c r="P55" s="2431">
        <f t="shared" si="1"/>
        <v>5.0000000000000001E-4</v>
      </c>
    </row>
    <row r="56" spans="1:17" ht="12" customHeight="1">
      <c r="A56" s="2008" t="s">
        <v>1557</v>
      </c>
      <c r="B56" s="3450" t="s">
        <v>2594</v>
      </c>
      <c r="C56" s="3489"/>
      <c r="D56" s="1028">
        <f>C70</f>
        <v>0</v>
      </c>
      <c r="E56" s="264" t="s">
        <v>1558</v>
      </c>
      <c r="F56" s="2490">
        <f>'数据-取费表'!E29</f>
        <v>5.6000000000000001E-2</v>
      </c>
      <c r="G56" s="2491"/>
      <c r="H56" s="2893"/>
      <c r="I56" s="2892"/>
      <c r="J56" s="2767"/>
      <c r="K56" s="2428">
        <v>3</v>
      </c>
      <c r="L56" s="3573" t="s">
        <v>1559</v>
      </c>
      <c r="M56" s="3573"/>
      <c r="N56" s="2430">
        <f t="shared" si="1"/>
        <v>0</v>
      </c>
      <c r="O56" s="2428" t="str">
        <f t="shared" si="1"/>
        <v>增值额×税（费）率</v>
      </c>
      <c r="P56" s="2432" t="str">
        <f t="shared" si="1"/>
        <v>——</v>
      </c>
    </row>
    <row r="57" spans="1:17" ht="24" customHeight="1">
      <c r="A57" s="3448" t="s">
        <v>1560</v>
      </c>
      <c r="B57" s="3449"/>
      <c r="C57" s="3449"/>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73" t="str">
        <f>IF(H61="非个人房产","——","个人所得税")</f>
        <v>个人所得税</v>
      </c>
      <c r="M57" s="3573"/>
      <c r="N57" s="2433">
        <f>D61</f>
        <v>0</v>
      </c>
      <c r="O57" s="2434" t="str">
        <f>E61</f>
        <v>销售额×税（费）率</v>
      </c>
      <c r="P57" s="2435">
        <f>F61</f>
        <v>0.01</v>
      </c>
    </row>
    <row r="58" spans="1:17" ht="24.75">
      <c r="A58" s="3448" t="s">
        <v>1563</v>
      </c>
      <c r="B58" s="3449"/>
      <c r="C58" s="3449"/>
      <c r="D58" s="12">
        <f>IF(H58="个人住宅",D59,D60)</f>
        <v>0</v>
      </c>
      <c r="E58" s="2018" t="s">
        <v>1564</v>
      </c>
      <c r="F58" s="2490" t="str">
        <f>IF(H58="正常",F60,"免征")</f>
        <v>——</v>
      </c>
      <c r="G58" s="2492" t="s">
        <v>1565</v>
      </c>
      <c r="H58" s="2493" t="s">
        <v>1562</v>
      </c>
      <c r="I58" s="2894"/>
      <c r="J58" s="2767"/>
      <c r="K58" s="2428" t="str">
        <f>IF(项目基本情况!I6="上海银行",IF(K57="",4,K57+1),"")</f>
        <v/>
      </c>
      <c r="L58" s="3575" t="str">
        <f>IF(项目基本情况!I6="上海银行","其他处置费用","")</f>
        <v/>
      </c>
      <c r="M58" s="3576"/>
      <c r="N58" s="2430" t="str">
        <f>IF(项目基本情况!I6="上海银行",N71,"")</f>
        <v/>
      </c>
      <c r="O58" s="3575" t="str">
        <f>IF(项目基本情况!I6="上海银行","包含处置中涉及的律师、诉讼、拍卖、评估等费用","")</f>
        <v/>
      </c>
      <c r="P58" s="3579"/>
    </row>
    <row r="59" spans="1:17" ht="12.75">
      <c r="A59" s="2008" t="s">
        <v>1540</v>
      </c>
      <c r="B59" s="3450" t="s">
        <v>1566</v>
      </c>
      <c r="C59" s="3489"/>
      <c r="D59" s="2483">
        <v>0</v>
      </c>
      <c r="E59" s="261" t="s">
        <v>1542</v>
      </c>
      <c r="F59" s="235"/>
      <c r="G59" s="2491"/>
      <c r="H59" s="2894"/>
      <c r="I59" s="2894"/>
      <c r="J59" s="2767"/>
      <c r="K59" s="3573">
        <f>IF(AND(K57="",K58=""),4,IF(项目基本情况!I6="上海银行",K58+1,K57+1))</f>
        <v>5</v>
      </c>
      <c r="L59" s="3573" t="s">
        <v>1567</v>
      </c>
      <c r="M59" s="2436" t="s">
        <v>1568</v>
      </c>
      <c r="N59" s="2437"/>
      <c r="O59" s="2438">
        <f>SUMIF(N54:N58,"&lt;9e307")</f>
        <v>0</v>
      </c>
      <c r="P59" s="2439"/>
      <c r="Q59" s="1234" t="e">
        <f>O59/N51</f>
        <v>#DIV/0!</v>
      </c>
    </row>
    <row r="60" spans="1:17" ht="24.75">
      <c r="A60" s="2008" t="s">
        <v>1551</v>
      </c>
      <c r="B60" s="3450" t="s">
        <v>1569</v>
      </c>
      <c r="C60" s="3488"/>
      <c r="D60" s="12">
        <f>IF(H60="转让取得",C83,C99)</f>
        <v>0</v>
      </c>
      <c r="E60" s="2018" t="s">
        <v>1564</v>
      </c>
      <c r="F60" s="235" t="s">
        <v>48</v>
      </c>
      <c r="G60" s="2491"/>
      <c r="H60" s="2493" t="s">
        <v>1570</v>
      </c>
      <c r="I60" s="2894"/>
      <c r="J60" s="2767"/>
      <c r="K60" s="3573"/>
      <c r="L60" s="3573"/>
      <c r="M60" s="2436" t="s">
        <v>1571</v>
      </c>
      <c r="N60" s="2440"/>
      <c r="O60" s="2441" t="str">
        <f>IF(H19="元",NUMBERSTRING(INT(O59),2)&amp;"元整",NUMBERSTRING(INT(O59*10000),2)&amp;"元整")</f>
        <v>零元整</v>
      </c>
      <c r="P60" s="2442"/>
    </row>
    <row r="61" spans="1:17" ht="26.25" thickBot="1">
      <c r="A61" s="3472" t="s">
        <v>1572</v>
      </c>
      <c r="B61" s="3473"/>
      <c r="C61" s="3473"/>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71">
        <f>K59+1</f>
        <v>6</v>
      </c>
      <c r="L61" s="3573" t="s">
        <v>1573</v>
      </c>
      <c r="M61" s="2428" t="s">
        <v>1568</v>
      </c>
      <c r="N61" s="2443"/>
      <c r="O61" s="2444">
        <f>N51-O59</f>
        <v>0</v>
      </c>
      <c r="P61" s="2445"/>
    </row>
    <row r="62" spans="1:17" ht="12" customHeight="1">
      <c r="A62" s="1385"/>
      <c r="B62" s="2478"/>
      <c r="C62" s="2478"/>
      <c r="D62" s="2478"/>
      <c r="E62" s="1385"/>
      <c r="F62" s="2894"/>
      <c r="G62" s="2894"/>
      <c r="H62" s="2889"/>
      <c r="I62" s="905"/>
      <c r="J62" s="2767"/>
      <c r="K62" s="3572"/>
      <c r="L62" s="3573"/>
      <c r="M62" s="2436" t="s">
        <v>1571</v>
      </c>
      <c r="N62" s="2440"/>
      <c r="O62" s="2441" t="str">
        <f>IF(H19="元",NUMBERSTRING(INT(O61),2)&amp;"元整",NUMBERSTRING(INT(O61*10000),2)&amp;"元整")</f>
        <v>零元整</v>
      </c>
      <c r="P62" s="2442"/>
    </row>
    <row r="63" spans="1:17" ht="13.5" thickBot="1">
      <c r="A63" s="3574" t="s">
        <v>1574</v>
      </c>
      <c r="B63" s="3574"/>
      <c r="C63" s="3574"/>
      <c r="D63" s="3574"/>
      <c r="E63" s="3574"/>
      <c r="F63" s="2894"/>
      <c r="G63" s="2894"/>
      <c r="H63" s="2889"/>
      <c r="I63" s="905"/>
      <c r="J63" s="2759"/>
      <c r="K63" s="2428">
        <f>K61+1</f>
        <v>7</v>
      </c>
      <c r="L63" s="3573" t="s">
        <v>1575</v>
      </c>
      <c r="M63" s="3573"/>
      <c r="N63" s="2446"/>
      <c r="O63" s="2447">
        <f>IF(H19="元",ROUND(O61/项目基本情况!C12,0),ROUND(O61*10000/项目基本情况!C12,0))</f>
        <v>0</v>
      </c>
      <c r="P63" s="2448"/>
    </row>
    <row r="64" spans="1:17" ht="12.75">
      <c r="A64" s="3507" t="s">
        <v>1576</v>
      </c>
      <c r="B64" s="3508"/>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81"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8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81"/>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81"/>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8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5.6000000000000001E-2</v>
      </c>
      <c r="E70" s="57"/>
      <c r="F70" s="2894"/>
      <c r="G70" s="2894"/>
      <c r="H70" s="2889"/>
      <c r="I70" s="905"/>
      <c r="J70" s="2759"/>
      <c r="K70" s="3581"/>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81"/>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8" t="s">
        <v>1596</v>
      </c>
      <c r="B72" s="3569"/>
      <c r="C72" s="3569"/>
      <c r="D72" s="3569"/>
      <c r="E72" s="3569"/>
      <c r="F72" s="3569"/>
      <c r="G72" s="3569"/>
      <c r="H72" s="3569"/>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07" t="s">
        <v>1576</v>
      </c>
      <c r="B73" s="3508"/>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450" t="s">
        <v>1606</v>
      </c>
      <c r="F78" s="3488"/>
      <c r="G78" s="3488"/>
      <c r="H78" s="3502"/>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6.000000000000001E-3</v>
      </c>
      <c r="E80" s="3482" t="s">
        <v>1611</v>
      </c>
      <c r="F80" s="3483"/>
      <c r="G80" s="3483"/>
      <c r="H80" s="3484"/>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8" t="s">
        <v>1615</v>
      </c>
      <c r="B85" s="3569"/>
      <c r="C85" s="3569"/>
      <c r="D85" s="3569"/>
      <c r="E85" s="3569"/>
      <c r="F85" s="3569"/>
      <c r="G85" s="3569"/>
      <c r="H85" s="3569"/>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07" t="s">
        <v>1576</v>
      </c>
      <c r="B86" s="3508"/>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543" t="s">
        <v>2494</v>
      </c>
      <c r="H92" s="3570"/>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82" t="s">
        <v>1623</v>
      </c>
      <c r="F93" s="3483"/>
      <c r="G93" s="3483"/>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82" t="s">
        <v>1626</v>
      </c>
      <c r="F94" s="3483"/>
      <c r="G94" s="3483"/>
      <c r="H94" s="3484"/>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6.000000000000001E-3</v>
      </c>
      <c r="E95" s="3482" t="s">
        <v>1611</v>
      </c>
      <c r="F95" s="3483"/>
      <c r="G95" s="3483"/>
      <c r="H95" s="3484"/>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82" t="s">
        <v>1628</v>
      </c>
      <c r="F96" s="3483"/>
      <c r="G96" s="3483"/>
      <c r="H96" s="3484"/>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9" t="s">
        <v>1630</v>
      </c>
      <c r="B101" s="3530"/>
      <c r="C101" s="3530"/>
      <c r="D101" s="3531"/>
      <c r="E101" s="1389"/>
      <c r="F101" s="3565" t="s">
        <v>2536</v>
      </c>
      <c r="G101" s="3566"/>
      <c r="H101" s="3566"/>
      <c r="I101" s="3567"/>
      <c r="J101" s="2794"/>
    </row>
    <row r="102" spans="1:36" ht="15">
      <c r="A102" s="3541" t="s">
        <v>1632</v>
      </c>
      <c r="B102" s="3542"/>
      <c r="C102" s="2717">
        <f>C4</f>
        <v>0</v>
      </c>
      <c r="D102" s="2718">
        <f>D4</f>
        <v>0</v>
      </c>
      <c r="E102" s="1389"/>
      <c r="F102" s="3453" t="s">
        <v>2537</v>
      </c>
      <c r="G102" s="3454"/>
      <c r="H102" s="3459" t="s">
        <v>2538</v>
      </c>
      <c r="I102" s="3452"/>
      <c r="J102" s="2774"/>
    </row>
    <row r="103" spans="1:36" ht="12.75">
      <c r="A103" s="3562" t="s">
        <v>2532</v>
      </c>
      <c r="B103" s="2233" t="str">
        <f>IF(H19="元","总价（元）","总价（万元）")</f>
        <v>总价（万元）</v>
      </c>
      <c r="C103" s="1235" t="e">
        <f ca="1">C19</f>
        <v>#REF!</v>
      </c>
      <c r="D103" s="2721" t="e">
        <f ca="1">D19</f>
        <v>#REF!</v>
      </c>
      <c r="E103" s="1389"/>
      <c r="F103" s="3563"/>
      <c r="G103" s="3564"/>
      <c r="H103" s="3451">
        <f>典型户型修正!B25</f>
        <v>0</v>
      </c>
      <c r="I103" s="3452"/>
      <c r="J103" s="2774"/>
    </row>
    <row r="104" spans="1:36" ht="12.75">
      <c r="A104" s="3562"/>
      <c r="B104" s="2233" t="s">
        <v>2533</v>
      </c>
      <c r="C104" s="2722" t="e">
        <f ca="1">C20</f>
        <v>#REF!</v>
      </c>
      <c r="D104" s="2723" t="e">
        <f ca="1">D20</f>
        <v>#REF!</v>
      </c>
      <c r="E104" s="1389"/>
      <c r="F104" s="3463" t="s">
        <v>2539</v>
      </c>
      <c r="G104" s="3464"/>
      <c r="H104" s="2731" t="str">
        <f>C110</f>
        <v>总价（万元）</v>
      </c>
      <c r="I104" s="2732">
        <f>H125</f>
        <v>0</v>
      </c>
      <c r="J104" s="2774"/>
    </row>
    <row r="105" spans="1:36" ht="12.75">
      <c r="A105" s="3562" t="s">
        <v>2534</v>
      </c>
      <c r="B105" s="2171" t="str">
        <f>B103</f>
        <v>总价（万元）</v>
      </c>
      <c r="C105" s="12" t="e">
        <f ca="1">ROUND(IF('数据-取费表'!B4="总价",G19,IF(H19="元",G20*'数据-取费表'!E5,G20*'数据-取费表'!E5/10000)),0)</f>
        <v>#REF!</v>
      </c>
      <c r="D105" s="2724"/>
      <c r="E105" s="1389"/>
      <c r="F105" s="3463"/>
      <c r="G105" s="3464"/>
      <c r="H105" s="2731" t="s">
        <v>2540</v>
      </c>
      <c r="I105" s="52" t="e">
        <f>I125</f>
        <v>#DIV/0!</v>
      </c>
      <c r="J105" s="2758"/>
    </row>
    <row r="106" spans="1:36" ht="12.75">
      <c r="A106" s="3562"/>
      <c r="B106" s="2233" t="s">
        <v>2533</v>
      </c>
      <c r="C106" s="1409" t="e">
        <f ca="1">ROUND(IF('数据-取费表'!B4="楼面单价",G20,IF(H19="元",G19/'数据-取费表'!E5,G19*10000/'数据-取费表'!E5)),0)</f>
        <v>#REF!</v>
      </c>
      <c r="D106" s="2724"/>
      <c r="E106" s="1389"/>
      <c r="F106" s="3463"/>
      <c r="G106" s="3464"/>
      <c r="H106" s="3523"/>
      <c r="I106" s="3524"/>
      <c r="J106" s="2775"/>
    </row>
    <row r="107" spans="1:36" ht="12.75">
      <c r="A107" s="3556" t="s">
        <v>2535</v>
      </c>
      <c r="B107" s="2725" t="str">
        <f>B103</f>
        <v>总价（万元）</v>
      </c>
      <c r="C107" s="2726">
        <f>H125</f>
        <v>0</v>
      </c>
      <c r="D107" s="2727"/>
      <c r="E107" s="1389"/>
      <c r="F107" s="3527" t="s">
        <v>2541</v>
      </c>
      <c r="G107" s="3528"/>
      <c r="H107" s="2733" t="str">
        <f>C112</f>
        <v>总额（万元）</v>
      </c>
      <c r="I107" s="2732">
        <f>SUMIF(I108:I110,"&lt;9E307")</f>
        <v>0</v>
      </c>
      <c r="J107" s="2774"/>
    </row>
    <row r="108" spans="1:36" ht="15" thickBot="1">
      <c r="A108" s="3522"/>
      <c r="B108" s="2728" t="s">
        <v>2533</v>
      </c>
      <c r="C108" s="2729" t="e">
        <f>I125</f>
        <v>#DIV/0!</v>
      </c>
      <c r="D108" s="2730"/>
      <c r="E108" s="1389"/>
      <c r="F108" s="3465" t="s">
        <v>2542</v>
      </c>
      <c r="G108" s="3466"/>
      <c r="H108" s="2733" t="str">
        <f>C113</f>
        <v>总额（万元）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59" t="s">
        <v>1633</v>
      </c>
      <c r="B109" s="3560"/>
      <c r="C109" s="3560"/>
      <c r="D109" s="3561"/>
      <c r="E109" s="1389"/>
      <c r="F109" s="3465" t="s">
        <v>2543</v>
      </c>
      <c r="G109" s="3466"/>
      <c r="H109" s="2733" t="str">
        <f>C114</f>
        <v>总额（万元）</v>
      </c>
      <c r="I109" s="52">
        <f>C39</f>
        <v>0</v>
      </c>
      <c r="J109" s="2758"/>
    </row>
    <row r="110" spans="1:36" ht="12.75">
      <c r="A110" s="3463" t="s">
        <v>2546</v>
      </c>
      <c r="B110" s="3464"/>
      <c r="C110" s="2731" t="str">
        <f>B103</f>
        <v>总价（万元）</v>
      </c>
      <c r="D110" s="2732">
        <f>H125</f>
        <v>0</v>
      </c>
      <c r="E110" s="1389"/>
      <c r="F110" s="3465" t="s">
        <v>2544</v>
      </c>
      <c r="G110" s="3466"/>
      <c r="H110" s="2733" t="str">
        <f>C115</f>
        <v>总额（万元）</v>
      </c>
      <c r="I110" s="52">
        <f>C40</f>
        <v>0</v>
      </c>
      <c r="J110" s="2758"/>
    </row>
    <row r="111" spans="1:36" ht="12.75">
      <c r="A111" s="3463"/>
      <c r="B111" s="3464"/>
      <c r="C111" s="2731" t="s">
        <v>2547</v>
      </c>
      <c r="D111" s="52" t="e">
        <f>I125</f>
        <v>#DIV/0!</v>
      </c>
      <c r="E111" s="1389"/>
      <c r="F111" s="3463"/>
      <c r="G111" s="3464"/>
      <c r="H111" s="3525"/>
      <c r="I111" s="3526"/>
      <c r="J111" s="2776"/>
    </row>
    <row r="112" spans="1:36" ht="28.5" customHeight="1">
      <c r="A112" s="3470" t="s">
        <v>2541</v>
      </c>
      <c r="B112" s="3471"/>
      <c r="C112" s="2733" t="str">
        <f>IF(H19="元","总额（元）","总额（万元）")</f>
        <v>总额（万元）</v>
      </c>
      <c r="D112" s="2732">
        <f>IF(D38="正常操作",I108+I109+I110,I109+I110)</f>
        <v>0</v>
      </c>
      <c r="E112" s="1389"/>
      <c r="F112" s="3455" t="str">
        <f>IF(项目基本情况!F5="已注销","——","3.房地产抵押价值")</f>
        <v>3.房地产抵押价值</v>
      </c>
      <c r="G112" s="3456"/>
      <c r="H112" s="1409" t="str">
        <f>C116</f>
        <v>总价（万元）</v>
      </c>
      <c r="I112" s="2732">
        <f>IF(F112="——","——",I104-I107)</f>
        <v>0</v>
      </c>
      <c r="J112" s="2774"/>
    </row>
    <row r="113" spans="1:27" ht="12.75">
      <c r="A113" s="3465" t="s">
        <v>2548</v>
      </c>
      <c r="B113" s="3466"/>
      <c r="C113" s="2733" t="str">
        <f>C112</f>
        <v>总额（万元）</v>
      </c>
      <c r="D113" s="52">
        <f>IF(D38="同一抵押权人同一抵押物续贷",C38&amp;"（未扣减，详见特别提示）",C38)</f>
        <v>0</v>
      </c>
      <c r="E113" s="1389"/>
      <c r="F113" s="3554"/>
      <c r="G113" s="3555"/>
      <c r="H113" s="2731" t="s">
        <v>2540</v>
      </c>
      <c r="I113" s="2735" t="e">
        <f>D117</f>
        <v>#DIV/0!</v>
      </c>
      <c r="J113" s="2777"/>
    </row>
    <row r="114" spans="1:27" ht="12.75">
      <c r="A114" s="3465" t="s">
        <v>2549</v>
      </c>
      <c r="B114" s="3466"/>
      <c r="C114" s="2733" t="str">
        <f>C112</f>
        <v>总额（万元）</v>
      </c>
      <c r="D114" s="52">
        <f>C39</f>
        <v>0</v>
      </c>
      <c r="E114" s="1389"/>
      <c r="F114" s="3455" t="str">
        <f>IF(项目基本情况!F5="已注销及未注销","4.抵押担保权已注销时的房地产抵押价值",IF(项目基本情况!F5="已注销","3.抵押担保权已注销时的房地产抵押价值","——"))</f>
        <v>——</v>
      </c>
      <c r="G114" s="3456"/>
      <c r="H114" s="1409" t="str">
        <f>C118</f>
        <v>总价（万元）</v>
      </c>
      <c r="I114" s="2732" t="str">
        <f>IF(F114="——","——",I104-I109-I110)</f>
        <v>——</v>
      </c>
      <c r="J114" s="2774"/>
    </row>
    <row r="115" spans="1:27" ht="12.75">
      <c r="A115" s="3465" t="s">
        <v>2550</v>
      </c>
      <c r="B115" s="3466"/>
      <c r="C115" s="2733" t="str">
        <f>C112</f>
        <v>总额（万元）</v>
      </c>
      <c r="D115" s="52">
        <f>C40</f>
        <v>0</v>
      </c>
      <c r="E115" s="1389"/>
      <c r="F115" s="3554"/>
      <c r="G115" s="3555"/>
      <c r="H115" s="2731" t="s">
        <v>2540</v>
      </c>
      <c r="I115" s="52" t="str">
        <f>D119</f>
        <v>——</v>
      </c>
      <c r="J115" s="2758"/>
    </row>
    <row r="116" spans="1:27" ht="12.75">
      <c r="A116" s="3463" t="str">
        <f>IF(项目基本情况!F5="已注销","——","3.房地产抵押价值")</f>
        <v>3.房地产抵押价值</v>
      </c>
      <c r="B116" s="3464"/>
      <c r="C116" s="2731" t="str">
        <f>B103</f>
        <v>总价（万元）</v>
      </c>
      <c r="D116" s="2732">
        <f>IF(A116="——","——",D110-D112)</f>
        <v>0</v>
      </c>
      <c r="E116" s="1389"/>
      <c r="F116" s="3455" t="str">
        <f>IF(项目基本情况!G5="抵押净值",IF(OR(项目基本情况!F5="已注销",项目基本情况!F5="房地产抵押价值"),"4.抵押净值","5.抵押净值"),"——")</f>
        <v>——</v>
      </c>
      <c r="G116" s="3456"/>
      <c r="H116" s="2731" t="str">
        <f>C120</f>
        <v>总价（万元）</v>
      </c>
      <c r="I116" s="2732" t="str">
        <f>IF(F116="——","——",O61)</f>
        <v>——</v>
      </c>
      <c r="J116" s="2774"/>
    </row>
    <row r="117" spans="1:27" ht="13.5" thickBot="1">
      <c r="A117" s="3463"/>
      <c r="B117" s="3464"/>
      <c r="C117" s="2731" t="s">
        <v>2547</v>
      </c>
      <c r="D117" s="52" t="e">
        <f>ROUND(IF(D116=D110,D111,IF(H19="元",D116/B125,D116*10000/B125)),0)</f>
        <v>#DIV/0!</v>
      </c>
      <c r="E117" s="1389"/>
      <c r="F117" s="3457"/>
      <c r="G117" s="3458"/>
      <c r="H117" s="2736" t="s">
        <v>2540</v>
      </c>
      <c r="I117" s="2720" t="str">
        <f>D121</f>
        <v>——</v>
      </c>
      <c r="J117" s="2758"/>
    </row>
    <row r="118" spans="1:27" ht="15.75">
      <c r="A118" s="3463" t="str">
        <f>IF(项目基本情况!F5="已注销及未注销","4.抵押担保权已注销时的房地产抵押价值",IF(项目基本情况!F5="已注销","3.抵押担保权已注销时的房地产抵押价值","——"))</f>
        <v>——</v>
      </c>
      <c r="B118" s="3464"/>
      <c r="C118" s="2731" t="str">
        <f>B103</f>
        <v>总价（万元）</v>
      </c>
      <c r="D118" s="2732" t="str">
        <f>IF(A118="——","——",D110-D114-D115)</f>
        <v>——</v>
      </c>
      <c r="E118" s="1389"/>
      <c r="F118" s="3549"/>
      <c r="G118" s="3549"/>
      <c r="H118" s="3513"/>
      <c r="I118" s="3513"/>
      <c r="J118" s="2778"/>
      <c r="O118" s="32"/>
      <c r="P118" s="32"/>
    </row>
    <row r="119" spans="1:27" s="1236" customFormat="1" ht="12.75">
      <c r="A119" s="3463"/>
      <c r="B119" s="3464"/>
      <c r="C119" s="2731" t="s">
        <v>2547</v>
      </c>
      <c r="D119" s="52" t="str">
        <f>IF(A118="——","——",IF(H19="元",ROUND(D118/B125,0),ROUND(D118*10000/B125,0)))</f>
        <v>——</v>
      </c>
      <c r="E119" s="1389"/>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3" t="str">
        <f>IF(项目基本情况!G5="抵押净值",IF(OR(项目基本情况!F5="已注销",项目基本情况!F5="房地产抵押价值"),"4.抵押净值","5.抵押净值"),"——")</f>
        <v>——</v>
      </c>
      <c r="B120" s="3464"/>
      <c r="C120" s="2731" t="str">
        <f>B103</f>
        <v>总价（万元）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68"/>
      <c r="B121" s="3469"/>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4" t="s">
        <v>1672</v>
      </c>
      <c r="B122" s="3515"/>
      <c r="C122" s="3515"/>
      <c r="D122" s="3515"/>
      <c r="E122" s="3515"/>
      <c r="F122" s="3515"/>
      <c r="G122" s="3515"/>
      <c r="H122" s="3515"/>
      <c r="I122" s="3515"/>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8" t="s">
        <v>2551</v>
      </c>
      <c r="B123" s="3474" t="s">
        <v>2552</v>
      </c>
      <c r="C123" s="3474" t="s">
        <v>2558</v>
      </c>
      <c r="D123" s="3536" t="s">
        <v>2553</v>
      </c>
      <c r="E123" s="3537"/>
      <c r="F123" s="3449" t="s">
        <v>2559</v>
      </c>
      <c r="G123" s="3449"/>
      <c r="H123" s="3449" t="s">
        <v>2554</v>
      </c>
      <c r="I123" s="3535"/>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8"/>
      <c r="B124" s="3475"/>
      <c r="C124" s="3475"/>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8" t="s">
        <v>2557</v>
      </c>
      <c r="B126" s="3449"/>
      <c r="C126" s="3449"/>
      <c r="D126" s="3476" t="str">
        <f>IF(H19="元",NUMBERSTRING(INT(D125),2)&amp;"元整",NUMBERSTRING(INT(D125*10000),2)&amp;"元整")</f>
        <v>零元整</v>
      </c>
      <c r="E126" s="3519"/>
      <c r="F126" s="3476" t="str">
        <f>IF(H19="元",NUMBERSTRING(INT(F125),2)&amp;"元整",NUMBERSTRING(INT(F125*10000),2)&amp;"元整")</f>
        <v>零元整</v>
      </c>
      <c r="G126" s="3519"/>
      <c r="H126" s="3476" t="str">
        <f>IF(H19="元",NUMBERSTRING(INT(H125),2)&amp;"元整",NUMBERSTRING(INT(H125*10000),2)&amp;"元整")</f>
        <v>零元整</v>
      </c>
      <c r="I126" s="3477"/>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3" t="str">
        <f>IF(项目基本情况!D5="房地产市场价值","——",MID(A112,3,LEN(A112)-2))</f>
        <v>估价师所知悉的法定优先受偿款</v>
      </c>
      <c r="B127" s="3459"/>
      <c r="C127" s="3454"/>
      <c r="D127" s="3451">
        <f>I107</f>
        <v>0</v>
      </c>
      <c r="E127" s="3459"/>
      <c r="F127" s="3459"/>
      <c r="G127" s="3459"/>
      <c r="H127" s="3459"/>
      <c r="I127" s="3452"/>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20" t="s">
        <v>2557</v>
      </c>
      <c r="B128" s="3488"/>
      <c r="C128" s="3489"/>
      <c r="D128" s="3460">
        <f>H111</f>
        <v>0</v>
      </c>
      <c r="E128" s="3461"/>
      <c r="F128" s="3461"/>
      <c r="G128" s="3461"/>
      <c r="H128" s="3461"/>
      <c r="I128" s="3462"/>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3" t="str">
        <f>IF(项目基本情况!D5="房地产市场价值","——",MID(A116,3,LEN(A116)-2))</f>
        <v>房地产抵押价值</v>
      </c>
      <c r="B129" s="3464"/>
      <c r="C129" s="3464"/>
      <c r="D129" s="3451">
        <f>I112</f>
        <v>0</v>
      </c>
      <c r="E129" s="3459"/>
      <c r="F129" s="3459"/>
      <c r="G129" s="3459"/>
      <c r="H129" s="3459"/>
      <c r="I129" s="3452"/>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8" t="s">
        <v>2557</v>
      </c>
      <c r="B130" s="3449"/>
      <c r="C130" s="3449"/>
      <c r="D130" s="3460" t="e">
        <f>I113</f>
        <v>#DIV/0!</v>
      </c>
      <c r="E130" s="3461"/>
      <c r="F130" s="3461"/>
      <c r="G130" s="3461"/>
      <c r="H130" s="3461"/>
      <c r="I130" s="3462"/>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3" t="str">
        <f>IF(项目基本情况!D5="房地产市场价值","——",MID(A118,3,LEN(A118)-2))</f>
        <v/>
      </c>
      <c r="B131" s="3464"/>
      <c r="C131" s="3464"/>
      <c r="D131" s="3496" t="str">
        <f>I114</f>
        <v>——</v>
      </c>
      <c r="E131" s="3497"/>
      <c r="F131" s="3497"/>
      <c r="G131" s="3497"/>
      <c r="H131" s="3497"/>
      <c r="I131" s="3548"/>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8" t="s">
        <v>2557</v>
      </c>
      <c r="B132" s="3449"/>
      <c r="C132" s="3450"/>
      <c r="D132" s="3512" t="str">
        <f>I115</f>
        <v>——</v>
      </c>
      <c r="E132" s="3512"/>
      <c r="F132" s="3512"/>
      <c r="G132" s="3512"/>
      <c r="H132" s="3512"/>
      <c r="I132" s="3512"/>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3" t="str">
        <f>IF(项目基本情况!D5="房地产市场价值","——",MID(F116,3,LEN(F116)-2))</f>
        <v/>
      </c>
      <c r="B133" s="3464"/>
      <c r="C133" s="3451"/>
      <c r="D133" s="3467" t="str">
        <f>I116</f>
        <v>——</v>
      </c>
      <c r="E133" s="3467"/>
      <c r="F133" s="3467"/>
      <c r="G133" s="3467"/>
      <c r="H133" s="3467"/>
      <c r="I133" s="3467"/>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72" t="s">
        <v>2557</v>
      </c>
      <c r="B134" s="3473"/>
      <c r="C134" s="3473"/>
      <c r="D134" s="3478">
        <f>H118</f>
        <v>0</v>
      </c>
      <c r="E134" s="3479"/>
      <c r="F134" s="3479"/>
      <c r="G134" s="3479"/>
      <c r="H134" s="3479"/>
      <c r="I134" s="3480"/>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6" t="str">
        <f>IF(B33="总价","（以上估价结果中楼面单价为总价除以建筑面积得出）","（以上估价结果中总价为楼面单价乘以建筑面积得出）")</f>
        <v>（以上估价结果中总价为楼面单价乘以建筑面积得出）</v>
      </c>
      <c r="B136" s="3446"/>
      <c r="C136" s="3446"/>
      <c r="D136" s="3446"/>
      <c r="E136" s="3446"/>
      <c r="F136" s="3446"/>
      <c r="G136" s="3446"/>
      <c r="H136" s="3446"/>
      <c r="I136" s="3446"/>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672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18998</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3606879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ROUND(D9*[2]基准地价修正!$C$33,0)</f>
        <v>3445222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105079</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56578</v>
      </c>
      <c r="D8" s="1099"/>
      <c r="E8" s="115"/>
      <c r="F8" s="1098"/>
      <c r="G8" s="1446" t="s">
        <v>3080</v>
      </c>
    </row>
    <row r="9" spans="1:123" s="91" customFormat="1" ht="13.5" customHeight="1">
      <c r="A9" s="951" t="s">
        <v>763</v>
      </c>
      <c r="B9" s="97" t="s">
        <v>1689</v>
      </c>
      <c r="C9" s="1100">
        <f>ROUND(D9*E9,0)</f>
        <v>56578</v>
      </c>
      <c r="D9" s="1101">
        <f>IF('数据-取费表'!B10="住宅",IF(B1="仅计算典型户型",'数据-取费表'!E5,'数据-取费表'!B5),0)</f>
        <v>353.61</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353.61</v>
      </c>
      <c r="E19" s="111">
        <f>'数据-取费表'!E15</f>
        <v>200</v>
      </c>
      <c r="F19" s="112"/>
      <c r="G19" s="1446" t="s">
        <v>3081</v>
      </c>
    </row>
    <row r="20" spans="1:123" s="91" customFormat="1" ht="13.5" customHeight="1">
      <c r="A20" s="120" t="s">
        <v>1702</v>
      </c>
      <c r="B20" s="89" t="s">
        <v>1703</v>
      </c>
      <c r="C20" s="99">
        <f>ROUND((C5+C19)*F20,0)</f>
        <v>108206</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313885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309340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4545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743017</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743017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5176252</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1388804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1237635</v>
      </c>
      <c r="D34" s="1096"/>
      <c r="E34" s="115"/>
      <c r="F34" s="1107" t="str">
        <f>IF('数据-取费表'!B26=0,"",'数据-取费表'!E20)</f>
        <v/>
      </c>
      <c r="G34" s="95"/>
    </row>
    <row r="35" spans="1:123" ht="13.5" customHeight="1">
      <c r="A35" s="92" t="s">
        <v>1685</v>
      </c>
      <c r="B35" s="93" t="s">
        <v>1734</v>
      </c>
      <c r="C35" s="115">
        <f>ROUND(C34*F35,0)</f>
        <v>37129</v>
      </c>
      <c r="D35" s="115"/>
      <c r="E35" s="115"/>
      <c r="F35" s="1108">
        <f>'数据-取费表'!E21</f>
        <v>0.03</v>
      </c>
      <c r="G35" s="95" t="s">
        <v>1735</v>
      </c>
    </row>
    <row r="36" spans="1:123" ht="24">
      <c r="A36" s="92" t="s">
        <v>1687</v>
      </c>
      <c r="B36" s="93" t="s">
        <v>1736</v>
      </c>
      <c r="C36" s="115">
        <f>ROUND(IF('数据-取费表'!B10="住宅",C34*F36,0),0)</f>
        <v>24753</v>
      </c>
      <c r="D36" s="115"/>
      <c r="E36" s="115"/>
      <c r="F36" s="1108">
        <f>'数据-取费表'!E22</f>
        <v>0.02</v>
      </c>
      <c r="G36" s="123" t="s">
        <v>1737</v>
      </c>
    </row>
    <row r="37" spans="1:123" s="122" customFormat="1" ht="13.5" customHeight="1">
      <c r="A37" s="92" t="s">
        <v>1718</v>
      </c>
      <c r="B37" s="93" t="s">
        <v>1738</v>
      </c>
      <c r="C37" s="115">
        <f>ROUND(E37*D37,0)</f>
        <v>70722</v>
      </c>
      <c r="D37" s="1096">
        <f>IF(B1="仅计算典型户型",'数据-取费表'!E5,'数据-取费表'!B5)</f>
        <v>353.61</v>
      </c>
      <c r="E37" s="115">
        <f>'数据-取费表'!E23</f>
        <v>200</v>
      </c>
      <c r="F37" s="1108"/>
      <c r="G37" s="124" t="s">
        <v>1739</v>
      </c>
    </row>
    <row r="38" spans="1:123" ht="13.5" customHeight="1">
      <c r="A38" s="92" t="s">
        <v>1740</v>
      </c>
      <c r="B38" s="93" t="s">
        <v>1741</v>
      </c>
      <c r="C38" s="115">
        <f>ROUND(C34*F38,0)</f>
        <v>18565</v>
      </c>
      <c r="D38" s="115"/>
      <c r="E38" s="115"/>
      <c r="F38" s="1108">
        <f>'数据-取费表'!E24</f>
        <v>1.4999999999999999E-2</v>
      </c>
      <c r="G38" s="95" t="s">
        <v>1735</v>
      </c>
    </row>
    <row r="39" spans="1:123" s="91" customFormat="1" ht="13.5" customHeight="1">
      <c r="A39" s="120" t="s">
        <v>1700</v>
      </c>
      <c r="B39" s="89" t="s">
        <v>1703</v>
      </c>
      <c r="C39" s="99">
        <f>ROUND(C33*F20,0)</f>
        <v>41664</v>
      </c>
      <c r="D39" s="99"/>
      <c r="E39" s="99"/>
      <c r="F39" s="2800">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60080</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58330</v>
      </c>
      <c r="D42" s="104"/>
      <c r="E42" s="104"/>
      <c r="F42" s="105"/>
      <c r="G42" s="3585" t="s">
        <v>1745</v>
      </c>
    </row>
    <row r="43" spans="1:123" ht="13.5" customHeight="1">
      <c r="A43" s="92" t="s">
        <v>1685</v>
      </c>
      <c r="B43" s="93" t="s">
        <v>1714</v>
      </c>
      <c r="C43" s="104">
        <f ca="1">ROUND(IF('数据-取费表'!B24&lt;=1,C39*F22*'数据-取费表'!B23/2,C39*(POWER((1+F22),'数据-取费表'!B23/2)-1)),0)</f>
        <v>1750</v>
      </c>
      <c r="D43" s="104"/>
      <c r="E43" s="104"/>
      <c r="F43" s="105"/>
      <c r="G43" s="3586"/>
    </row>
    <row r="44" spans="1:123" ht="13.5" customHeight="1">
      <c r="A44" s="92" t="s">
        <v>1687</v>
      </c>
      <c r="B44" s="93" t="s">
        <v>1716</v>
      </c>
      <c r="C44" s="104">
        <f ca="1">ROUND(IF('数据-取费表'!B24&lt;=1,C40*F22*'数据-取费表'!B23/2,C40*(POWER((1+F22),'数据-取费表'!B23/2)-1)),4)</f>
        <v>8.0000000000000004E-4</v>
      </c>
      <c r="D44" s="104"/>
      <c r="E44" s="104"/>
      <c r="F44" s="105"/>
      <c r="G44" s="3587"/>
    </row>
    <row r="45" spans="1:123" s="91" customFormat="1" ht="13.5" customHeight="1">
      <c r="A45" s="120" t="s">
        <v>1709</v>
      </c>
      <c r="B45" s="110" t="s">
        <v>1721</v>
      </c>
      <c r="C45" s="111">
        <f>C46</f>
        <v>286094</v>
      </c>
      <c r="D45" s="101">
        <f>C47</f>
        <v>4.0000000000000001E-3</v>
      </c>
      <c r="E45" s="102" t="s">
        <v>1743</v>
      </c>
      <c r="F45" s="2801">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286094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0">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1927153</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1541722</v>
      </c>
      <c r="D51" s="99"/>
      <c r="E51" s="99"/>
      <c r="F51" s="126"/>
      <c r="G51" s="100" t="s">
        <v>1759</v>
      </c>
    </row>
    <row r="52" spans="1:123" s="88" customFormat="1" ht="16.5" thickBot="1">
      <c r="A52" s="127" t="s">
        <v>1760</v>
      </c>
      <c r="B52" s="128"/>
      <c r="C52" s="129">
        <f ca="1">C31+C51</f>
        <v>6717974</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0.22900000000000001</v>
      </c>
    </row>
    <row r="57" spans="1:123">
      <c r="B57" s="135" t="s">
        <v>1763</v>
      </c>
      <c r="C57" s="137">
        <f ca="1">1-C56</f>
        <v>0.77100000000000002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6</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-56578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-56578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-1697</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-11655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-11655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56633</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f>IF(D2="——",IF(C2="元",ROUND(C50*D3,0),ROUND(C50*D3/10000,0)),IF(C2="元",ROUND(C50*D3,0),ROUND(C50*D3/10000,0))-E2)</f>
        <v>1289</v>
      </c>
      <c r="C2" s="1579" t="str">
        <f>'数据-取费表'!B3</f>
        <v>万元</v>
      </c>
      <c r="D2" s="1580" t="s">
        <v>1001</v>
      </c>
      <c r="E2" s="2404" t="e">
        <f ca="1">SUMIF(INDIRECT("'"&amp;G2&amp;"'"&amp;"!A:A"),"承租人权益价值",INDIRECT("'"&amp;G2&amp;"'"&amp;"!c:c"))</f>
        <v>#REF!</v>
      </c>
      <c r="F2" s="1582" t="str">
        <f>C2</f>
        <v>万元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f>ROUND(IF(D2="——",C50,IF(C2="万元",B2*10000/D3,B2/D3)),0)</f>
        <v>36439</v>
      </c>
      <c r="C3" s="1588" t="s">
        <v>2005</v>
      </c>
      <c r="D3" s="1588">
        <f>IF(C1="仅计算典型户型",'数据-取费表'!E5,'数据-取费表'!B5)</f>
        <v>353.61</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610" t="s">
        <v>2007</v>
      </c>
      <c r="D4" s="3611"/>
      <c r="E4" s="3612" t="s">
        <v>2008</v>
      </c>
      <c r="F4" s="3613"/>
      <c r="G4" s="3610" t="s">
        <v>2009</v>
      </c>
      <c r="H4" s="3611"/>
      <c r="I4" s="3610" t="s">
        <v>2010</v>
      </c>
      <c r="J4" s="3611"/>
      <c r="K4" s="1892" t="s">
        <v>2011</v>
      </c>
      <c r="L4" s="2909"/>
      <c r="M4" s="2910"/>
      <c r="N4" s="2910"/>
      <c r="O4" s="2910"/>
      <c r="P4" s="3614" t="s">
        <v>2012</v>
      </c>
      <c r="Q4" s="3615"/>
      <c r="R4" s="3598" t="s">
        <v>2008</v>
      </c>
      <c r="S4" s="3599"/>
      <c r="T4" s="3598" t="s">
        <v>2009</v>
      </c>
      <c r="U4" s="3599"/>
      <c r="V4" s="3620" t="s">
        <v>2010</v>
      </c>
      <c r="W4" s="3620"/>
      <c r="X4" s="2001"/>
      <c r="Y4" s="3598" t="s">
        <v>2012</v>
      </c>
      <c r="Z4" s="3599"/>
      <c r="AA4" s="3607" t="s">
        <v>2008</v>
      </c>
      <c r="AB4" s="3607" t="s">
        <v>2009</v>
      </c>
      <c r="AC4" s="3607" t="s">
        <v>2010</v>
      </c>
    </row>
    <row r="5" spans="1:29" ht="15">
      <c r="A5" s="1596"/>
      <c r="B5" s="1597"/>
      <c r="C5" s="3623" t="s">
        <v>3079</v>
      </c>
      <c r="D5" s="3624"/>
      <c r="E5" s="3621" t="str">
        <f>C5</f>
        <v>亿城中心</v>
      </c>
      <c r="F5" s="3622"/>
      <c r="G5" s="3627" t="str">
        <f>E5</f>
        <v>亿城中心</v>
      </c>
      <c r="H5" s="3624"/>
      <c r="I5" s="3627" t="str">
        <f>G5</f>
        <v>亿城中心</v>
      </c>
      <c r="J5" s="3624"/>
      <c r="K5" s="1892"/>
      <c r="L5" s="2909"/>
      <c r="M5" s="2910"/>
      <c r="N5" s="2910"/>
      <c r="O5" s="2910"/>
      <c r="P5" s="3616"/>
      <c r="Q5" s="3617"/>
      <c r="R5" s="3600"/>
      <c r="S5" s="3601"/>
      <c r="T5" s="3600"/>
      <c r="U5" s="3601"/>
      <c r="V5" s="3620"/>
      <c r="W5" s="3620"/>
      <c r="X5" s="2001"/>
      <c r="Y5" s="3600"/>
      <c r="Z5" s="3601"/>
      <c r="AA5" s="3608"/>
      <c r="AB5" s="3608"/>
      <c r="AC5" s="3608"/>
    </row>
    <row r="6" spans="1:29" ht="15.75" thickBot="1">
      <c r="A6" s="1599"/>
      <c r="B6" s="1600"/>
      <c r="C6" s="3625" t="s">
        <v>2017</v>
      </c>
      <c r="D6" s="3626"/>
      <c r="E6" s="3628" t="s">
        <v>2017</v>
      </c>
      <c r="F6" s="3629"/>
      <c r="G6" s="3625" t="s">
        <v>2017</v>
      </c>
      <c r="H6" s="3626"/>
      <c r="I6" s="3625" t="s">
        <v>2017</v>
      </c>
      <c r="J6" s="3626"/>
      <c r="K6" s="1892" t="s">
        <v>2018</v>
      </c>
      <c r="L6" s="2909"/>
      <c r="M6" s="2910"/>
      <c r="N6" s="2910"/>
      <c r="O6" s="2910"/>
      <c r="P6" s="3618"/>
      <c r="Q6" s="3619"/>
      <c r="R6" s="3600"/>
      <c r="S6" s="3601"/>
      <c r="T6" s="3602"/>
      <c r="U6" s="3603"/>
      <c r="V6" s="3620"/>
      <c r="W6" s="3620"/>
      <c r="X6" s="2001"/>
      <c r="Y6" s="3602"/>
      <c r="Z6" s="3603"/>
      <c r="AA6" s="3609"/>
      <c r="AB6" s="3609"/>
      <c r="AC6" s="3609"/>
    </row>
    <row r="7" spans="1:29" s="1613" customFormat="1" ht="15.75" thickBot="1">
      <c r="A7" s="1601" t="s">
        <v>2019</v>
      </c>
      <c r="B7" s="1602"/>
      <c r="C7" s="1603">
        <f>'数据-取费表'!B2</f>
        <v>44725</v>
      </c>
      <c r="D7" s="1604">
        <v>100</v>
      </c>
      <c r="E7" s="1605">
        <v>44713</v>
      </c>
      <c r="F7" s="1606">
        <f>SUMIF(59:59,YEAR(E7)&amp;"-"&amp;MONTH(E7),60:60)</f>
        <v>100</v>
      </c>
      <c r="G7" s="1893">
        <v>44713</v>
      </c>
      <c r="H7" s="1604">
        <f>SUMIF(59:59,YEAR(G7)&amp;"-"&amp;MONTH(G7),60:60)</f>
        <v>100</v>
      </c>
      <c r="I7" s="1893">
        <v>44713</v>
      </c>
      <c r="J7" s="1604">
        <f>SUMIF(59:59,YEAR(I7)&amp;"-"&amp;MONTH(I7),60:60)</f>
        <v>100</v>
      </c>
      <c r="K7" s="1894"/>
      <c r="L7" s="2909"/>
      <c r="M7" s="2882"/>
      <c r="N7" s="2882"/>
      <c r="O7" s="2882"/>
      <c r="P7" s="3596" t="s">
        <v>2020</v>
      </c>
      <c r="Q7" s="3604"/>
      <c r="R7" s="1609" t="s">
        <v>25</v>
      </c>
      <c r="S7" s="1610">
        <f t="shared" ref="S7:S15" si="0">F7</f>
        <v>100</v>
      </c>
      <c r="T7" s="1609" t="s">
        <v>25</v>
      </c>
      <c r="U7" s="1610">
        <f t="shared" ref="U7:U15" si="1">H7</f>
        <v>100</v>
      </c>
      <c r="V7" s="1609" t="s">
        <v>25</v>
      </c>
      <c r="W7" s="1610">
        <f t="shared" ref="W7:W15" si="2">J7</f>
        <v>100</v>
      </c>
      <c r="X7" s="1611"/>
      <c r="Y7" s="3596" t="s">
        <v>2020</v>
      </c>
      <c r="Z7" s="3597"/>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96" t="s">
        <v>2023</v>
      </c>
      <c r="Q8" s="3597"/>
      <c r="R8" s="1609" t="s">
        <v>25</v>
      </c>
      <c r="S8" s="1610">
        <f t="shared" si="0"/>
        <v>100</v>
      </c>
      <c r="T8" s="1609" t="s">
        <v>25</v>
      </c>
      <c r="U8" s="1610">
        <f t="shared" si="1"/>
        <v>100</v>
      </c>
      <c r="V8" s="1609" t="s">
        <v>25</v>
      </c>
      <c r="W8" s="1610">
        <f t="shared" si="2"/>
        <v>100</v>
      </c>
      <c r="X8" s="1611"/>
      <c r="Y8" s="3596" t="s">
        <v>2023</v>
      </c>
      <c r="Z8" s="3597"/>
      <c r="AA8" s="1612">
        <f t="shared" ref="AA8:AA47" si="3">D8/F8</f>
        <v>1</v>
      </c>
      <c r="AB8" s="1612">
        <f t="shared" ref="AB8:AB47" si="4">D8/H8</f>
        <v>1</v>
      </c>
      <c r="AC8" s="1612">
        <f t="shared" ref="AC8:AC47" si="5">D8/J8</f>
        <v>1</v>
      </c>
    </row>
    <row r="9" spans="1:29" s="1613" customFormat="1">
      <c r="A9" s="1993" t="s">
        <v>2024</v>
      </c>
      <c r="B9" s="1616" t="s">
        <v>2025</v>
      </c>
      <c r="C9" s="3335"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88" t="s">
        <v>2026</v>
      </c>
      <c r="Q9" s="2827"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88"/>
      <c r="Q10" s="2827" t="str">
        <f t="shared" si="6"/>
        <v>土地使用年限（年）</v>
      </c>
      <c r="R10" s="1609" t="s">
        <v>25</v>
      </c>
      <c r="S10" s="1610">
        <f t="shared" si="0"/>
        <v>100</v>
      </c>
      <c r="T10" s="1609" t="s">
        <v>25</v>
      </c>
      <c r="U10" s="1610">
        <f t="shared" si="1"/>
        <v>100</v>
      </c>
      <c r="V10" s="1609" t="s">
        <v>25</v>
      </c>
      <c r="W10" s="1610">
        <f t="shared" si="2"/>
        <v>100</v>
      </c>
      <c r="X10" s="1611"/>
      <c r="Y10" s="348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88"/>
      <c r="Q11" s="2827" t="str">
        <f t="shared" si="6"/>
        <v>容积率</v>
      </c>
      <c r="R11" s="1609" t="s">
        <v>25</v>
      </c>
      <c r="S11" s="1610">
        <f t="shared" si="0"/>
        <v>100</v>
      </c>
      <c r="T11" s="1609" t="s">
        <v>25</v>
      </c>
      <c r="U11" s="1610">
        <f t="shared" si="1"/>
        <v>100</v>
      </c>
      <c r="V11" s="1609" t="s">
        <v>25</v>
      </c>
      <c r="W11" s="1610">
        <f t="shared" si="2"/>
        <v>100</v>
      </c>
      <c r="X11" s="1611"/>
      <c r="Y11" s="348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88"/>
      <c r="Q12" s="2827">
        <f t="shared" si="6"/>
        <v>111</v>
      </c>
      <c r="R12" s="1609" t="s">
        <v>25</v>
      </c>
      <c r="S12" s="1610">
        <f t="shared" si="0"/>
        <v>100</v>
      </c>
      <c r="T12" s="1609" t="s">
        <v>25</v>
      </c>
      <c r="U12" s="1610">
        <f t="shared" si="1"/>
        <v>100</v>
      </c>
      <c r="V12" s="1609" t="s">
        <v>25</v>
      </c>
      <c r="W12" s="1610">
        <f t="shared" si="2"/>
        <v>100</v>
      </c>
      <c r="X12" s="1611"/>
      <c r="Y12" s="348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88"/>
      <c r="Q13" s="2827">
        <f t="shared" si="6"/>
        <v>111</v>
      </c>
      <c r="R13" s="1609" t="s">
        <v>25</v>
      </c>
      <c r="S13" s="1610">
        <f t="shared" si="0"/>
        <v>100</v>
      </c>
      <c r="T13" s="1609" t="s">
        <v>25</v>
      </c>
      <c r="U13" s="1610">
        <f t="shared" si="1"/>
        <v>100</v>
      </c>
      <c r="V13" s="1609" t="s">
        <v>25</v>
      </c>
      <c r="W13" s="1610">
        <f t="shared" si="2"/>
        <v>100</v>
      </c>
      <c r="X13" s="1611"/>
      <c r="Y13" s="3481"/>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88"/>
      <c r="Q14" s="2827">
        <f t="shared" si="6"/>
        <v>111</v>
      </c>
      <c r="R14" s="1609" t="s">
        <v>25</v>
      </c>
      <c r="S14" s="1610">
        <f t="shared" si="0"/>
        <v>100</v>
      </c>
      <c r="T14" s="1609" t="s">
        <v>25</v>
      </c>
      <c r="U14" s="1610">
        <f t="shared" si="1"/>
        <v>100</v>
      </c>
      <c r="V14" s="1609" t="s">
        <v>25</v>
      </c>
      <c r="W14" s="1610">
        <f t="shared" si="2"/>
        <v>100</v>
      </c>
      <c r="X14" s="1611"/>
      <c r="Y14" s="3481"/>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605" t="s">
        <v>2031</v>
      </c>
      <c r="Q15" s="2828" t="str">
        <f t="shared" si="6"/>
        <v>办公集聚程度</v>
      </c>
      <c r="R15" s="1654" t="s">
        <v>25</v>
      </c>
      <c r="S15" s="1655">
        <f t="shared" si="0"/>
        <v>100</v>
      </c>
      <c r="T15" s="1654" t="s">
        <v>25</v>
      </c>
      <c r="U15" s="1655">
        <f t="shared" si="1"/>
        <v>100</v>
      </c>
      <c r="V15" s="1654" t="s">
        <v>25</v>
      </c>
      <c r="W15" s="1655">
        <f t="shared" si="2"/>
        <v>100</v>
      </c>
      <c r="X15" s="2001"/>
      <c r="Y15" s="3605"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606"/>
      <c r="Q16" s="2828"/>
      <c r="R16" s="1654"/>
      <c r="S16" s="1655"/>
      <c r="T16" s="1654"/>
      <c r="U16" s="1655"/>
      <c r="V16" s="1654"/>
      <c r="W16" s="1655"/>
      <c r="X16" s="2001"/>
      <c r="Y16" s="3606"/>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606"/>
      <c r="Q17" s="2828" t="str">
        <f>B17</f>
        <v>交通便捷度</v>
      </c>
      <c r="R17" s="1654" t="s">
        <v>25</v>
      </c>
      <c r="S17" s="1655">
        <f>F17</f>
        <v>100</v>
      </c>
      <c r="T17" s="1654" t="s">
        <v>25</v>
      </c>
      <c r="U17" s="1655">
        <f>H17</f>
        <v>100</v>
      </c>
      <c r="V17" s="1654" t="s">
        <v>25</v>
      </c>
      <c r="W17" s="1655">
        <f>J17</f>
        <v>100</v>
      </c>
      <c r="X17" s="2001"/>
      <c r="Y17" s="3606"/>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606"/>
      <c r="Q18" s="2828"/>
      <c r="R18" s="1654"/>
      <c r="S18" s="1655"/>
      <c r="T18" s="1654"/>
      <c r="U18" s="1655"/>
      <c r="V18" s="1654"/>
      <c r="W18" s="1655"/>
      <c r="X18" s="2001"/>
      <c r="Y18" s="3606"/>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606"/>
      <c r="Q19" s="2828" t="str">
        <f>B19</f>
        <v>公共配套设施</v>
      </c>
      <c r="R19" s="1654" t="s">
        <v>25</v>
      </c>
      <c r="S19" s="1655">
        <f>F19</f>
        <v>100</v>
      </c>
      <c r="T19" s="1654" t="s">
        <v>25</v>
      </c>
      <c r="U19" s="1655">
        <f>H19</f>
        <v>100</v>
      </c>
      <c r="V19" s="1654" t="s">
        <v>25</v>
      </c>
      <c r="W19" s="1655">
        <f>J19</f>
        <v>100</v>
      </c>
      <c r="X19" s="2001"/>
      <c r="Y19" s="3606"/>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606"/>
      <c r="Q20" s="2828"/>
      <c r="R20" s="1654"/>
      <c r="S20" s="1655"/>
      <c r="T20" s="1654"/>
      <c r="U20" s="1655"/>
      <c r="V20" s="1654"/>
      <c r="W20" s="1655"/>
      <c r="X20" s="2001"/>
      <c r="Y20" s="3606"/>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606"/>
      <c r="Q21" s="2828" t="str">
        <f>B21</f>
        <v>基础设施水平</v>
      </c>
      <c r="R21" s="1654" t="s">
        <v>25</v>
      </c>
      <c r="S21" s="1655">
        <f>F21</f>
        <v>100</v>
      </c>
      <c r="T21" s="1654" t="s">
        <v>25</v>
      </c>
      <c r="U21" s="1655">
        <f>H21</f>
        <v>100</v>
      </c>
      <c r="V21" s="1654" t="s">
        <v>25</v>
      </c>
      <c r="W21" s="1655">
        <f>J21</f>
        <v>100</v>
      </c>
      <c r="X21" s="2001"/>
      <c r="Y21" s="3606"/>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606"/>
      <c r="Q22" s="2828"/>
      <c r="R22" s="1654"/>
      <c r="S22" s="1655"/>
      <c r="T22" s="1654"/>
      <c r="U22" s="1655"/>
      <c r="V22" s="1654"/>
      <c r="W22" s="1655"/>
      <c r="X22" s="2001"/>
      <c r="Y22" s="3606"/>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606"/>
      <c r="Q23" s="2828" t="str">
        <f>B23</f>
        <v>环境质量</v>
      </c>
      <c r="R23" s="1654" t="s">
        <v>25</v>
      </c>
      <c r="S23" s="1655">
        <f>F23</f>
        <v>100</v>
      </c>
      <c r="T23" s="1654" t="s">
        <v>25</v>
      </c>
      <c r="U23" s="1655">
        <f>H23</f>
        <v>100</v>
      </c>
      <c r="V23" s="1654" t="s">
        <v>25</v>
      </c>
      <c r="W23" s="1655">
        <f>J23</f>
        <v>100</v>
      </c>
      <c r="X23" s="2001"/>
      <c r="Y23" s="3606"/>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606"/>
      <c r="Q24" s="2828"/>
      <c r="R24" s="1654"/>
      <c r="S24" s="1655"/>
      <c r="T24" s="1654"/>
      <c r="U24" s="1655"/>
      <c r="V24" s="1654"/>
      <c r="W24" s="1655"/>
      <c r="X24" s="2001"/>
      <c r="Y24" s="3606"/>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606"/>
      <c r="Q25" s="2828" t="str">
        <f>B25</f>
        <v>毗邻道路的类型与等级</v>
      </c>
      <c r="R25" s="1654" t="s">
        <v>25</v>
      </c>
      <c r="S25" s="1655">
        <f>F25</f>
        <v>100</v>
      </c>
      <c r="T25" s="1654" t="s">
        <v>25</v>
      </c>
      <c r="U25" s="1655">
        <f>H25</f>
        <v>100</v>
      </c>
      <c r="V25" s="1654" t="s">
        <v>25</v>
      </c>
      <c r="W25" s="1655">
        <f>J25</f>
        <v>100</v>
      </c>
      <c r="X25" s="2001"/>
      <c r="Y25" s="3606"/>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606"/>
      <c r="Q26" s="2828"/>
      <c r="R26" s="1654"/>
      <c r="S26" s="1655"/>
      <c r="T26" s="1654"/>
      <c r="U26" s="1655"/>
      <c r="V26" s="1654"/>
      <c r="W26" s="1655"/>
      <c r="X26" s="2001"/>
      <c r="Y26" s="3606"/>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606"/>
      <c r="Q27" s="2828" t="str">
        <f t="shared" ref="Q27:Q47" si="11">B27</f>
        <v>楼层</v>
      </c>
      <c r="R27" s="1654" t="s">
        <v>25</v>
      </c>
      <c r="S27" s="1655">
        <f>F27</f>
        <v>101</v>
      </c>
      <c r="T27" s="1654" t="s">
        <v>25</v>
      </c>
      <c r="U27" s="1655">
        <f>H27</f>
        <v>102</v>
      </c>
      <c r="V27" s="1654" t="s">
        <v>25</v>
      </c>
      <c r="W27" s="1655">
        <f>J27</f>
        <v>101</v>
      </c>
      <c r="X27" s="2001"/>
      <c r="Y27" s="3606"/>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606"/>
      <c r="Q28" s="2827" t="str">
        <f t="shared" si="11"/>
        <v>朝向</v>
      </c>
      <c r="R28" s="1609" t="s">
        <v>25</v>
      </c>
      <c r="S28" s="1610">
        <f>F28</f>
        <v>100</v>
      </c>
      <c r="T28" s="1609" t="s">
        <v>25</v>
      </c>
      <c r="U28" s="1610">
        <f>H28</f>
        <v>100</v>
      </c>
      <c r="V28" s="1609" t="s">
        <v>25</v>
      </c>
      <c r="W28" s="1610">
        <f>J28</f>
        <v>100</v>
      </c>
      <c r="X28" s="1611"/>
      <c r="Y28" s="3606"/>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606"/>
      <c r="Q29" s="2828">
        <f t="shared" si="11"/>
        <v>111</v>
      </c>
      <c r="R29" s="1654" t="s">
        <v>25</v>
      </c>
      <c r="S29" s="1655">
        <f t="shared" ref="S29:S47" si="12">F29</f>
        <v>100</v>
      </c>
      <c r="T29" s="1654" t="s">
        <v>25</v>
      </c>
      <c r="U29" s="1655">
        <f t="shared" ref="U29:U47" si="13">H29</f>
        <v>100</v>
      </c>
      <c r="V29" s="1654" t="s">
        <v>25</v>
      </c>
      <c r="W29" s="1655">
        <f t="shared" ref="W29:W47" si="14">J29</f>
        <v>100</v>
      </c>
      <c r="X29" s="2001"/>
      <c r="Y29" s="3606"/>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606"/>
      <c r="Q30" s="2828">
        <f t="shared" si="11"/>
        <v>111</v>
      </c>
      <c r="R30" s="1654" t="s">
        <v>25</v>
      </c>
      <c r="S30" s="1655">
        <f t="shared" si="12"/>
        <v>100</v>
      </c>
      <c r="T30" s="1654" t="s">
        <v>25</v>
      </c>
      <c r="U30" s="1655">
        <f t="shared" si="13"/>
        <v>100</v>
      </c>
      <c r="V30" s="1654" t="s">
        <v>25</v>
      </c>
      <c r="W30" s="1655">
        <f t="shared" si="14"/>
        <v>100</v>
      </c>
      <c r="X30" s="2001"/>
      <c r="Y30" s="3606"/>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606"/>
      <c r="Q31" s="2828">
        <f t="shared" si="11"/>
        <v>111</v>
      </c>
      <c r="R31" s="1654" t="s">
        <v>25</v>
      </c>
      <c r="S31" s="1655">
        <f t="shared" si="12"/>
        <v>100</v>
      </c>
      <c r="T31" s="1654" t="s">
        <v>25</v>
      </c>
      <c r="U31" s="1655">
        <f t="shared" si="13"/>
        <v>100</v>
      </c>
      <c r="V31" s="1654" t="s">
        <v>25</v>
      </c>
      <c r="W31" s="1655">
        <f t="shared" si="14"/>
        <v>100</v>
      </c>
      <c r="X31" s="2001"/>
      <c r="Y31" s="3606"/>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606"/>
      <c r="Q32" s="2828">
        <f t="shared" si="11"/>
        <v>111</v>
      </c>
      <c r="R32" s="1654" t="s">
        <v>25</v>
      </c>
      <c r="S32" s="1655">
        <f t="shared" si="12"/>
        <v>100</v>
      </c>
      <c r="T32" s="1654" t="s">
        <v>25</v>
      </c>
      <c r="U32" s="1655">
        <f t="shared" si="13"/>
        <v>100</v>
      </c>
      <c r="V32" s="1654" t="s">
        <v>25</v>
      </c>
      <c r="W32" s="1655">
        <f t="shared" si="14"/>
        <v>100</v>
      </c>
      <c r="X32" s="2001"/>
      <c r="Y32" s="3606"/>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593" t="s">
        <v>2037</v>
      </c>
      <c r="Q33" s="2828" t="str">
        <f t="shared" si="11"/>
        <v>建筑类型</v>
      </c>
      <c r="R33" s="1654" t="s">
        <v>25</v>
      </c>
      <c r="S33" s="1655">
        <f t="shared" si="12"/>
        <v>100</v>
      </c>
      <c r="T33" s="1654" t="s">
        <v>25</v>
      </c>
      <c r="U33" s="1655">
        <f t="shared" si="13"/>
        <v>100</v>
      </c>
      <c r="V33" s="1654" t="s">
        <v>25</v>
      </c>
      <c r="W33" s="1655">
        <f t="shared" si="14"/>
        <v>100</v>
      </c>
      <c r="X33" s="2001"/>
      <c r="Y33" s="3594" t="s">
        <v>2037</v>
      </c>
      <c r="Z33" s="2005" t="str">
        <f t="shared" si="15"/>
        <v>建筑类型</v>
      </c>
      <c r="AA33" s="1996">
        <f t="shared" si="3"/>
        <v>1</v>
      </c>
      <c r="AB33" s="1996">
        <f t="shared" si="4"/>
        <v>1</v>
      </c>
      <c r="AC33" s="1996">
        <f t="shared" si="5"/>
        <v>1</v>
      </c>
    </row>
    <row r="34" spans="1:29" s="1700" customFormat="1" ht="15">
      <c r="A34" s="1693"/>
      <c r="B34" s="1624" t="s">
        <v>2038</v>
      </c>
      <c r="C34" s="357">
        <f>'[3]数据-取费表'!B5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594"/>
      <c r="Q34" s="1695" t="str">
        <f t="shared" si="11"/>
        <v>项目建筑规模</v>
      </c>
      <c r="R34" s="1696" t="s">
        <v>25</v>
      </c>
      <c r="S34" s="1697">
        <f t="shared" si="12"/>
        <v>100</v>
      </c>
      <c r="T34" s="1696" t="s">
        <v>25</v>
      </c>
      <c r="U34" s="1697">
        <f t="shared" si="13"/>
        <v>99</v>
      </c>
      <c r="V34" s="1696" t="s">
        <v>25</v>
      </c>
      <c r="W34" s="1697">
        <f t="shared" si="14"/>
        <v>99</v>
      </c>
      <c r="X34" s="1698"/>
      <c r="Y34" s="3594"/>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594"/>
      <c r="Q35" s="2828" t="str">
        <f t="shared" si="11"/>
        <v>建筑结构</v>
      </c>
      <c r="R35" s="1654" t="s">
        <v>25</v>
      </c>
      <c r="S35" s="1655">
        <f t="shared" si="12"/>
        <v>100</v>
      </c>
      <c r="T35" s="1654" t="s">
        <v>25</v>
      </c>
      <c r="U35" s="1655">
        <f t="shared" si="13"/>
        <v>100</v>
      </c>
      <c r="V35" s="1654" t="s">
        <v>25</v>
      </c>
      <c r="W35" s="1655">
        <f t="shared" si="14"/>
        <v>100</v>
      </c>
      <c r="X35" s="2001"/>
      <c r="Y35" s="3594"/>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594"/>
      <c r="Q36" s="2828" t="str">
        <f t="shared" si="11"/>
        <v>公共部分装修</v>
      </c>
      <c r="R36" s="1654" t="s">
        <v>25</v>
      </c>
      <c r="S36" s="1655">
        <f t="shared" si="12"/>
        <v>100</v>
      </c>
      <c r="T36" s="1654" t="s">
        <v>25</v>
      </c>
      <c r="U36" s="1655">
        <f t="shared" si="13"/>
        <v>100</v>
      </c>
      <c r="V36" s="1654" t="s">
        <v>25</v>
      </c>
      <c r="W36" s="1655">
        <f t="shared" si="14"/>
        <v>100</v>
      </c>
      <c r="X36" s="2001"/>
      <c r="Y36" s="3594"/>
      <c r="Z36" s="2005" t="str">
        <f t="shared" si="15"/>
        <v>公共部分装修</v>
      </c>
      <c r="AA36" s="1996">
        <f t="shared" si="3"/>
        <v>1</v>
      </c>
      <c r="AB36" s="1996">
        <f t="shared" si="4"/>
        <v>1</v>
      </c>
      <c r="AC36" s="1996">
        <f t="shared" si="5"/>
        <v>1</v>
      </c>
    </row>
    <row r="37" spans="1:29" ht="15">
      <c r="A37" s="1701"/>
      <c r="B37" s="1624" t="s">
        <v>2125</v>
      </c>
      <c r="C37" s="362">
        <f>'数据-取费表'!E20</f>
        <v>0.8</v>
      </c>
      <c r="D37" s="1640">
        <v>100</v>
      </c>
      <c r="E37" s="1705">
        <f>C37</f>
        <v>0.8</v>
      </c>
      <c r="F37" s="1683">
        <f>LOOKUP(E37,111:111,112:112)-LOOKUP(C37,111:111,112:112)+100</f>
        <v>100</v>
      </c>
      <c r="G37" s="1705">
        <f>E37</f>
        <v>0.8</v>
      </c>
      <c r="H37" s="1683">
        <f>LOOKUP(G37,111:111,112:112)-LOOKUP(C37,111:111,112:112)+100</f>
        <v>100</v>
      </c>
      <c r="I37" s="1705">
        <f>G37</f>
        <v>0.8</v>
      </c>
      <c r="J37" s="1640">
        <f>LOOKUP(I37,111:111,112:112)-LOOKUP(C37,111:111,112:112)+100</f>
        <v>100</v>
      </c>
      <c r="K37" s="1919">
        <v>1</v>
      </c>
      <c r="L37" s="2914"/>
      <c r="M37" s="2910"/>
      <c r="N37" s="2910"/>
      <c r="O37" s="2910"/>
      <c r="P37" s="3594"/>
      <c r="Q37" s="2828" t="str">
        <f t="shared" si="11"/>
        <v>成新度</v>
      </c>
      <c r="R37" s="1654" t="s">
        <v>25</v>
      </c>
      <c r="S37" s="1655">
        <f t="shared" si="12"/>
        <v>100</v>
      </c>
      <c r="T37" s="1654" t="s">
        <v>25</v>
      </c>
      <c r="U37" s="1655">
        <f t="shared" si="13"/>
        <v>100</v>
      </c>
      <c r="V37" s="1654" t="s">
        <v>25</v>
      </c>
      <c r="W37" s="1655">
        <f t="shared" si="14"/>
        <v>100</v>
      </c>
      <c r="X37" s="2001"/>
      <c r="Y37" s="3594"/>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594"/>
      <c r="Q38" s="2827" t="str">
        <f t="shared" si="11"/>
        <v>写字楼等级</v>
      </c>
      <c r="R38" s="1609" t="s">
        <v>25</v>
      </c>
      <c r="S38" s="1610">
        <f t="shared" si="12"/>
        <v>100</v>
      </c>
      <c r="T38" s="1609" t="s">
        <v>25</v>
      </c>
      <c r="U38" s="1610">
        <f t="shared" si="13"/>
        <v>100</v>
      </c>
      <c r="V38" s="1609" t="s">
        <v>25</v>
      </c>
      <c r="W38" s="1610">
        <f t="shared" si="14"/>
        <v>100</v>
      </c>
      <c r="X38" s="1611"/>
      <c r="Y38" s="3594"/>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594" t="s">
        <v>2037</v>
      </c>
      <c r="Q39" s="2828" t="str">
        <f t="shared" si="11"/>
        <v>物业管理</v>
      </c>
      <c r="R39" s="1654" t="s">
        <v>25</v>
      </c>
      <c r="S39" s="1655">
        <f t="shared" si="12"/>
        <v>100</v>
      </c>
      <c r="T39" s="1654" t="s">
        <v>25</v>
      </c>
      <c r="U39" s="1655">
        <f t="shared" si="13"/>
        <v>100</v>
      </c>
      <c r="V39" s="1654" t="s">
        <v>25</v>
      </c>
      <c r="W39" s="1655">
        <f t="shared" si="14"/>
        <v>100</v>
      </c>
      <c r="X39" s="2001"/>
      <c r="Y39" s="3594"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594"/>
      <c r="Q40" s="2828" t="str">
        <f t="shared" si="11"/>
        <v>市政基础设施</v>
      </c>
      <c r="R40" s="1654" t="s">
        <v>25</v>
      </c>
      <c r="S40" s="1655">
        <f t="shared" si="12"/>
        <v>100</v>
      </c>
      <c r="T40" s="1654" t="s">
        <v>25</v>
      </c>
      <c r="U40" s="1655">
        <f t="shared" si="13"/>
        <v>100</v>
      </c>
      <c r="V40" s="1654" t="s">
        <v>25</v>
      </c>
      <c r="W40" s="1655">
        <f t="shared" si="14"/>
        <v>100</v>
      </c>
      <c r="X40" s="2001"/>
      <c r="Y40" s="3594"/>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594"/>
      <c r="Q41" s="2828" t="str">
        <f t="shared" si="11"/>
        <v>层高</v>
      </c>
      <c r="R41" s="1654" t="s">
        <v>25</v>
      </c>
      <c r="S41" s="1655">
        <f t="shared" si="12"/>
        <v>100</v>
      </c>
      <c r="T41" s="1654" t="s">
        <v>25</v>
      </c>
      <c r="U41" s="1655">
        <f t="shared" si="13"/>
        <v>100</v>
      </c>
      <c r="V41" s="1654" t="s">
        <v>25</v>
      </c>
      <c r="W41" s="1655">
        <f t="shared" si="14"/>
        <v>100</v>
      </c>
      <c r="X41" s="2001"/>
      <c r="Y41" s="3594"/>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594"/>
      <c r="Q42" s="1695" t="str">
        <f t="shared" si="11"/>
        <v>单套建筑面积</v>
      </c>
      <c r="R42" s="1696" t="s">
        <v>25</v>
      </c>
      <c r="S42" s="1697">
        <f t="shared" si="12"/>
        <v>100</v>
      </c>
      <c r="T42" s="1696" t="s">
        <v>25</v>
      </c>
      <c r="U42" s="1697">
        <f t="shared" si="13"/>
        <v>100</v>
      </c>
      <c r="V42" s="1696" t="s">
        <v>25</v>
      </c>
      <c r="W42" s="1697">
        <f t="shared" si="14"/>
        <v>100</v>
      </c>
      <c r="X42" s="1698"/>
      <c r="Y42" s="3594"/>
      <c r="Z42" s="1699" t="str">
        <f t="shared" si="15"/>
        <v>单套建筑面积</v>
      </c>
      <c r="AA42" s="1996">
        <f t="shared" si="3"/>
        <v>1</v>
      </c>
      <c r="AB42" s="1996">
        <f t="shared" si="4"/>
        <v>1</v>
      </c>
      <c r="AC42" s="1996">
        <f t="shared" si="5"/>
        <v>1</v>
      </c>
    </row>
    <row r="43" spans="1:29" ht="15">
      <c r="A43" s="1701"/>
      <c r="B43" s="1624" t="s">
        <v>2131</v>
      </c>
      <c r="C43" s="3336" t="s">
        <v>3060</v>
      </c>
      <c r="D43" s="1640">
        <v>100</v>
      </c>
      <c r="E43" s="3336" t="s">
        <v>3060</v>
      </c>
      <c r="F43" s="1683">
        <f>SUMIF(123:123,E43,124:124)-SUMIF(123:123,C43,124:124)+100</f>
        <v>100</v>
      </c>
      <c r="G43" s="3336" t="s">
        <v>3060</v>
      </c>
      <c r="H43" s="1640">
        <f>SUMIF(123:123,G43,124:124)-SUMIF(123:123,C43,124:124)+100</f>
        <v>100</v>
      </c>
      <c r="I43" s="3336" t="s">
        <v>3060</v>
      </c>
      <c r="J43" s="1640">
        <f>SUMIF(123:123,I43,124:124)-SUMIF(123:123,C43,124:124)+100</f>
        <v>100</v>
      </c>
      <c r="K43" s="1919">
        <v>1</v>
      </c>
      <c r="L43" s="2914"/>
      <c r="M43" s="2910"/>
      <c r="N43" s="2910"/>
      <c r="O43" s="2910"/>
      <c r="P43" s="3594"/>
      <c r="Q43" s="2828" t="str">
        <f t="shared" si="11"/>
        <v>内部装修</v>
      </c>
      <c r="R43" s="1654" t="s">
        <v>25</v>
      </c>
      <c r="S43" s="1655">
        <f t="shared" si="12"/>
        <v>100</v>
      </c>
      <c r="T43" s="1654" t="s">
        <v>25</v>
      </c>
      <c r="U43" s="1655">
        <f t="shared" si="13"/>
        <v>100</v>
      </c>
      <c r="V43" s="1654" t="s">
        <v>25</v>
      </c>
      <c r="W43" s="1655">
        <f t="shared" si="14"/>
        <v>100</v>
      </c>
      <c r="X43" s="2001"/>
      <c r="Y43" s="3594"/>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594"/>
      <c r="Q44" s="2828" t="str">
        <f t="shared" si="11"/>
        <v>内部装修维护情况</v>
      </c>
      <c r="R44" s="1654" t="s">
        <v>25</v>
      </c>
      <c r="S44" s="1655">
        <f t="shared" si="12"/>
        <v>100</v>
      </c>
      <c r="T44" s="1654" t="s">
        <v>25</v>
      </c>
      <c r="U44" s="1655">
        <f t="shared" si="13"/>
        <v>100</v>
      </c>
      <c r="V44" s="1654" t="s">
        <v>25</v>
      </c>
      <c r="W44" s="1655">
        <f t="shared" si="14"/>
        <v>100</v>
      </c>
      <c r="X44" s="2001"/>
      <c r="Y44" s="3594"/>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594"/>
      <c r="Q45" s="2827">
        <f t="shared" si="11"/>
        <v>111</v>
      </c>
      <c r="R45" s="1609" t="s">
        <v>25</v>
      </c>
      <c r="S45" s="1610">
        <f t="shared" si="12"/>
        <v>100</v>
      </c>
      <c r="T45" s="1609" t="s">
        <v>25</v>
      </c>
      <c r="U45" s="1610">
        <f t="shared" si="13"/>
        <v>100</v>
      </c>
      <c r="V45" s="1609" t="s">
        <v>25</v>
      </c>
      <c r="W45" s="1610">
        <f t="shared" si="14"/>
        <v>100</v>
      </c>
      <c r="X45" s="1611"/>
      <c r="Y45" s="3594"/>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594"/>
      <c r="Q46" s="2828">
        <f t="shared" si="11"/>
        <v>111</v>
      </c>
      <c r="R46" s="1654" t="s">
        <v>25</v>
      </c>
      <c r="S46" s="1655">
        <f t="shared" si="12"/>
        <v>100</v>
      </c>
      <c r="T46" s="1654" t="s">
        <v>25</v>
      </c>
      <c r="U46" s="1655">
        <f t="shared" si="13"/>
        <v>100</v>
      </c>
      <c r="V46" s="1654" t="s">
        <v>25</v>
      </c>
      <c r="W46" s="1655">
        <f t="shared" si="14"/>
        <v>100</v>
      </c>
      <c r="X46" s="2001"/>
      <c r="Y46" s="3594"/>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595"/>
      <c r="Q47" s="2828">
        <f t="shared" si="11"/>
        <v>111</v>
      </c>
      <c r="R47" s="1654" t="s">
        <v>25</v>
      </c>
      <c r="S47" s="1655">
        <f t="shared" si="12"/>
        <v>100</v>
      </c>
      <c r="T47" s="1654" t="s">
        <v>25</v>
      </c>
      <c r="U47" s="1655">
        <f t="shared" si="13"/>
        <v>100</v>
      </c>
      <c r="V47" s="1654" t="s">
        <v>25</v>
      </c>
      <c r="W47" s="1655">
        <f t="shared" si="14"/>
        <v>100</v>
      </c>
      <c r="X47" s="2001"/>
      <c r="Y47" s="3595"/>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88" t="str">
        <f>A48</f>
        <v>成交单价（元/平方米）</v>
      </c>
      <c r="Q48" s="3588"/>
      <c r="R48" s="3589">
        <f>E48</f>
        <v>35000</v>
      </c>
      <c r="S48" s="3589"/>
      <c r="T48" s="3589">
        <f>G48</f>
        <v>35000</v>
      </c>
      <c r="U48" s="3589"/>
      <c r="V48" s="3589">
        <f>I48</f>
        <v>40000</v>
      </c>
      <c r="W48" s="3589"/>
      <c r="X48" s="1718"/>
      <c r="Y48" s="2000"/>
      <c r="Z48" s="1718"/>
      <c r="AA48" s="1718"/>
      <c r="AB48" s="1718"/>
      <c r="AC48" s="1718"/>
    </row>
    <row r="49" spans="1:29" ht="15.75" thickBot="1">
      <c r="A49" s="1720" t="s">
        <v>2132</v>
      </c>
      <c r="B49" s="1721"/>
      <c r="C49" s="1722">
        <f>R50</f>
        <v>36439</v>
      </c>
      <c r="D49" s="1723" t="s">
        <v>2503</v>
      </c>
      <c r="E49" s="1724">
        <f>R49</f>
        <v>34653</v>
      </c>
      <c r="F49" s="1725"/>
      <c r="G49" s="1722">
        <f>T49</f>
        <v>34660</v>
      </c>
      <c r="H49" s="1725"/>
      <c r="I49" s="1724">
        <f>V49</f>
        <v>40004</v>
      </c>
      <c r="J49" s="1725"/>
      <c r="K49" s="2426">
        <f>F49+H49+J49</f>
        <v>0</v>
      </c>
      <c r="L49" s="2915"/>
      <c r="M49" s="2910"/>
      <c r="N49" s="2910"/>
      <c r="O49" s="2910"/>
      <c r="P49" s="3588" t="str">
        <f>A49</f>
        <v>比较价值（元/平方米）</v>
      </c>
      <c r="Q49" s="3588"/>
      <c r="R49" s="3589">
        <f>IF(E1="售价",ROUND(PRODUCT(R48,AA7:AA47),0),ROUND(PRODUCT(R48,AA7:AA47),1))</f>
        <v>34653</v>
      </c>
      <c r="S49" s="3589"/>
      <c r="T49" s="3589">
        <f>IF(E1="售价",ROUND(PRODUCT(T48,AB7:AB47),0),ROUND(PRODUCT(T48,AB7:AB47),1))</f>
        <v>34660</v>
      </c>
      <c r="U49" s="3589"/>
      <c r="V49" s="3589">
        <f>IF(E1="售价",ROUND(PRODUCT(V48,AC7:AC47),0),ROUND(PRODUCT(V48,AC7:AC47),1))</f>
        <v>40004</v>
      </c>
      <c r="W49" s="3589"/>
      <c r="X49" s="1718"/>
      <c r="Y49" s="1718"/>
      <c r="Z49" s="1718"/>
      <c r="AA49" s="1718"/>
      <c r="AB49" s="1718"/>
      <c r="AC49" s="1718"/>
    </row>
    <row r="50" spans="1:29" ht="15.75" thickBot="1">
      <c r="A50" s="1726" t="s">
        <v>2155</v>
      </c>
      <c r="B50" s="1727"/>
      <c r="C50" s="1729">
        <f>R50</f>
        <v>36439</v>
      </c>
      <c r="D50" s="1729"/>
      <c r="E50" s="1729"/>
      <c r="F50" s="1729"/>
      <c r="G50" s="1729"/>
      <c r="H50" s="1729"/>
      <c r="I50" s="1729"/>
      <c r="J50" s="1729"/>
      <c r="K50" s="1945"/>
      <c r="L50" s="2915"/>
      <c r="M50" s="2910"/>
      <c r="N50" s="2910"/>
      <c r="O50" s="2910"/>
      <c r="P50" s="3590" t="str">
        <f>A50</f>
        <v>估价对象XX用房的比较价值（楼面单价，元/平方米）</v>
      </c>
      <c r="Q50" s="3591"/>
      <c r="R50" s="3592">
        <f>IF(E1="售价",ROUND(IF(D49="简单平均",AVERAGE(R49:V49),R49*F49+T49*H49+V49*J49),0),ROUND(IF(D49="简单平均",AVERAGE(R49:V49),R49*F49+T49*H49+V49*J49),1))</f>
        <v>36439</v>
      </c>
      <c r="S50" s="3592"/>
      <c r="T50" s="3592"/>
      <c r="U50" s="3592"/>
      <c r="V50" s="3592"/>
      <c r="W50" s="3592"/>
      <c r="X50" s="1718"/>
      <c r="Y50" s="1718"/>
      <c r="Z50" s="1718"/>
      <c r="AA50" s="1718"/>
      <c r="AB50" s="1718"/>
      <c r="AC50" s="1718"/>
    </row>
    <row r="51" spans="1:29">
      <c r="G51" s="2919"/>
    </row>
    <row r="53" spans="1:29" ht="13.5" customHeight="1">
      <c r="C53" s="383" t="s">
        <v>2134</v>
      </c>
      <c r="D53" s="1734"/>
      <c r="E53" s="1735">
        <f>IF(E48&lt;E49,E49/E48-1,E48/E49-1)</f>
        <v>1.0013563039275031E-2</v>
      </c>
      <c r="F53" s="1736" t="str">
        <f>IF(OR(E53&gt;=0.3,E53&lt;=-0.3),"超过30%","")</f>
        <v/>
      </c>
      <c r="G53" s="1735">
        <f>IF(G48&lt;G49,G49/G48-1,G48/G49-1)</f>
        <v>9.8095787651470978E-3</v>
      </c>
      <c r="H53" s="1736" t="str">
        <f>IF(OR(G53&gt;=0.3,G53&lt;=-0.3),"超过30%","")</f>
        <v/>
      </c>
      <c r="I53" s="1735">
        <f>IF(I48&lt;I49,I49/I48-1,I48/I49-1)</f>
        <v>9.9999999999988987E-5</v>
      </c>
      <c r="J53" s="1736" t="str">
        <f>IF(OR(I53&gt;=0.3,I53&lt;=-0.3),"超过30%","")</f>
        <v/>
      </c>
    </row>
    <row r="54" spans="1:29" ht="13.5" customHeight="1">
      <c r="C54" s="383" t="s">
        <v>2135</v>
      </c>
      <c r="D54" s="1737"/>
      <c r="E54" s="1735">
        <f>IF(E49&lt;G49,G49/E49-1,E49/G49-1)</f>
        <v>2.0200271260795155E-4</v>
      </c>
      <c r="F54" s="1736" t="str">
        <f>IF(OR(E54&gt;=0.2,E54&lt;=-0.2),"超过20%","")</f>
        <v/>
      </c>
      <c r="G54" s="1735">
        <f>IF(G49&lt;I49,I49/G49-1,G49/I49-1)</f>
        <v>0.15418349682631272</v>
      </c>
      <c r="H54" s="1736" t="str">
        <f>IF(OR(G54&gt;=0.2,G54&lt;=-0.2),"超过20%","")</f>
        <v/>
      </c>
      <c r="I54" s="1735">
        <f>IF(I49&lt;E49,E49/I49-1,I49/E49-1)</f>
        <v>0.15441664502351893</v>
      </c>
      <c r="J54" s="1736" t="str">
        <f>IF(OR(I54&gt;=0.2,I54&lt;=-0.2),"超过20%","")</f>
        <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2022-6</v>
      </c>
      <c r="D59" s="1752">
        <f>EDATE(C59,-1)</f>
        <v>44682</v>
      </c>
      <c r="E59" s="1752">
        <f t="shared" ref="E59:O59" si="16">EDATE(D59,-1)</f>
        <v>44652</v>
      </c>
      <c r="F59" s="1752">
        <f t="shared" si="16"/>
        <v>44621</v>
      </c>
      <c r="G59" s="1752">
        <f t="shared" si="16"/>
        <v>44593</v>
      </c>
      <c r="H59" s="1752">
        <f t="shared" si="16"/>
        <v>44562</v>
      </c>
      <c r="I59" s="1752">
        <f t="shared" si="16"/>
        <v>44531</v>
      </c>
      <c r="J59" s="1752">
        <f t="shared" si="16"/>
        <v>44501</v>
      </c>
      <c r="K59" s="1752">
        <f t="shared" si="16"/>
        <v>44470</v>
      </c>
      <c r="L59" s="1752">
        <f t="shared" si="16"/>
        <v>44440</v>
      </c>
      <c r="M59" s="1752">
        <f t="shared" si="16"/>
        <v>44409</v>
      </c>
      <c r="N59" s="1752">
        <f t="shared" si="16"/>
        <v>44378</v>
      </c>
      <c r="O59" s="1752">
        <f t="shared" si="16"/>
        <v>44348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4" t="s">
        <v>3046</v>
      </c>
      <c r="D87" s="3324" t="s">
        <v>3047</v>
      </c>
      <c r="E87" s="3324" t="s">
        <v>3048</v>
      </c>
      <c r="F87" s="3324" t="s">
        <v>3049</v>
      </c>
      <c r="G87" s="3324"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3" t="s">
        <v>3043</v>
      </c>
      <c r="D89" s="3323" t="s">
        <v>3044</v>
      </c>
      <c r="E89" s="3323"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5" t="s">
        <v>3051</v>
      </c>
      <c r="D101" s="3325" t="s">
        <v>3052</v>
      </c>
      <c r="E101" s="3325" t="s">
        <v>3053</v>
      </c>
      <c r="F101" s="3325" t="s">
        <v>3054</v>
      </c>
      <c r="G101" s="3325" t="s">
        <v>3055</v>
      </c>
      <c r="H101" s="3325"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6">
        <v>0</v>
      </c>
      <c r="D104" s="3327">
        <v>300</v>
      </c>
      <c r="E104" s="3327">
        <v>500</v>
      </c>
      <c r="F104" s="3327">
        <v>1000</v>
      </c>
      <c r="G104" s="3327">
        <v>1500</v>
      </c>
      <c r="H104" s="1828"/>
      <c r="I104" s="1828"/>
      <c r="J104" s="485"/>
      <c r="K104" s="485"/>
      <c r="L104" s="485"/>
      <c r="M104" s="1829"/>
      <c r="N104" s="2930"/>
      <c r="O104" s="2930"/>
      <c r="P104" s="1985"/>
      <c r="Q104" s="1800"/>
    </row>
    <row r="105" spans="1:17" s="1700" customFormat="1" ht="15.75" thickBot="1">
      <c r="A105" s="1796"/>
      <c r="B105" s="1788"/>
      <c r="C105" s="3328">
        <v>99</v>
      </c>
      <c r="D105" s="3329">
        <v>100</v>
      </c>
      <c r="E105" s="3329">
        <v>99</v>
      </c>
      <c r="F105" s="3329">
        <v>98</v>
      </c>
      <c r="G105" s="3329">
        <v>97</v>
      </c>
      <c r="H105" s="1782"/>
      <c r="I105" s="1782"/>
      <c r="J105" s="1782"/>
      <c r="K105" s="1782"/>
      <c r="L105" s="1782"/>
      <c r="M105" s="1783"/>
      <c r="N105" s="2929"/>
      <c r="O105" s="2929"/>
      <c r="P105" s="1985"/>
      <c r="Q105" s="1800"/>
    </row>
    <row r="106" spans="1:17" ht="15" thickTop="1">
      <c r="A106" s="1830"/>
      <c r="B106" s="1785" t="s">
        <v>2086</v>
      </c>
      <c r="C106" s="3324" t="s">
        <v>3057</v>
      </c>
      <c r="D106" s="3324" t="s">
        <v>3039</v>
      </c>
      <c r="E106" s="3330"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1" t="s">
        <v>3059</v>
      </c>
      <c r="D108" s="3331" t="s">
        <v>3060</v>
      </c>
      <c r="E108" s="3331" t="s">
        <v>3061</v>
      </c>
      <c r="F108" s="3332"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3" t="s">
        <v>3063</v>
      </c>
      <c r="D113" s="3333" t="s">
        <v>768</v>
      </c>
      <c r="E113" s="3333"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4" t="s">
        <v>3064</v>
      </c>
      <c r="D115" s="3334"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1" t="s">
        <v>3059</v>
      </c>
      <c r="D123" s="3331" t="s">
        <v>3060</v>
      </c>
      <c r="E123" s="3331" t="s">
        <v>3061</v>
      </c>
      <c r="F123" s="3332"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7"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549</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15525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216270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216000</v>
      </c>
      <c r="D6" s="36" t="s">
        <v>2461</v>
      </c>
      <c r="E6" s="235" t="s">
        <v>1776</v>
      </c>
      <c r="F6" s="236">
        <f>'数据-取费表'!B30</f>
        <v>20000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270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1541722</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1237635</v>
      </c>
      <c r="D14" s="1256" t="s">
        <v>1795</v>
      </c>
      <c r="E14" s="1257"/>
      <c r="F14" s="757"/>
      <c r="G14" s="910"/>
      <c r="H14" s="253" t="s">
        <v>1774</v>
      </c>
      <c r="I14" s="235" t="s">
        <v>1796</v>
      </c>
      <c r="J14" s="13">
        <f ca="1">C29</f>
        <v>1927153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37129</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24753</v>
      </c>
      <c r="D16" s="235" t="s">
        <v>1799</v>
      </c>
      <c r="E16" s="235" t="s">
        <v>1800</v>
      </c>
      <c r="F16" s="258">
        <f>IF('数据-取费表'!B10="住宅",'数据-取费表'!E22,0)</f>
        <v>0.02</v>
      </c>
      <c r="G16" s="910"/>
      <c r="H16" s="1021" t="s">
        <v>14</v>
      </c>
      <c r="I16" s="1022" t="s">
        <v>1805</v>
      </c>
      <c r="J16" s="243">
        <f ca="1">ROUND(J17+J22+J23+J24,0)</f>
        <v>28907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70722</v>
      </c>
      <c r="D17" s="235" t="s">
        <v>1809</v>
      </c>
      <c r="E17" s="235" t="s">
        <v>1810</v>
      </c>
      <c r="F17" s="15">
        <f>'数据-取费表'!E23</f>
        <v>200</v>
      </c>
      <c r="G17" s="910"/>
      <c r="H17" s="253" t="s">
        <v>1811</v>
      </c>
      <c r="I17" s="235" t="s">
        <v>1812</v>
      </c>
      <c r="J17" s="2739">
        <f>ROUND(IF(AND(项目基本情况!B7="自然人",项目基本情况!B6="北京市"),J6*M17/(1+'数据-取费表'!F30),J18+J19+J20),0)</f>
        <v>0</v>
      </c>
      <c r="K17" s="1256" t="s">
        <v>1813</v>
      </c>
      <c r="L17" s="1259" t="s">
        <v>1814</v>
      </c>
      <c r="M17" s="2738">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18565</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1388804</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41664</v>
      </c>
      <c r="D20" s="259" t="s">
        <v>1824</v>
      </c>
      <c r="E20" s="235" t="s">
        <v>1825</v>
      </c>
      <c r="F20" s="258">
        <f>'数据-取费表'!E25</f>
        <v>0.03</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28907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60080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-28907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286094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1927153</v>
      </c>
      <c r="D29" s="1034"/>
      <c r="E29" s="1032"/>
      <c r="F29" s="1035"/>
      <c r="G29" s="652"/>
      <c r="H29" s="271" t="s">
        <v>24</v>
      </c>
      <c r="I29" s="272" t="s">
        <v>1869</v>
      </c>
      <c r="J29" s="273">
        <f ca="1">ROUND(J26/(1+F40)^F41,0)</f>
        <v>0</v>
      </c>
      <c r="K29" s="274" t="s">
        <v>1870</v>
      </c>
      <c r="L29" s="275"/>
      <c r="M29" s="276">
        <f>IF(D1="仅计算典型户型",'数据-取费表'!E5,'数据-取费表'!B5)</f>
        <v>353.61</v>
      </c>
    </row>
    <row r="30" spans="1:37" ht="18" customHeight="1" thickTop="1">
      <c r="A30" s="1021" t="s">
        <v>14</v>
      </c>
      <c r="B30" s="1022" t="s">
        <v>1871</v>
      </c>
      <c r="C30" s="243">
        <f ca="1">ROUND(C31+C36+C37+C38,0)</f>
        <v>38526</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5143</v>
      </c>
      <c r="D31" s="1256" t="s">
        <v>1873</v>
      </c>
      <c r="E31" s="1259" t="s">
        <v>1874</v>
      </c>
      <c r="F31" s="2738">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100212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28907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2313</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2163</v>
      </c>
      <c r="D38" s="1034" t="s">
        <v>1846</v>
      </c>
      <c r="E38" s="1032" t="s">
        <v>1842</v>
      </c>
      <c r="F38" s="1027">
        <f>'数据-取费表'!B47</f>
        <v>0.01</v>
      </c>
      <c r="G38" s="652"/>
      <c r="H38" s="901"/>
      <c r="I38" s="280" t="s">
        <v>1884</v>
      </c>
      <c r="J38" s="136">
        <f ca="1">ROUND(J34/C39,3)</f>
        <v>0.56399999999999995</v>
      </c>
      <c r="K38" s="906"/>
      <c r="L38" s="901"/>
      <c r="M38" s="901"/>
    </row>
    <row r="39" spans="1:18" ht="18" customHeight="1" thickTop="1">
      <c r="A39" s="1021" t="s">
        <v>22</v>
      </c>
      <c r="B39" s="1036" t="s">
        <v>1885</v>
      </c>
      <c r="C39" s="243">
        <f ca="1">C5-C30</f>
        <v>177744</v>
      </c>
      <c r="D39" s="1037" t="s">
        <v>1886</v>
      </c>
      <c r="E39" s="1038"/>
      <c r="F39" s="1039"/>
      <c r="G39" s="652"/>
      <c r="H39" s="901"/>
      <c r="I39" s="280" t="s">
        <v>1887</v>
      </c>
      <c r="J39" s="136">
        <f ca="1">1-J38</f>
        <v>0.43600000000000005</v>
      </c>
      <c r="K39" s="906"/>
      <c r="L39" s="901"/>
      <c r="M39" s="901"/>
    </row>
    <row r="40" spans="1:18" s="652" customFormat="1" ht="18" customHeight="1">
      <c r="A40" s="232" t="s">
        <v>23</v>
      </c>
      <c r="B40" s="233" t="s">
        <v>1888</v>
      </c>
      <c r="C40" s="234">
        <f ca="1">ROUND(C39*(1-((1+F42)/(1+F40))^F41)/(F40-F42),0)</f>
        <v>5489686</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v>
      </c>
      <c r="H41" s="908"/>
      <c r="I41" s="135" t="s">
        <v>1762</v>
      </c>
      <c r="J41" s="136">
        <f ca="1">ROUND(C13/C40,3)</f>
        <v>0.28100000000000003</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0.71899999999999997</v>
      </c>
      <c r="K42" s="905"/>
      <c r="L42" s="908"/>
      <c r="M42" s="908"/>
      <c r="Q42" s="656"/>
    </row>
    <row r="43" spans="1:18" s="652" customFormat="1" ht="18" customHeight="1" thickBot="1">
      <c r="A43" s="271" t="s">
        <v>24</v>
      </c>
      <c r="B43" s="272" t="s">
        <v>1891</v>
      </c>
      <c r="C43" s="273">
        <f ca="1">ROUND(C40/F43,0)</f>
        <v>15525</v>
      </c>
      <c r="D43" s="274" t="s">
        <v>1892</v>
      </c>
      <c r="E43" s="275" t="s">
        <v>1893</v>
      </c>
      <c r="F43" s="276">
        <f>IF(D1="仅计算典型户型",'数据-取费表'!E5,'数据-取费表'!B5)</f>
        <v>353.61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5489686</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-606</v>
      </c>
      <c r="D47" s="1456" t="str">
        <f>C2</f>
        <v>万元</v>
      </c>
      <c r="E47" s="649"/>
      <c r="F47" s="649"/>
      <c r="I47" s="1457" t="s">
        <v>1904</v>
      </c>
      <c r="J47" s="981"/>
      <c r="K47" s="982"/>
      <c r="L47" s="995">
        <f>IF(M48="住宅",0,IF(L49&gt;J52,L61,J61))</f>
        <v>0</v>
      </c>
      <c r="O47" s="1009" t="s">
        <v>769</v>
      </c>
      <c r="P47" s="1006" t="s">
        <v>1905</v>
      </c>
      <c r="Q47" s="1007">
        <f ca="1">C29</f>
        <v>1927153</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50</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549</v>
      </c>
      <c r="R51" s="1008" t="s">
        <v>774</v>
      </c>
    </row>
    <row r="52" spans="1:18" s="652" customFormat="1" ht="16.5" thickBot="1">
      <c r="A52" s="237"/>
      <c r="B52" s="238"/>
      <c r="C52" s="239"/>
      <c r="D52" s="240"/>
      <c r="E52" s="235" t="s">
        <v>1779</v>
      </c>
      <c r="F52" s="236">
        <f>F8</f>
        <v>12</v>
      </c>
      <c r="I52" s="1466" t="s">
        <v>1926</v>
      </c>
      <c r="J52" s="986">
        <f>IF(J50="",J51,J50+J51-YEAR('数据-取费表'!B2))</f>
        <v>42</v>
      </c>
      <c r="K52" s="1467" t="s">
        <v>1927</v>
      </c>
      <c r="L52" s="987">
        <f ca="1">ROUND(-PV('数据-取费表'!B15,J52,(C40-C13*J35)),0)</f>
        <v>100910086</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v>
      </c>
      <c r="K54" s="3630" t="s">
        <v>2460</v>
      </c>
      <c r="L54" s="3631"/>
      <c r="O54" s="1005" t="s">
        <v>767</v>
      </c>
      <c r="P54" s="1006" t="s">
        <v>1899</v>
      </c>
      <c r="Q54" s="1007">
        <f ca="1">C40+J29</f>
        <v>5489686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1541722</v>
      </c>
      <c r="D57" s="941"/>
      <c r="E57" s="942"/>
      <c r="F57" s="949"/>
      <c r="I57" s="1475" t="s">
        <v>1936</v>
      </c>
      <c r="J57" s="993" t="s">
        <v>3041</v>
      </c>
      <c r="K57" s="1461" t="s">
        <v>1937</v>
      </c>
      <c r="L57" s="821">
        <f>IF(L49&lt;J52,"——",L49-J52)</f>
        <v>8</v>
      </c>
      <c r="O57" s="1009" t="s">
        <v>770</v>
      </c>
      <c r="P57" s="1006" t="s">
        <v>1938</v>
      </c>
      <c r="Q57" s="1010">
        <f>L53</f>
        <v>0</v>
      </c>
      <c r="R57" s="1008"/>
    </row>
    <row r="58" spans="1:18" s="652" customFormat="1" ht="29.25" thickBot="1">
      <c r="A58" s="948"/>
      <c r="B58" s="235" t="s">
        <v>1868</v>
      </c>
      <c r="C58" s="104">
        <f ca="1">C29</f>
        <v>1927153</v>
      </c>
      <c r="D58" s="941"/>
      <c r="E58" s="942"/>
      <c r="F58" s="949"/>
      <c r="I58" s="1476" t="s">
        <v>1939</v>
      </c>
      <c r="J58" s="992" t="str">
        <f>IF(OR(M48="住宅",J52&lt;L49,J57="是"),"——",J52-L49)</f>
        <v>——</v>
      </c>
      <c r="K58" s="1461" t="s">
        <v>1940</v>
      </c>
      <c r="L58" s="821">
        <f ca="1">IF(L49&lt;J52,"——",IF(L56="比较法",L50,IF(L56="基准地价",L51,L52)))</f>
        <v>100910086</v>
      </c>
      <c r="O58" s="1009" t="s">
        <v>771</v>
      </c>
      <c r="P58" s="1006" t="s">
        <v>1941</v>
      </c>
      <c r="Q58" s="1007" t="e">
        <f>L59</f>
        <v>#DIV/0!</v>
      </c>
      <c r="R58" s="1008" t="s">
        <v>1942</v>
      </c>
    </row>
    <row r="59" spans="1:18" s="652" customFormat="1" ht="29.25" thickBot="1">
      <c r="A59" s="248" t="s">
        <v>14</v>
      </c>
      <c r="B59" s="249" t="s">
        <v>1871</v>
      </c>
      <c r="C59" s="250">
        <f ca="1">ROUND(C60+C65+C66+C67,0)</f>
        <v>31220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ROUND(IF(AND(项目基本情况!B7="自然人",项目基本情况!B6="北京市"),C50*F60/(1+'数据-取费表'!F30),C61+C62+C63),0)</f>
        <v>0</v>
      </c>
      <c r="D60" s="1256" t="s">
        <v>1873</v>
      </c>
      <c r="E60" s="1259" t="s">
        <v>1874</v>
      </c>
      <c r="F60" s="2738">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549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5489686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28907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100910086</v>
      </c>
      <c r="R65" s="1012" t="s">
        <v>1962</v>
      </c>
    </row>
    <row r="66" spans="1:18" s="652" customFormat="1" ht="20.25" thickBot="1">
      <c r="A66" s="253" t="s">
        <v>20</v>
      </c>
      <c r="B66" s="235" t="s">
        <v>1840</v>
      </c>
      <c r="C66" s="13">
        <f ca="1">ROUND(C57*F66,0)</f>
        <v>2313</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77532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177744</v>
      </c>
      <c r="R67" s="1008" t="s">
        <v>1900</v>
      </c>
    </row>
    <row r="68" spans="1:18" ht="15.75" thickBot="1">
      <c r="A68" s="248" t="s">
        <v>22</v>
      </c>
      <c r="B68" s="41" t="s">
        <v>1850</v>
      </c>
      <c r="C68" s="250">
        <f ca="1">C49-C59</f>
        <v>-31220</v>
      </c>
      <c r="D68" s="1256" t="s">
        <v>1851</v>
      </c>
      <c r="E68" s="1258"/>
      <c r="F68" s="268"/>
      <c r="H68" s="652"/>
      <c r="I68" s="652"/>
      <c r="J68" s="652"/>
      <c r="K68" s="652"/>
      <c r="L68" s="652"/>
      <c r="M68" s="652"/>
      <c r="O68" s="1009" t="s">
        <v>776</v>
      </c>
      <c r="P68" s="1013" t="s">
        <v>1966</v>
      </c>
      <c r="Q68" s="1007">
        <f ca="1">C13</f>
        <v>1541722</v>
      </c>
      <c r="R68" s="1008" t="s">
        <v>1900</v>
      </c>
    </row>
    <row r="69" spans="1:18" ht="15.75" thickBot="1">
      <c r="A69" s="232" t="s">
        <v>23</v>
      </c>
      <c r="B69" s="233" t="s">
        <v>1888</v>
      </c>
      <c r="C69" s="234">
        <f ca="1">ROUND(C68*(1-((1+F71)/(1+F69))^F70)/(F69-F71),0)</f>
        <v>-569950</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50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-1612</v>
      </c>
      <c r="D72" s="274" t="s">
        <v>1892</v>
      </c>
      <c r="E72" s="275" t="s">
        <v>1893</v>
      </c>
      <c r="F72" s="276">
        <f>F43</f>
        <v>353.61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549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7" customWidth="1"/>
    <col min="2" max="2" width="8.875" style="3077"/>
    <col min="3" max="5" width="12.875" style="3077" customWidth="1"/>
    <col min="6" max="6" width="47.5" style="3077" customWidth="1"/>
    <col min="7" max="7" width="13" style="3250" customWidth="1"/>
    <col min="8" max="8" width="8.875" style="3170"/>
    <col min="9" max="9" width="8.875" style="3171"/>
    <col min="10" max="10" width="5.75" style="3251" customWidth="1"/>
    <col min="11" max="11" width="11.75" style="3251" customWidth="1"/>
    <col min="12" max="13" width="10.75" style="3251" customWidth="1"/>
    <col min="14" max="14" width="10" style="3251" customWidth="1"/>
    <col min="15" max="16" width="10.5" style="3251" bestFit="1" customWidth="1"/>
    <col min="17" max="17" width="10" style="3251" customWidth="1"/>
    <col min="18" max="18" width="10.125" style="3251" customWidth="1"/>
    <col min="19" max="19" width="10" style="3251" customWidth="1"/>
    <col min="20" max="20" width="26.125" style="3251" customWidth="1"/>
    <col min="21" max="21" width="8.875" style="3251"/>
    <col min="22" max="22" width="8.875" style="3171"/>
    <col min="23" max="23" width="8.875" style="3170"/>
    <col min="24" max="256" width="8.875" style="3077"/>
    <col min="257" max="257" width="9.5" style="3077" customWidth="1"/>
    <col min="258" max="258" width="8.875" style="3077"/>
    <col min="259" max="261" width="12.875" style="3077" customWidth="1"/>
    <col min="262" max="262" width="47.5" style="3077" customWidth="1"/>
    <col min="263" max="263" width="13" style="3077" customWidth="1"/>
    <col min="264" max="265" width="8.875" style="3077"/>
    <col min="266" max="266" width="5.75" style="3077" customWidth="1"/>
    <col min="267" max="267" width="11.75" style="3077" customWidth="1"/>
    <col min="268" max="269" width="10.75" style="3077" customWidth="1"/>
    <col min="270" max="270" width="10" style="3077" customWidth="1"/>
    <col min="271" max="272" width="10.5" style="3077" bestFit="1" customWidth="1"/>
    <col min="273" max="273" width="10" style="3077" customWidth="1"/>
    <col min="274" max="274" width="10.125" style="3077" customWidth="1"/>
    <col min="275" max="275" width="10" style="3077" customWidth="1"/>
    <col min="276" max="276" width="26.125" style="3077" customWidth="1"/>
    <col min="277" max="512" width="8.875" style="3077"/>
    <col min="513" max="513" width="9.5" style="3077" customWidth="1"/>
    <col min="514" max="514" width="8.875" style="3077"/>
    <col min="515" max="517" width="12.875" style="3077" customWidth="1"/>
    <col min="518" max="518" width="47.5" style="3077" customWidth="1"/>
    <col min="519" max="519" width="13" style="3077" customWidth="1"/>
    <col min="520" max="521" width="8.875" style="3077"/>
    <col min="522" max="522" width="5.75" style="3077" customWidth="1"/>
    <col min="523" max="523" width="11.75" style="3077" customWidth="1"/>
    <col min="524" max="525" width="10.75" style="3077" customWidth="1"/>
    <col min="526" max="526" width="10" style="3077" customWidth="1"/>
    <col min="527" max="528" width="10.5" style="3077" bestFit="1" customWidth="1"/>
    <col min="529" max="529" width="10" style="3077" customWidth="1"/>
    <col min="530" max="530" width="10.125" style="3077" customWidth="1"/>
    <col min="531" max="531" width="10" style="3077" customWidth="1"/>
    <col min="532" max="532" width="26.125" style="3077" customWidth="1"/>
    <col min="533" max="768" width="8.875" style="3077"/>
    <col min="769" max="769" width="9.5" style="3077" customWidth="1"/>
    <col min="770" max="770" width="8.875" style="3077"/>
    <col min="771" max="773" width="12.875" style="3077" customWidth="1"/>
    <col min="774" max="774" width="47.5" style="3077" customWidth="1"/>
    <col min="775" max="775" width="13" style="3077" customWidth="1"/>
    <col min="776" max="777" width="8.875" style="3077"/>
    <col min="778" max="778" width="5.75" style="3077" customWidth="1"/>
    <col min="779" max="779" width="11.75" style="3077" customWidth="1"/>
    <col min="780" max="781" width="10.75" style="3077" customWidth="1"/>
    <col min="782" max="782" width="10" style="3077" customWidth="1"/>
    <col min="783" max="784" width="10.5" style="3077" bestFit="1" customWidth="1"/>
    <col min="785" max="785" width="10" style="3077" customWidth="1"/>
    <col min="786" max="786" width="10.125" style="3077" customWidth="1"/>
    <col min="787" max="787" width="10" style="3077" customWidth="1"/>
    <col min="788" max="788" width="26.125" style="3077" customWidth="1"/>
    <col min="789" max="1024" width="8.875" style="3077"/>
    <col min="1025" max="1025" width="9.5" style="3077" customWidth="1"/>
    <col min="1026" max="1026" width="8.875" style="3077"/>
    <col min="1027" max="1029" width="12.875" style="3077" customWidth="1"/>
    <col min="1030" max="1030" width="47.5" style="3077" customWidth="1"/>
    <col min="1031" max="1031" width="13" style="3077" customWidth="1"/>
    <col min="1032" max="1033" width="8.875" style="3077"/>
    <col min="1034" max="1034" width="5.75" style="3077" customWidth="1"/>
    <col min="1035" max="1035" width="11.75" style="3077" customWidth="1"/>
    <col min="1036" max="1037" width="10.75" style="3077" customWidth="1"/>
    <col min="1038" max="1038" width="10" style="3077" customWidth="1"/>
    <col min="1039" max="1040" width="10.5" style="3077" bestFit="1" customWidth="1"/>
    <col min="1041" max="1041" width="10" style="3077" customWidth="1"/>
    <col min="1042" max="1042" width="10.125" style="3077" customWidth="1"/>
    <col min="1043" max="1043" width="10" style="3077" customWidth="1"/>
    <col min="1044" max="1044" width="26.125" style="3077" customWidth="1"/>
    <col min="1045" max="1280" width="8.875" style="3077"/>
    <col min="1281" max="1281" width="9.5" style="3077" customWidth="1"/>
    <col min="1282" max="1282" width="8.875" style="3077"/>
    <col min="1283" max="1285" width="12.875" style="3077" customWidth="1"/>
    <col min="1286" max="1286" width="47.5" style="3077" customWidth="1"/>
    <col min="1287" max="1287" width="13" style="3077" customWidth="1"/>
    <col min="1288" max="1289" width="8.875" style="3077"/>
    <col min="1290" max="1290" width="5.75" style="3077" customWidth="1"/>
    <col min="1291" max="1291" width="11.75" style="3077" customWidth="1"/>
    <col min="1292" max="1293" width="10.75" style="3077" customWidth="1"/>
    <col min="1294" max="1294" width="10" style="3077" customWidth="1"/>
    <col min="1295" max="1296" width="10.5" style="3077" bestFit="1" customWidth="1"/>
    <col min="1297" max="1297" width="10" style="3077" customWidth="1"/>
    <col min="1298" max="1298" width="10.125" style="3077" customWidth="1"/>
    <col min="1299" max="1299" width="10" style="3077" customWidth="1"/>
    <col min="1300" max="1300" width="26.125" style="3077" customWidth="1"/>
    <col min="1301" max="1536" width="8.875" style="3077"/>
    <col min="1537" max="1537" width="9.5" style="3077" customWidth="1"/>
    <col min="1538" max="1538" width="8.875" style="3077"/>
    <col min="1539" max="1541" width="12.875" style="3077" customWidth="1"/>
    <col min="1542" max="1542" width="47.5" style="3077" customWidth="1"/>
    <col min="1543" max="1543" width="13" style="3077" customWidth="1"/>
    <col min="1544" max="1545" width="8.875" style="3077"/>
    <col min="1546" max="1546" width="5.75" style="3077" customWidth="1"/>
    <col min="1547" max="1547" width="11.75" style="3077" customWidth="1"/>
    <col min="1548" max="1549" width="10.75" style="3077" customWidth="1"/>
    <col min="1550" max="1550" width="10" style="3077" customWidth="1"/>
    <col min="1551" max="1552" width="10.5" style="3077" bestFit="1" customWidth="1"/>
    <col min="1553" max="1553" width="10" style="3077" customWidth="1"/>
    <col min="1554" max="1554" width="10.125" style="3077" customWidth="1"/>
    <col min="1555" max="1555" width="10" style="3077" customWidth="1"/>
    <col min="1556" max="1556" width="26.125" style="3077" customWidth="1"/>
    <col min="1557" max="1792" width="8.875" style="3077"/>
    <col min="1793" max="1793" width="9.5" style="3077" customWidth="1"/>
    <col min="1794" max="1794" width="8.875" style="3077"/>
    <col min="1795" max="1797" width="12.875" style="3077" customWidth="1"/>
    <col min="1798" max="1798" width="47.5" style="3077" customWidth="1"/>
    <col min="1799" max="1799" width="13" style="3077" customWidth="1"/>
    <col min="1800" max="1801" width="8.875" style="3077"/>
    <col min="1802" max="1802" width="5.75" style="3077" customWidth="1"/>
    <col min="1803" max="1803" width="11.75" style="3077" customWidth="1"/>
    <col min="1804" max="1805" width="10.75" style="3077" customWidth="1"/>
    <col min="1806" max="1806" width="10" style="3077" customWidth="1"/>
    <col min="1807" max="1808" width="10.5" style="3077" bestFit="1" customWidth="1"/>
    <col min="1809" max="1809" width="10" style="3077" customWidth="1"/>
    <col min="1810" max="1810" width="10.125" style="3077" customWidth="1"/>
    <col min="1811" max="1811" width="10" style="3077" customWidth="1"/>
    <col min="1812" max="1812" width="26.125" style="3077" customWidth="1"/>
    <col min="1813" max="2048" width="8.875" style="3077"/>
    <col min="2049" max="2049" width="9.5" style="3077" customWidth="1"/>
    <col min="2050" max="2050" width="8.875" style="3077"/>
    <col min="2051" max="2053" width="12.875" style="3077" customWidth="1"/>
    <col min="2054" max="2054" width="47.5" style="3077" customWidth="1"/>
    <col min="2055" max="2055" width="13" style="3077" customWidth="1"/>
    <col min="2056" max="2057" width="8.875" style="3077"/>
    <col min="2058" max="2058" width="5.75" style="3077" customWidth="1"/>
    <col min="2059" max="2059" width="11.75" style="3077" customWidth="1"/>
    <col min="2060" max="2061" width="10.75" style="3077" customWidth="1"/>
    <col min="2062" max="2062" width="10" style="3077" customWidth="1"/>
    <col min="2063" max="2064" width="10.5" style="3077" bestFit="1" customWidth="1"/>
    <col min="2065" max="2065" width="10" style="3077" customWidth="1"/>
    <col min="2066" max="2066" width="10.125" style="3077" customWidth="1"/>
    <col min="2067" max="2067" width="10" style="3077" customWidth="1"/>
    <col min="2068" max="2068" width="26.125" style="3077" customWidth="1"/>
    <col min="2069" max="2304" width="8.875" style="3077"/>
    <col min="2305" max="2305" width="9.5" style="3077" customWidth="1"/>
    <col min="2306" max="2306" width="8.875" style="3077"/>
    <col min="2307" max="2309" width="12.875" style="3077" customWidth="1"/>
    <col min="2310" max="2310" width="47.5" style="3077" customWidth="1"/>
    <col min="2311" max="2311" width="13" style="3077" customWidth="1"/>
    <col min="2312" max="2313" width="8.875" style="3077"/>
    <col min="2314" max="2314" width="5.75" style="3077" customWidth="1"/>
    <col min="2315" max="2315" width="11.75" style="3077" customWidth="1"/>
    <col min="2316" max="2317" width="10.75" style="3077" customWidth="1"/>
    <col min="2318" max="2318" width="10" style="3077" customWidth="1"/>
    <col min="2319" max="2320" width="10.5" style="3077" bestFit="1" customWidth="1"/>
    <col min="2321" max="2321" width="10" style="3077" customWidth="1"/>
    <col min="2322" max="2322" width="10.125" style="3077" customWidth="1"/>
    <col min="2323" max="2323" width="10" style="3077" customWidth="1"/>
    <col min="2324" max="2324" width="26.125" style="3077" customWidth="1"/>
    <col min="2325" max="2560" width="8.875" style="3077"/>
    <col min="2561" max="2561" width="9.5" style="3077" customWidth="1"/>
    <col min="2562" max="2562" width="8.875" style="3077"/>
    <col min="2563" max="2565" width="12.875" style="3077" customWidth="1"/>
    <col min="2566" max="2566" width="47.5" style="3077" customWidth="1"/>
    <col min="2567" max="2567" width="13" style="3077" customWidth="1"/>
    <col min="2568" max="2569" width="8.875" style="3077"/>
    <col min="2570" max="2570" width="5.75" style="3077" customWidth="1"/>
    <col min="2571" max="2571" width="11.75" style="3077" customWidth="1"/>
    <col min="2572" max="2573" width="10.75" style="3077" customWidth="1"/>
    <col min="2574" max="2574" width="10" style="3077" customWidth="1"/>
    <col min="2575" max="2576" width="10.5" style="3077" bestFit="1" customWidth="1"/>
    <col min="2577" max="2577" width="10" style="3077" customWidth="1"/>
    <col min="2578" max="2578" width="10.125" style="3077" customWidth="1"/>
    <col min="2579" max="2579" width="10" style="3077" customWidth="1"/>
    <col min="2580" max="2580" width="26.125" style="3077" customWidth="1"/>
    <col min="2581" max="2816" width="8.875" style="3077"/>
    <col min="2817" max="2817" width="9.5" style="3077" customWidth="1"/>
    <col min="2818" max="2818" width="8.875" style="3077"/>
    <col min="2819" max="2821" width="12.875" style="3077" customWidth="1"/>
    <col min="2822" max="2822" width="47.5" style="3077" customWidth="1"/>
    <col min="2823" max="2823" width="13" style="3077" customWidth="1"/>
    <col min="2824" max="2825" width="8.875" style="3077"/>
    <col min="2826" max="2826" width="5.75" style="3077" customWidth="1"/>
    <col min="2827" max="2827" width="11.75" style="3077" customWidth="1"/>
    <col min="2828" max="2829" width="10.75" style="3077" customWidth="1"/>
    <col min="2830" max="2830" width="10" style="3077" customWidth="1"/>
    <col min="2831" max="2832" width="10.5" style="3077" bestFit="1" customWidth="1"/>
    <col min="2833" max="2833" width="10" style="3077" customWidth="1"/>
    <col min="2834" max="2834" width="10.125" style="3077" customWidth="1"/>
    <col min="2835" max="2835" width="10" style="3077" customWidth="1"/>
    <col min="2836" max="2836" width="26.125" style="3077" customWidth="1"/>
    <col min="2837" max="3072" width="8.875" style="3077"/>
    <col min="3073" max="3073" width="9.5" style="3077" customWidth="1"/>
    <col min="3074" max="3074" width="8.875" style="3077"/>
    <col min="3075" max="3077" width="12.875" style="3077" customWidth="1"/>
    <col min="3078" max="3078" width="47.5" style="3077" customWidth="1"/>
    <col min="3079" max="3079" width="13" style="3077" customWidth="1"/>
    <col min="3080" max="3081" width="8.875" style="3077"/>
    <col min="3082" max="3082" width="5.75" style="3077" customWidth="1"/>
    <col min="3083" max="3083" width="11.75" style="3077" customWidth="1"/>
    <col min="3084" max="3085" width="10.75" style="3077" customWidth="1"/>
    <col min="3086" max="3086" width="10" style="3077" customWidth="1"/>
    <col min="3087" max="3088" width="10.5" style="3077" bestFit="1" customWidth="1"/>
    <col min="3089" max="3089" width="10" style="3077" customWidth="1"/>
    <col min="3090" max="3090" width="10.125" style="3077" customWidth="1"/>
    <col min="3091" max="3091" width="10" style="3077" customWidth="1"/>
    <col min="3092" max="3092" width="26.125" style="3077" customWidth="1"/>
    <col min="3093" max="3328" width="8.875" style="3077"/>
    <col min="3329" max="3329" width="9.5" style="3077" customWidth="1"/>
    <col min="3330" max="3330" width="8.875" style="3077"/>
    <col min="3331" max="3333" width="12.875" style="3077" customWidth="1"/>
    <col min="3334" max="3334" width="47.5" style="3077" customWidth="1"/>
    <col min="3335" max="3335" width="13" style="3077" customWidth="1"/>
    <col min="3336" max="3337" width="8.875" style="3077"/>
    <col min="3338" max="3338" width="5.75" style="3077" customWidth="1"/>
    <col min="3339" max="3339" width="11.75" style="3077" customWidth="1"/>
    <col min="3340" max="3341" width="10.75" style="3077" customWidth="1"/>
    <col min="3342" max="3342" width="10" style="3077" customWidth="1"/>
    <col min="3343" max="3344" width="10.5" style="3077" bestFit="1" customWidth="1"/>
    <col min="3345" max="3345" width="10" style="3077" customWidth="1"/>
    <col min="3346" max="3346" width="10.125" style="3077" customWidth="1"/>
    <col min="3347" max="3347" width="10" style="3077" customWidth="1"/>
    <col min="3348" max="3348" width="26.125" style="3077" customWidth="1"/>
    <col min="3349" max="3584" width="8.875" style="3077"/>
    <col min="3585" max="3585" width="9.5" style="3077" customWidth="1"/>
    <col min="3586" max="3586" width="8.875" style="3077"/>
    <col min="3587" max="3589" width="12.875" style="3077" customWidth="1"/>
    <col min="3590" max="3590" width="47.5" style="3077" customWidth="1"/>
    <col min="3591" max="3591" width="13" style="3077" customWidth="1"/>
    <col min="3592" max="3593" width="8.875" style="3077"/>
    <col min="3594" max="3594" width="5.75" style="3077" customWidth="1"/>
    <col min="3595" max="3595" width="11.75" style="3077" customWidth="1"/>
    <col min="3596" max="3597" width="10.75" style="3077" customWidth="1"/>
    <col min="3598" max="3598" width="10" style="3077" customWidth="1"/>
    <col min="3599" max="3600" width="10.5" style="3077" bestFit="1" customWidth="1"/>
    <col min="3601" max="3601" width="10" style="3077" customWidth="1"/>
    <col min="3602" max="3602" width="10.125" style="3077" customWidth="1"/>
    <col min="3603" max="3603" width="10" style="3077" customWidth="1"/>
    <col min="3604" max="3604" width="26.125" style="3077" customWidth="1"/>
    <col min="3605" max="3840" width="8.875" style="3077"/>
    <col min="3841" max="3841" width="9.5" style="3077" customWidth="1"/>
    <col min="3842" max="3842" width="8.875" style="3077"/>
    <col min="3843" max="3845" width="12.875" style="3077" customWidth="1"/>
    <col min="3846" max="3846" width="47.5" style="3077" customWidth="1"/>
    <col min="3847" max="3847" width="13" style="3077" customWidth="1"/>
    <col min="3848" max="3849" width="8.875" style="3077"/>
    <col min="3850" max="3850" width="5.75" style="3077" customWidth="1"/>
    <col min="3851" max="3851" width="11.75" style="3077" customWidth="1"/>
    <col min="3852" max="3853" width="10.75" style="3077" customWidth="1"/>
    <col min="3854" max="3854" width="10" style="3077" customWidth="1"/>
    <col min="3855" max="3856" width="10.5" style="3077" bestFit="1" customWidth="1"/>
    <col min="3857" max="3857" width="10" style="3077" customWidth="1"/>
    <col min="3858" max="3858" width="10.125" style="3077" customWidth="1"/>
    <col min="3859" max="3859" width="10" style="3077" customWidth="1"/>
    <col min="3860" max="3860" width="26.125" style="3077" customWidth="1"/>
    <col min="3861" max="4096" width="8.875" style="3077"/>
    <col min="4097" max="4097" width="9.5" style="3077" customWidth="1"/>
    <col min="4098" max="4098" width="8.875" style="3077"/>
    <col min="4099" max="4101" width="12.875" style="3077" customWidth="1"/>
    <col min="4102" max="4102" width="47.5" style="3077" customWidth="1"/>
    <col min="4103" max="4103" width="13" style="3077" customWidth="1"/>
    <col min="4104" max="4105" width="8.875" style="3077"/>
    <col min="4106" max="4106" width="5.75" style="3077" customWidth="1"/>
    <col min="4107" max="4107" width="11.75" style="3077" customWidth="1"/>
    <col min="4108" max="4109" width="10.75" style="3077" customWidth="1"/>
    <col min="4110" max="4110" width="10" style="3077" customWidth="1"/>
    <col min="4111" max="4112" width="10.5" style="3077" bestFit="1" customWidth="1"/>
    <col min="4113" max="4113" width="10" style="3077" customWidth="1"/>
    <col min="4114" max="4114" width="10.125" style="3077" customWidth="1"/>
    <col min="4115" max="4115" width="10" style="3077" customWidth="1"/>
    <col min="4116" max="4116" width="26.125" style="3077" customWidth="1"/>
    <col min="4117" max="4352" width="8.875" style="3077"/>
    <col min="4353" max="4353" width="9.5" style="3077" customWidth="1"/>
    <col min="4354" max="4354" width="8.875" style="3077"/>
    <col min="4355" max="4357" width="12.875" style="3077" customWidth="1"/>
    <col min="4358" max="4358" width="47.5" style="3077" customWidth="1"/>
    <col min="4359" max="4359" width="13" style="3077" customWidth="1"/>
    <col min="4360" max="4361" width="8.875" style="3077"/>
    <col min="4362" max="4362" width="5.75" style="3077" customWidth="1"/>
    <col min="4363" max="4363" width="11.75" style="3077" customWidth="1"/>
    <col min="4364" max="4365" width="10.75" style="3077" customWidth="1"/>
    <col min="4366" max="4366" width="10" style="3077" customWidth="1"/>
    <col min="4367" max="4368" width="10.5" style="3077" bestFit="1" customWidth="1"/>
    <col min="4369" max="4369" width="10" style="3077" customWidth="1"/>
    <col min="4370" max="4370" width="10.125" style="3077" customWidth="1"/>
    <col min="4371" max="4371" width="10" style="3077" customWidth="1"/>
    <col min="4372" max="4372" width="26.125" style="3077" customWidth="1"/>
    <col min="4373" max="4608" width="8.875" style="3077"/>
    <col min="4609" max="4609" width="9.5" style="3077" customWidth="1"/>
    <col min="4610" max="4610" width="8.875" style="3077"/>
    <col min="4611" max="4613" width="12.875" style="3077" customWidth="1"/>
    <col min="4614" max="4614" width="47.5" style="3077" customWidth="1"/>
    <col min="4615" max="4615" width="13" style="3077" customWidth="1"/>
    <col min="4616" max="4617" width="8.875" style="3077"/>
    <col min="4618" max="4618" width="5.75" style="3077" customWidth="1"/>
    <col min="4619" max="4619" width="11.75" style="3077" customWidth="1"/>
    <col min="4620" max="4621" width="10.75" style="3077" customWidth="1"/>
    <col min="4622" max="4622" width="10" style="3077" customWidth="1"/>
    <col min="4623" max="4624" width="10.5" style="3077" bestFit="1" customWidth="1"/>
    <col min="4625" max="4625" width="10" style="3077" customWidth="1"/>
    <col min="4626" max="4626" width="10.125" style="3077" customWidth="1"/>
    <col min="4627" max="4627" width="10" style="3077" customWidth="1"/>
    <col min="4628" max="4628" width="26.125" style="3077" customWidth="1"/>
    <col min="4629" max="4864" width="8.875" style="3077"/>
    <col min="4865" max="4865" width="9.5" style="3077" customWidth="1"/>
    <col min="4866" max="4866" width="8.875" style="3077"/>
    <col min="4867" max="4869" width="12.875" style="3077" customWidth="1"/>
    <col min="4870" max="4870" width="47.5" style="3077" customWidth="1"/>
    <col min="4871" max="4871" width="13" style="3077" customWidth="1"/>
    <col min="4872" max="4873" width="8.875" style="3077"/>
    <col min="4874" max="4874" width="5.75" style="3077" customWidth="1"/>
    <col min="4875" max="4875" width="11.75" style="3077" customWidth="1"/>
    <col min="4876" max="4877" width="10.75" style="3077" customWidth="1"/>
    <col min="4878" max="4878" width="10" style="3077" customWidth="1"/>
    <col min="4879" max="4880" width="10.5" style="3077" bestFit="1" customWidth="1"/>
    <col min="4881" max="4881" width="10" style="3077" customWidth="1"/>
    <col min="4882" max="4882" width="10.125" style="3077" customWidth="1"/>
    <col min="4883" max="4883" width="10" style="3077" customWidth="1"/>
    <col min="4884" max="4884" width="26.125" style="3077" customWidth="1"/>
    <col min="4885" max="5120" width="8.875" style="3077"/>
    <col min="5121" max="5121" width="9.5" style="3077" customWidth="1"/>
    <col min="5122" max="5122" width="8.875" style="3077"/>
    <col min="5123" max="5125" width="12.875" style="3077" customWidth="1"/>
    <col min="5126" max="5126" width="47.5" style="3077" customWidth="1"/>
    <col min="5127" max="5127" width="13" style="3077" customWidth="1"/>
    <col min="5128" max="5129" width="8.875" style="3077"/>
    <col min="5130" max="5130" width="5.75" style="3077" customWidth="1"/>
    <col min="5131" max="5131" width="11.75" style="3077" customWidth="1"/>
    <col min="5132" max="5133" width="10.75" style="3077" customWidth="1"/>
    <col min="5134" max="5134" width="10" style="3077" customWidth="1"/>
    <col min="5135" max="5136" width="10.5" style="3077" bestFit="1" customWidth="1"/>
    <col min="5137" max="5137" width="10" style="3077" customWidth="1"/>
    <col min="5138" max="5138" width="10.125" style="3077" customWidth="1"/>
    <col min="5139" max="5139" width="10" style="3077" customWidth="1"/>
    <col min="5140" max="5140" width="26.125" style="3077" customWidth="1"/>
    <col min="5141" max="5376" width="8.875" style="3077"/>
    <col min="5377" max="5377" width="9.5" style="3077" customWidth="1"/>
    <col min="5378" max="5378" width="8.875" style="3077"/>
    <col min="5379" max="5381" width="12.875" style="3077" customWidth="1"/>
    <col min="5382" max="5382" width="47.5" style="3077" customWidth="1"/>
    <col min="5383" max="5383" width="13" style="3077" customWidth="1"/>
    <col min="5384" max="5385" width="8.875" style="3077"/>
    <col min="5386" max="5386" width="5.75" style="3077" customWidth="1"/>
    <col min="5387" max="5387" width="11.75" style="3077" customWidth="1"/>
    <col min="5388" max="5389" width="10.75" style="3077" customWidth="1"/>
    <col min="5390" max="5390" width="10" style="3077" customWidth="1"/>
    <col min="5391" max="5392" width="10.5" style="3077" bestFit="1" customWidth="1"/>
    <col min="5393" max="5393" width="10" style="3077" customWidth="1"/>
    <col min="5394" max="5394" width="10.125" style="3077" customWidth="1"/>
    <col min="5395" max="5395" width="10" style="3077" customWidth="1"/>
    <col min="5396" max="5396" width="26.125" style="3077" customWidth="1"/>
    <col min="5397" max="5632" width="8.875" style="3077"/>
    <col min="5633" max="5633" width="9.5" style="3077" customWidth="1"/>
    <col min="5634" max="5634" width="8.875" style="3077"/>
    <col min="5635" max="5637" width="12.875" style="3077" customWidth="1"/>
    <col min="5638" max="5638" width="47.5" style="3077" customWidth="1"/>
    <col min="5639" max="5639" width="13" style="3077" customWidth="1"/>
    <col min="5640" max="5641" width="8.875" style="3077"/>
    <col min="5642" max="5642" width="5.75" style="3077" customWidth="1"/>
    <col min="5643" max="5643" width="11.75" style="3077" customWidth="1"/>
    <col min="5644" max="5645" width="10.75" style="3077" customWidth="1"/>
    <col min="5646" max="5646" width="10" style="3077" customWidth="1"/>
    <col min="5647" max="5648" width="10.5" style="3077" bestFit="1" customWidth="1"/>
    <col min="5649" max="5649" width="10" style="3077" customWidth="1"/>
    <col min="5650" max="5650" width="10.125" style="3077" customWidth="1"/>
    <col min="5651" max="5651" width="10" style="3077" customWidth="1"/>
    <col min="5652" max="5652" width="26.125" style="3077" customWidth="1"/>
    <col min="5653" max="5888" width="8.875" style="3077"/>
    <col min="5889" max="5889" width="9.5" style="3077" customWidth="1"/>
    <col min="5890" max="5890" width="8.875" style="3077"/>
    <col min="5891" max="5893" width="12.875" style="3077" customWidth="1"/>
    <col min="5894" max="5894" width="47.5" style="3077" customWidth="1"/>
    <col min="5895" max="5895" width="13" style="3077" customWidth="1"/>
    <col min="5896" max="5897" width="8.875" style="3077"/>
    <col min="5898" max="5898" width="5.75" style="3077" customWidth="1"/>
    <col min="5899" max="5899" width="11.75" style="3077" customWidth="1"/>
    <col min="5900" max="5901" width="10.75" style="3077" customWidth="1"/>
    <col min="5902" max="5902" width="10" style="3077" customWidth="1"/>
    <col min="5903" max="5904" width="10.5" style="3077" bestFit="1" customWidth="1"/>
    <col min="5905" max="5905" width="10" style="3077" customWidth="1"/>
    <col min="5906" max="5906" width="10.125" style="3077" customWidth="1"/>
    <col min="5907" max="5907" width="10" style="3077" customWidth="1"/>
    <col min="5908" max="5908" width="26.125" style="3077" customWidth="1"/>
    <col min="5909" max="6144" width="8.875" style="3077"/>
    <col min="6145" max="6145" width="9.5" style="3077" customWidth="1"/>
    <col min="6146" max="6146" width="8.875" style="3077"/>
    <col min="6147" max="6149" width="12.875" style="3077" customWidth="1"/>
    <col min="6150" max="6150" width="47.5" style="3077" customWidth="1"/>
    <col min="6151" max="6151" width="13" style="3077" customWidth="1"/>
    <col min="6152" max="6153" width="8.875" style="3077"/>
    <col min="6154" max="6154" width="5.75" style="3077" customWidth="1"/>
    <col min="6155" max="6155" width="11.75" style="3077" customWidth="1"/>
    <col min="6156" max="6157" width="10.75" style="3077" customWidth="1"/>
    <col min="6158" max="6158" width="10" style="3077" customWidth="1"/>
    <col min="6159" max="6160" width="10.5" style="3077" bestFit="1" customWidth="1"/>
    <col min="6161" max="6161" width="10" style="3077" customWidth="1"/>
    <col min="6162" max="6162" width="10.125" style="3077" customWidth="1"/>
    <col min="6163" max="6163" width="10" style="3077" customWidth="1"/>
    <col min="6164" max="6164" width="26.125" style="3077" customWidth="1"/>
    <col min="6165" max="6400" width="8.875" style="3077"/>
    <col min="6401" max="6401" width="9.5" style="3077" customWidth="1"/>
    <col min="6402" max="6402" width="8.875" style="3077"/>
    <col min="6403" max="6405" width="12.875" style="3077" customWidth="1"/>
    <col min="6406" max="6406" width="47.5" style="3077" customWidth="1"/>
    <col min="6407" max="6407" width="13" style="3077" customWidth="1"/>
    <col min="6408" max="6409" width="8.875" style="3077"/>
    <col min="6410" max="6410" width="5.75" style="3077" customWidth="1"/>
    <col min="6411" max="6411" width="11.75" style="3077" customWidth="1"/>
    <col min="6412" max="6413" width="10.75" style="3077" customWidth="1"/>
    <col min="6414" max="6414" width="10" style="3077" customWidth="1"/>
    <col min="6415" max="6416" width="10.5" style="3077" bestFit="1" customWidth="1"/>
    <col min="6417" max="6417" width="10" style="3077" customWidth="1"/>
    <col min="6418" max="6418" width="10.125" style="3077" customWidth="1"/>
    <col min="6419" max="6419" width="10" style="3077" customWidth="1"/>
    <col min="6420" max="6420" width="26.125" style="3077" customWidth="1"/>
    <col min="6421" max="6656" width="8.875" style="3077"/>
    <col min="6657" max="6657" width="9.5" style="3077" customWidth="1"/>
    <col min="6658" max="6658" width="8.875" style="3077"/>
    <col min="6659" max="6661" width="12.875" style="3077" customWidth="1"/>
    <col min="6662" max="6662" width="47.5" style="3077" customWidth="1"/>
    <col min="6663" max="6663" width="13" style="3077" customWidth="1"/>
    <col min="6664" max="6665" width="8.875" style="3077"/>
    <col min="6666" max="6666" width="5.75" style="3077" customWidth="1"/>
    <col min="6667" max="6667" width="11.75" style="3077" customWidth="1"/>
    <col min="6668" max="6669" width="10.75" style="3077" customWidth="1"/>
    <col min="6670" max="6670" width="10" style="3077" customWidth="1"/>
    <col min="6671" max="6672" width="10.5" style="3077" bestFit="1" customWidth="1"/>
    <col min="6673" max="6673" width="10" style="3077" customWidth="1"/>
    <col min="6674" max="6674" width="10.125" style="3077" customWidth="1"/>
    <col min="6675" max="6675" width="10" style="3077" customWidth="1"/>
    <col min="6676" max="6676" width="26.125" style="3077" customWidth="1"/>
    <col min="6677" max="6912" width="8.875" style="3077"/>
    <col min="6913" max="6913" width="9.5" style="3077" customWidth="1"/>
    <col min="6914" max="6914" width="8.875" style="3077"/>
    <col min="6915" max="6917" width="12.875" style="3077" customWidth="1"/>
    <col min="6918" max="6918" width="47.5" style="3077" customWidth="1"/>
    <col min="6919" max="6919" width="13" style="3077" customWidth="1"/>
    <col min="6920" max="6921" width="8.875" style="3077"/>
    <col min="6922" max="6922" width="5.75" style="3077" customWidth="1"/>
    <col min="6923" max="6923" width="11.75" style="3077" customWidth="1"/>
    <col min="6924" max="6925" width="10.75" style="3077" customWidth="1"/>
    <col min="6926" max="6926" width="10" style="3077" customWidth="1"/>
    <col min="6927" max="6928" width="10.5" style="3077" bestFit="1" customWidth="1"/>
    <col min="6929" max="6929" width="10" style="3077" customWidth="1"/>
    <col min="6930" max="6930" width="10.125" style="3077" customWidth="1"/>
    <col min="6931" max="6931" width="10" style="3077" customWidth="1"/>
    <col min="6932" max="6932" width="26.125" style="3077" customWidth="1"/>
    <col min="6933" max="7168" width="8.875" style="3077"/>
    <col min="7169" max="7169" width="9.5" style="3077" customWidth="1"/>
    <col min="7170" max="7170" width="8.875" style="3077"/>
    <col min="7171" max="7173" width="12.875" style="3077" customWidth="1"/>
    <col min="7174" max="7174" width="47.5" style="3077" customWidth="1"/>
    <col min="7175" max="7175" width="13" style="3077" customWidth="1"/>
    <col min="7176" max="7177" width="8.875" style="3077"/>
    <col min="7178" max="7178" width="5.75" style="3077" customWidth="1"/>
    <col min="7179" max="7179" width="11.75" style="3077" customWidth="1"/>
    <col min="7180" max="7181" width="10.75" style="3077" customWidth="1"/>
    <col min="7182" max="7182" width="10" style="3077" customWidth="1"/>
    <col min="7183" max="7184" width="10.5" style="3077" bestFit="1" customWidth="1"/>
    <col min="7185" max="7185" width="10" style="3077" customWidth="1"/>
    <col min="7186" max="7186" width="10.125" style="3077" customWidth="1"/>
    <col min="7187" max="7187" width="10" style="3077" customWidth="1"/>
    <col min="7188" max="7188" width="26.125" style="3077" customWidth="1"/>
    <col min="7189" max="7424" width="8.875" style="3077"/>
    <col min="7425" max="7425" width="9.5" style="3077" customWidth="1"/>
    <col min="7426" max="7426" width="8.875" style="3077"/>
    <col min="7427" max="7429" width="12.875" style="3077" customWidth="1"/>
    <col min="7430" max="7430" width="47.5" style="3077" customWidth="1"/>
    <col min="7431" max="7431" width="13" style="3077" customWidth="1"/>
    <col min="7432" max="7433" width="8.875" style="3077"/>
    <col min="7434" max="7434" width="5.75" style="3077" customWidth="1"/>
    <col min="7435" max="7435" width="11.75" style="3077" customWidth="1"/>
    <col min="7436" max="7437" width="10.75" style="3077" customWidth="1"/>
    <col min="7438" max="7438" width="10" style="3077" customWidth="1"/>
    <col min="7439" max="7440" width="10.5" style="3077" bestFit="1" customWidth="1"/>
    <col min="7441" max="7441" width="10" style="3077" customWidth="1"/>
    <col min="7442" max="7442" width="10.125" style="3077" customWidth="1"/>
    <col min="7443" max="7443" width="10" style="3077" customWidth="1"/>
    <col min="7444" max="7444" width="26.125" style="3077" customWidth="1"/>
    <col min="7445" max="7680" width="8.875" style="3077"/>
    <col min="7681" max="7681" width="9.5" style="3077" customWidth="1"/>
    <col min="7682" max="7682" width="8.875" style="3077"/>
    <col min="7683" max="7685" width="12.875" style="3077" customWidth="1"/>
    <col min="7686" max="7686" width="47.5" style="3077" customWidth="1"/>
    <col min="7687" max="7687" width="13" style="3077" customWidth="1"/>
    <col min="7688" max="7689" width="8.875" style="3077"/>
    <col min="7690" max="7690" width="5.75" style="3077" customWidth="1"/>
    <col min="7691" max="7691" width="11.75" style="3077" customWidth="1"/>
    <col min="7692" max="7693" width="10.75" style="3077" customWidth="1"/>
    <col min="7694" max="7694" width="10" style="3077" customWidth="1"/>
    <col min="7695" max="7696" width="10.5" style="3077" bestFit="1" customWidth="1"/>
    <col min="7697" max="7697" width="10" style="3077" customWidth="1"/>
    <col min="7698" max="7698" width="10.125" style="3077" customWidth="1"/>
    <col min="7699" max="7699" width="10" style="3077" customWidth="1"/>
    <col min="7700" max="7700" width="26.125" style="3077" customWidth="1"/>
    <col min="7701" max="7936" width="8.875" style="3077"/>
    <col min="7937" max="7937" width="9.5" style="3077" customWidth="1"/>
    <col min="7938" max="7938" width="8.875" style="3077"/>
    <col min="7939" max="7941" width="12.875" style="3077" customWidth="1"/>
    <col min="7942" max="7942" width="47.5" style="3077" customWidth="1"/>
    <col min="7943" max="7943" width="13" style="3077" customWidth="1"/>
    <col min="7944" max="7945" width="8.875" style="3077"/>
    <col min="7946" max="7946" width="5.75" style="3077" customWidth="1"/>
    <col min="7947" max="7947" width="11.75" style="3077" customWidth="1"/>
    <col min="7948" max="7949" width="10.75" style="3077" customWidth="1"/>
    <col min="7950" max="7950" width="10" style="3077" customWidth="1"/>
    <col min="7951" max="7952" width="10.5" style="3077" bestFit="1" customWidth="1"/>
    <col min="7953" max="7953" width="10" style="3077" customWidth="1"/>
    <col min="7954" max="7954" width="10.125" style="3077" customWidth="1"/>
    <col min="7955" max="7955" width="10" style="3077" customWidth="1"/>
    <col min="7956" max="7956" width="26.125" style="3077" customWidth="1"/>
    <col min="7957" max="8192" width="8.875" style="3077"/>
    <col min="8193" max="8193" width="9.5" style="3077" customWidth="1"/>
    <col min="8194" max="8194" width="8.875" style="3077"/>
    <col min="8195" max="8197" width="12.875" style="3077" customWidth="1"/>
    <col min="8198" max="8198" width="47.5" style="3077" customWidth="1"/>
    <col min="8199" max="8199" width="13" style="3077" customWidth="1"/>
    <col min="8200" max="8201" width="8.875" style="3077"/>
    <col min="8202" max="8202" width="5.75" style="3077" customWidth="1"/>
    <col min="8203" max="8203" width="11.75" style="3077" customWidth="1"/>
    <col min="8204" max="8205" width="10.75" style="3077" customWidth="1"/>
    <col min="8206" max="8206" width="10" style="3077" customWidth="1"/>
    <col min="8207" max="8208" width="10.5" style="3077" bestFit="1" customWidth="1"/>
    <col min="8209" max="8209" width="10" style="3077" customWidth="1"/>
    <col min="8210" max="8210" width="10.125" style="3077" customWidth="1"/>
    <col min="8211" max="8211" width="10" style="3077" customWidth="1"/>
    <col min="8212" max="8212" width="26.125" style="3077" customWidth="1"/>
    <col min="8213" max="8448" width="8.875" style="3077"/>
    <col min="8449" max="8449" width="9.5" style="3077" customWidth="1"/>
    <col min="8450" max="8450" width="8.875" style="3077"/>
    <col min="8451" max="8453" width="12.875" style="3077" customWidth="1"/>
    <col min="8454" max="8454" width="47.5" style="3077" customWidth="1"/>
    <col min="8455" max="8455" width="13" style="3077" customWidth="1"/>
    <col min="8456" max="8457" width="8.875" style="3077"/>
    <col min="8458" max="8458" width="5.75" style="3077" customWidth="1"/>
    <col min="8459" max="8459" width="11.75" style="3077" customWidth="1"/>
    <col min="8460" max="8461" width="10.75" style="3077" customWidth="1"/>
    <col min="8462" max="8462" width="10" style="3077" customWidth="1"/>
    <col min="8463" max="8464" width="10.5" style="3077" bestFit="1" customWidth="1"/>
    <col min="8465" max="8465" width="10" style="3077" customWidth="1"/>
    <col min="8466" max="8466" width="10.125" style="3077" customWidth="1"/>
    <col min="8467" max="8467" width="10" style="3077" customWidth="1"/>
    <col min="8468" max="8468" width="26.125" style="3077" customWidth="1"/>
    <col min="8469" max="8704" width="8.875" style="3077"/>
    <col min="8705" max="8705" width="9.5" style="3077" customWidth="1"/>
    <col min="8706" max="8706" width="8.875" style="3077"/>
    <col min="8707" max="8709" width="12.875" style="3077" customWidth="1"/>
    <col min="8710" max="8710" width="47.5" style="3077" customWidth="1"/>
    <col min="8711" max="8711" width="13" style="3077" customWidth="1"/>
    <col min="8712" max="8713" width="8.875" style="3077"/>
    <col min="8714" max="8714" width="5.75" style="3077" customWidth="1"/>
    <col min="8715" max="8715" width="11.75" style="3077" customWidth="1"/>
    <col min="8716" max="8717" width="10.75" style="3077" customWidth="1"/>
    <col min="8718" max="8718" width="10" style="3077" customWidth="1"/>
    <col min="8719" max="8720" width="10.5" style="3077" bestFit="1" customWidth="1"/>
    <col min="8721" max="8721" width="10" style="3077" customWidth="1"/>
    <col min="8722" max="8722" width="10.125" style="3077" customWidth="1"/>
    <col min="8723" max="8723" width="10" style="3077" customWidth="1"/>
    <col min="8724" max="8724" width="26.125" style="3077" customWidth="1"/>
    <col min="8725" max="8960" width="8.875" style="3077"/>
    <col min="8961" max="8961" width="9.5" style="3077" customWidth="1"/>
    <col min="8962" max="8962" width="8.875" style="3077"/>
    <col min="8963" max="8965" width="12.875" style="3077" customWidth="1"/>
    <col min="8966" max="8966" width="47.5" style="3077" customWidth="1"/>
    <col min="8967" max="8967" width="13" style="3077" customWidth="1"/>
    <col min="8968" max="8969" width="8.875" style="3077"/>
    <col min="8970" max="8970" width="5.75" style="3077" customWidth="1"/>
    <col min="8971" max="8971" width="11.75" style="3077" customWidth="1"/>
    <col min="8972" max="8973" width="10.75" style="3077" customWidth="1"/>
    <col min="8974" max="8974" width="10" style="3077" customWidth="1"/>
    <col min="8975" max="8976" width="10.5" style="3077" bestFit="1" customWidth="1"/>
    <col min="8977" max="8977" width="10" style="3077" customWidth="1"/>
    <col min="8978" max="8978" width="10.125" style="3077" customWidth="1"/>
    <col min="8979" max="8979" width="10" style="3077" customWidth="1"/>
    <col min="8980" max="8980" width="26.125" style="3077" customWidth="1"/>
    <col min="8981" max="9216" width="8.875" style="3077"/>
    <col min="9217" max="9217" width="9.5" style="3077" customWidth="1"/>
    <col min="9218" max="9218" width="8.875" style="3077"/>
    <col min="9219" max="9221" width="12.875" style="3077" customWidth="1"/>
    <col min="9222" max="9222" width="47.5" style="3077" customWidth="1"/>
    <col min="9223" max="9223" width="13" style="3077" customWidth="1"/>
    <col min="9224" max="9225" width="8.875" style="3077"/>
    <col min="9226" max="9226" width="5.75" style="3077" customWidth="1"/>
    <col min="9227" max="9227" width="11.75" style="3077" customWidth="1"/>
    <col min="9228" max="9229" width="10.75" style="3077" customWidth="1"/>
    <col min="9230" max="9230" width="10" style="3077" customWidth="1"/>
    <col min="9231" max="9232" width="10.5" style="3077" bestFit="1" customWidth="1"/>
    <col min="9233" max="9233" width="10" style="3077" customWidth="1"/>
    <col min="9234" max="9234" width="10.125" style="3077" customWidth="1"/>
    <col min="9235" max="9235" width="10" style="3077" customWidth="1"/>
    <col min="9236" max="9236" width="26.125" style="3077" customWidth="1"/>
    <col min="9237" max="9472" width="8.875" style="3077"/>
    <col min="9473" max="9473" width="9.5" style="3077" customWidth="1"/>
    <col min="9474" max="9474" width="8.875" style="3077"/>
    <col min="9475" max="9477" width="12.875" style="3077" customWidth="1"/>
    <col min="9478" max="9478" width="47.5" style="3077" customWidth="1"/>
    <col min="9479" max="9479" width="13" style="3077" customWidth="1"/>
    <col min="9480" max="9481" width="8.875" style="3077"/>
    <col min="9482" max="9482" width="5.75" style="3077" customWidth="1"/>
    <col min="9483" max="9483" width="11.75" style="3077" customWidth="1"/>
    <col min="9484" max="9485" width="10.75" style="3077" customWidth="1"/>
    <col min="9486" max="9486" width="10" style="3077" customWidth="1"/>
    <col min="9487" max="9488" width="10.5" style="3077" bestFit="1" customWidth="1"/>
    <col min="9489" max="9489" width="10" style="3077" customWidth="1"/>
    <col min="9490" max="9490" width="10.125" style="3077" customWidth="1"/>
    <col min="9491" max="9491" width="10" style="3077" customWidth="1"/>
    <col min="9492" max="9492" width="26.125" style="3077" customWidth="1"/>
    <col min="9493" max="9728" width="8.875" style="3077"/>
    <col min="9729" max="9729" width="9.5" style="3077" customWidth="1"/>
    <col min="9730" max="9730" width="8.875" style="3077"/>
    <col min="9731" max="9733" width="12.875" style="3077" customWidth="1"/>
    <col min="9734" max="9734" width="47.5" style="3077" customWidth="1"/>
    <col min="9735" max="9735" width="13" style="3077" customWidth="1"/>
    <col min="9736" max="9737" width="8.875" style="3077"/>
    <col min="9738" max="9738" width="5.75" style="3077" customWidth="1"/>
    <col min="9739" max="9739" width="11.75" style="3077" customWidth="1"/>
    <col min="9740" max="9741" width="10.75" style="3077" customWidth="1"/>
    <col min="9742" max="9742" width="10" style="3077" customWidth="1"/>
    <col min="9743" max="9744" width="10.5" style="3077" bestFit="1" customWidth="1"/>
    <col min="9745" max="9745" width="10" style="3077" customWidth="1"/>
    <col min="9746" max="9746" width="10.125" style="3077" customWidth="1"/>
    <col min="9747" max="9747" width="10" style="3077" customWidth="1"/>
    <col min="9748" max="9748" width="26.125" style="3077" customWidth="1"/>
    <col min="9749" max="9984" width="8.875" style="3077"/>
    <col min="9985" max="9985" width="9.5" style="3077" customWidth="1"/>
    <col min="9986" max="9986" width="8.875" style="3077"/>
    <col min="9987" max="9989" width="12.875" style="3077" customWidth="1"/>
    <col min="9990" max="9990" width="47.5" style="3077" customWidth="1"/>
    <col min="9991" max="9991" width="13" style="3077" customWidth="1"/>
    <col min="9992" max="9993" width="8.875" style="3077"/>
    <col min="9994" max="9994" width="5.75" style="3077" customWidth="1"/>
    <col min="9995" max="9995" width="11.75" style="3077" customWidth="1"/>
    <col min="9996" max="9997" width="10.75" style="3077" customWidth="1"/>
    <col min="9998" max="9998" width="10" style="3077" customWidth="1"/>
    <col min="9999" max="10000" width="10.5" style="3077" bestFit="1" customWidth="1"/>
    <col min="10001" max="10001" width="10" style="3077" customWidth="1"/>
    <col min="10002" max="10002" width="10.125" style="3077" customWidth="1"/>
    <col min="10003" max="10003" width="10" style="3077" customWidth="1"/>
    <col min="10004" max="10004" width="26.125" style="3077" customWidth="1"/>
    <col min="10005" max="10240" width="8.875" style="3077"/>
    <col min="10241" max="10241" width="9.5" style="3077" customWidth="1"/>
    <col min="10242" max="10242" width="8.875" style="3077"/>
    <col min="10243" max="10245" width="12.875" style="3077" customWidth="1"/>
    <col min="10246" max="10246" width="47.5" style="3077" customWidth="1"/>
    <col min="10247" max="10247" width="13" style="3077" customWidth="1"/>
    <col min="10248" max="10249" width="8.875" style="3077"/>
    <col min="10250" max="10250" width="5.75" style="3077" customWidth="1"/>
    <col min="10251" max="10251" width="11.75" style="3077" customWidth="1"/>
    <col min="10252" max="10253" width="10.75" style="3077" customWidth="1"/>
    <col min="10254" max="10254" width="10" style="3077" customWidth="1"/>
    <col min="10255" max="10256" width="10.5" style="3077" bestFit="1" customWidth="1"/>
    <col min="10257" max="10257" width="10" style="3077" customWidth="1"/>
    <col min="10258" max="10258" width="10.125" style="3077" customWidth="1"/>
    <col min="10259" max="10259" width="10" style="3077" customWidth="1"/>
    <col min="10260" max="10260" width="26.125" style="3077" customWidth="1"/>
    <col min="10261" max="10496" width="8.875" style="3077"/>
    <col min="10497" max="10497" width="9.5" style="3077" customWidth="1"/>
    <col min="10498" max="10498" width="8.875" style="3077"/>
    <col min="10499" max="10501" width="12.875" style="3077" customWidth="1"/>
    <col min="10502" max="10502" width="47.5" style="3077" customWidth="1"/>
    <col min="10503" max="10503" width="13" style="3077" customWidth="1"/>
    <col min="10504" max="10505" width="8.875" style="3077"/>
    <col min="10506" max="10506" width="5.75" style="3077" customWidth="1"/>
    <col min="10507" max="10507" width="11.75" style="3077" customWidth="1"/>
    <col min="10508" max="10509" width="10.75" style="3077" customWidth="1"/>
    <col min="10510" max="10510" width="10" style="3077" customWidth="1"/>
    <col min="10511" max="10512" width="10.5" style="3077" bestFit="1" customWidth="1"/>
    <col min="10513" max="10513" width="10" style="3077" customWidth="1"/>
    <col min="10514" max="10514" width="10.125" style="3077" customWidth="1"/>
    <col min="10515" max="10515" width="10" style="3077" customWidth="1"/>
    <col min="10516" max="10516" width="26.125" style="3077" customWidth="1"/>
    <col min="10517" max="10752" width="8.875" style="3077"/>
    <col min="10753" max="10753" width="9.5" style="3077" customWidth="1"/>
    <col min="10754" max="10754" width="8.875" style="3077"/>
    <col min="10755" max="10757" width="12.875" style="3077" customWidth="1"/>
    <col min="10758" max="10758" width="47.5" style="3077" customWidth="1"/>
    <col min="10759" max="10759" width="13" style="3077" customWidth="1"/>
    <col min="10760" max="10761" width="8.875" style="3077"/>
    <col min="10762" max="10762" width="5.75" style="3077" customWidth="1"/>
    <col min="10763" max="10763" width="11.75" style="3077" customWidth="1"/>
    <col min="10764" max="10765" width="10.75" style="3077" customWidth="1"/>
    <col min="10766" max="10766" width="10" style="3077" customWidth="1"/>
    <col min="10767" max="10768" width="10.5" style="3077" bestFit="1" customWidth="1"/>
    <col min="10769" max="10769" width="10" style="3077" customWidth="1"/>
    <col min="10770" max="10770" width="10.125" style="3077" customWidth="1"/>
    <col min="10771" max="10771" width="10" style="3077" customWidth="1"/>
    <col min="10772" max="10772" width="26.125" style="3077" customWidth="1"/>
    <col min="10773" max="11008" width="8.875" style="3077"/>
    <col min="11009" max="11009" width="9.5" style="3077" customWidth="1"/>
    <col min="11010" max="11010" width="8.875" style="3077"/>
    <col min="11011" max="11013" width="12.875" style="3077" customWidth="1"/>
    <col min="11014" max="11014" width="47.5" style="3077" customWidth="1"/>
    <col min="11015" max="11015" width="13" style="3077" customWidth="1"/>
    <col min="11016" max="11017" width="8.875" style="3077"/>
    <col min="11018" max="11018" width="5.75" style="3077" customWidth="1"/>
    <col min="11019" max="11019" width="11.75" style="3077" customWidth="1"/>
    <col min="11020" max="11021" width="10.75" style="3077" customWidth="1"/>
    <col min="11022" max="11022" width="10" style="3077" customWidth="1"/>
    <col min="11023" max="11024" width="10.5" style="3077" bestFit="1" customWidth="1"/>
    <col min="11025" max="11025" width="10" style="3077" customWidth="1"/>
    <col min="11026" max="11026" width="10.125" style="3077" customWidth="1"/>
    <col min="11027" max="11027" width="10" style="3077" customWidth="1"/>
    <col min="11028" max="11028" width="26.125" style="3077" customWidth="1"/>
    <col min="11029" max="11264" width="8.875" style="3077"/>
    <col min="11265" max="11265" width="9.5" style="3077" customWidth="1"/>
    <col min="11266" max="11266" width="8.875" style="3077"/>
    <col min="11267" max="11269" width="12.875" style="3077" customWidth="1"/>
    <col min="11270" max="11270" width="47.5" style="3077" customWidth="1"/>
    <col min="11271" max="11271" width="13" style="3077" customWidth="1"/>
    <col min="11272" max="11273" width="8.875" style="3077"/>
    <col min="11274" max="11274" width="5.75" style="3077" customWidth="1"/>
    <col min="11275" max="11275" width="11.75" style="3077" customWidth="1"/>
    <col min="11276" max="11277" width="10.75" style="3077" customWidth="1"/>
    <col min="11278" max="11278" width="10" style="3077" customWidth="1"/>
    <col min="11279" max="11280" width="10.5" style="3077" bestFit="1" customWidth="1"/>
    <col min="11281" max="11281" width="10" style="3077" customWidth="1"/>
    <col min="11282" max="11282" width="10.125" style="3077" customWidth="1"/>
    <col min="11283" max="11283" width="10" style="3077" customWidth="1"/>
    <col min="11284" max="11284" width="26.125" style="3077" customWidth="1"/>
    <col min="11285" max="11520" width="8.875" style="3077"/>
    <col min="11521" max="11521" width="9.5" style="3077" customWidth="1"/>
    <col min="11522" max="11522" width="8.875" style="3077"/>
    <col min="11523" max="11525" width="12.875" style="3077" customWidth="1"/>
    <col min="11526" max="11526" width="47.5" style="3077" customWidth="1"/>
    <col min="11527" max="11527" width="13" style="3077" customWidth="1"/>
    <col min="11528" max="11529" width="8.875" style="3077"/>
    <col min="11530" max="11530" width="5.75" style="3077" customWidth="1"/>
    <col min="11531" max="11531" width="11.75" style="3077" customWidth="1"/>
    <col min="11532" max="11533" width="10.75" style="3077" customWidth="1"/>
    <col min="11534" max="11534" width="10" style="3077" customWidth="1"/>
    <col min="11535" max="11536" width="10.5" style="3077" bestFit="1" customWidth="1"/>
    <col min="11537" max="11537" width="10" style="3077" customWidth="1"/>
    <col min="11538" max="11538" width="10.125" style="3077" customWidth="1"/>
    <col min="11539" max="11539" width="10" style="3077" customWidth="1"/>
    <col min="11540" max="11540" width="26.125" style="3077" customWidth="1"/>
    <col min="11541" max="11776" width="8.875" style="3077"/>
    <col min="11777" max="11777" width="9.5" style="3077" customWidth="1"/>
    <col min="11778" max="11778" width="8.875" style="3077"/>
    <col min="11779" max="11781" width="12.875" style="3077" customWidth="1"/>
    <col min="11782" max="11782" width="47.5" style="3077" customWidth="1"/>
    <col min="11783" max="11783" width="13" style="3077" customWidth="1"/>
    <col min="11784" max="11785" width="8.875" style="3077"/>
    <col min="11786" max="11786" width="5.75" style="3077" customWidth="1"/>
    <col min="11787" max="11787" width="11.75" style="3077" customWidth="1"/>
    <col min="11788" max="11789" width="10.75" style="3077" customWidth="1"/>
    <col min="11790" max="11790" width="10" style="3077" customWidth="1"/>
    <col min="11791" max="11792" width="10.5" style="3077" bestFit="1" customWidth="1"/>
    <col min="11793" max="11793" width="10" style="3077" customWidth="1"/>
    <col min="11794" max="11794" width="10.125" style="3077" customWidth="1"/>
    <col min="11795" max="11795" width="10" style="3077" customWidth="1"/>
    <col min="11796" max="11796" width="26.125" style="3077" customWidth="1"/>
    <col min="11797" max="12032" width="8.875" style="3077"/>
    <col min="12033" max="12033" width="9.5" style="3077" customWidth="1"/>
    <col min="12034" max="12034" width="8.875" style="3077"/>
    <col min="12035" max="12037" width="12.875" style="3077" customWidth="1"/>
    <col min="12038" max="12038" width="47.5" style="3077" customWidth="1"/>
    <col min="12039" max="12039" width="13" style="3077" customWidth="1"/>
    <col min="12040" max="12041" width="8.875" style="3077"/>
    <col min="12042" max="12042" width="5.75" style="3077" customWidth="1"/>
    <col min="12043" max="12043" width="11.75" style="3077" customWidth="1"/>
    <col min="12044" max="12045" width="10.75" style="3077" customWidth="1"/>
    <col min="12046" max="12046" width="10" style="3077" customWidth="1"/>
    <col min="12047" max="12048" width="10.5" style="3077" bestFit="1" customWidth="1"/>
    <col min="12049" max="12049" width="10" style="3077" customWidth="1"/>
    <col min="12050" max="12050" width="10.125" style="3077" customWidth="1"/>
    <col min="12051" max="12051" width="10" style="3077" customWidth="1"/>
    <col min="12052" max="12052" width="26.125" style="3077" customWidth="1"/>
    <col min="12053" max="12288" width="8.875" style="3077"/>
    <col min="12289" max="12289" width="9.5" style="3077" customWidth="1"/>
    <col min="12290" max="12290" width="8.875" style="3077"/>
    <col min="12291" max="12293" width="12.875" style="3077" customWidth="1"/>
    <col min="12294" max="12294" width="47.5" style="3077" customWidth="1"/>
    <col min="12295" max="12295" width="13" style="3077" customWidth="1"/>
    <col min="12296" max="12297" width="8.875" style="3077"/>
    <col min="12298" max="12298" width="5.75" style="3077" customWidth="1"/>
    <col min="12299" max="12299" width="11.75" style="3077" customWidth="1"/>
    <col min="12300" max="12301" width="10.75" style="3077" customWidth="1"/>
    <col min="12302" max="12302" width="10" style="3077" customWidth="1"/>
    <col min="12303" max="12304" width="10.5" style="3077" bestFit="1" customWidth="1"/>
    <col min="12305" max="12305" width="10" style="3077" customWidth="1"/>
    <col min="12306" max="12306" width="10.125" style="3077" customWidth="1"/>
    <col min="12307" max="12307" width="10" style="3077" customWidth="1"/>
    <col min="12308" max="12308" width="26.125" style="3077" customWidth="1"/>
    <col min="12309" max="12544" width="8.875" style="3077"/>
    <col min="12545" max="12545" width="9.5" style="3077" customWidth="1"/>
    <col min="12546" max="12546" width="8.875" style="3077"/>
    <col min="12547" max="12549" width="12.875" style="3077" customWidth="1"/>
    <col min="12550" max="12550" width="47.5" style="3077" customWidth="1"/>
    <col min="12551" max="12551" width="13" style="3077" customWidth="1"/>
    <col min="12552" max="12553" width="8.875" style="3077"/>
    <col min="12554" max="12554" width="5.75" style="3077" customWidth="1"/>
    <col min="12555" max="12555" width="11.75" style="3077" customWidth="1"/>
    <col min="12556" max="12557" width="10.75" style="3077" customWidth="1"/>
    <col min="12558" max="12558" width="10" style="3077" customWidth="1"/>
    <col min="12559" max="12560" width="10.5" style="3077" bestFit="1" customWidth="1"/>
    <col min="12561" max="12561" width="10" style="3077" customWidth="1"/>
    <col min="12562" max="12562" width="10.125" style="3077" customWidth="1"/>
    <col min="12563" max="12563" width="10" style="3077" customWidth="1"/>
    <col min="12564" max="12564" width="26.125" style="3077" customWidth="1"/>
    <col min="12565" max="12800" width="8.875" style="3077"/>
    <col min="12801" max="12801" width="9.5" style="3077" customWidth="1"/>
    <col min="12802" max="12802" width="8.875" style="3077"/>
    <col min="12803" max="12805" width="12.875" style="3077" customWidth="1"/>
    <col min="12806" max="12806" width="47.5" style="3077" customWidth="1"/>
    <col min="12807" max="12807" width="13" style="3077" customWidth="1"/>
    <col min="12808" max="12809" width="8.875" style="3077"/>
    <col min="12810" max="12810" width="5.75" style="3077" customWidth="1"/>
    <col min="12811" max="12811" width="11.75" style="3077" customWidth="1"/>
    <col min="12812" max="12813" width="10.75" style="3077" customWidth="1"/>
    <col min="12814" max="12814" width="10" style="3077" customWidth="1"/>
    <col min="12815" max="12816" width="10.5" style="3077" bestFit="1" customWidth="1"/>
    <col min="12817" max="12817" width="10" style="3077" customWidth="1"/>
    <col min="12818" max="12818" width="10.125" style="3077" customWidth="1"/>
    <col min="12819" max="12819" width="10" style="3077" customWidth="1"/>
    <col min="12820" max="12820" width="26.125" style="3077" customWidth="1"/>
    <col min="12821" max="13056" width="8.875" style="3077"/>
    <col min="13057" max="13057" width="9.5" style="3077" customWidth="1"/>
    <col min="13058" max="13058" width="8.875" style="3077"/>
    <col min="13059" max="13061" width="12.875" style="3077" customWidth="1"/>
    <col min="13062" max="13062" width="47.5" style="3077" customWidth="1"/>
    <col min="13063" max="13063" width="13" style="3077" customWidth="1"/>
    <col min="13064" max="13065" width="8.875" style="3077"/>
    <col min="13066" max="13066" width="5.75" style="3077" customWidth="1"/>
    <col min="13067" max="13067" width="11.75" style="3077" customWidth="1"/>
    <col min="13068" max="13069" width="10.75" style="3077" customWidth="1"/>
    <col min="13070" max="13070" width="10" style="3077" customWidth="1"/>
    <col min="13071" max="13072" width="10.5" style="3077" bestFit="1" customWidth="1"/>
    <col min="13073" max="13073" width="10" style="3077" customWidth="1"/>
    <col min="13074" max="13074" width="10.125" style="3077" customWidth="1"/>
    <col min="13075" max="13075" width="10" style="3077" customWidth="1"/>
    <col min="13076" max="13076" width="26.125" style="3077" customWidth="1"/>
    <col min="13077" max="13312" width="8.875" style="3077"/>
    <col min="13313" max="13313" width="9.5" style="3077" customWidth="1"/>
    <col min="13314" max="13314" width="8.875" style="3077"/>
    <col min="13315" max="13317" width="12.875" style="3077" customWidth="1"/>
    <col min="13318" max="13318" width="47.5" style="3077" customWidth="1"/>
    <col min="13319" max="13319" width="13" style="3077" customWidth="1"/>
    <col min="13320" max="13321" width="8.875" style="3077"/>
    <col min="13322" max="13322" width="5.75" style="3077" customWidth="1"/>
    <col min="13323" max="13323" width="11.75" style="3077" customWidth="1"/>
    <col min="13324" max="13325" width="10.75" style="3077" customWidth="1"/>
    <col min="13326" max="13326" width="10" style="3077" customWidth="1"/>
    <col min="13327" max="13328" width="10.5" style="3077" bestFit="1" customWidth="1"/>
    <col min="13329" max="13329" width="10" style="3077" customWidth="1"/>
    <col min="13330" max="13330" width="10.125" style="3077" customWidth="1"/>
    <col min="13331" max="13331" width="10" style="3077" customWidth="1"/>
    <col min="13332" max="13332" width="26.125" style="3077" customWidth="1"/>
    <col min="13333" max="13568" width="8.875" style="3077"/>
    <col min="13569" max="13569" width="9.5" style="3077" customWidth="1"/>
    <col min="13570" max="13570" width="8.875" style="3077"/>
    <col min="13571" max="13573" width="12.875" style="3077" customWidth="1"/>
    <col min="13574" max="13574" width="47.5" style="3077" customWidth="1"/>
    <col min="13575" max="13575" width="13" style="3077" customWidth="1"/>
    <col min="13576" max="13577" width="8.875" style="3077"/>
    <col min="13578" max="13578" width="5.75" style="3077" customWidth="1"/>
    <col min="13579" max="13579" width="11.75" style="3077" customWidth="1"/>
    <col min="13580" max="13581" width="10.75" style="3077" customWidth="1"/>
    <col min="13582" max="13582" width="10" style="3077" customWidth="1"/>
    <col min="13583" max="13584" width="10.5" style="3077" bestFit="1" customWidth="1"/>
    <col min="13585" max="13585" width="10" style="3077" customWidth="1"/>
    <col min="13586" max="13586" width="10.125" style="3077" customWidth="1"/>
    <col min="13587" max="13587" width="10" style="3077" customWidth="1"/>
    <col min="13588" max="13588" width="26.125" style="3077" customWidth="1"/>
    <col min="13589" max="13824" width="8.875" style="3077"/>
    <col min="13825" max="13825" width="9.5" style="3077" customWidth="1"/>
    <col min="13826" max="13826" width="8.875" style="3077"/>
    <col min="13827" max="13829" width="12.875" style="3077" customWidth="1"/>
    <col min="13830" max="13830" width="47.5" style="3077" customWidth="1"/>
    <col min="13831" max="13831" width="13" style="3077" customWidth="1"/>
    <col min="13832" max="13833" width="8.875" style="3077"/>
    <col min="13834" max="13834" width="5.75" style="3077" customWidth="1"/>
    <col min="13835" max="13835" width="11.75" style="3077" customWidth="1"/>
    <col min="13836" max="13837" width="10.75" style="3077" customWidth="1"/>
    <col min="13838" max="13838" width="10" style="3077" customWidth="1"/>
    <col min="13839" max="13840" width="10.5" style="3077" bestFit="1" customWidth="1"/>
    <col min="13841" max="13841" width="10" style="3077" customWidth="1"/>
    <col min="13842" max="13842" width="10.125" style="3077" customWidth="1"/>
    <col min="13843" max="13843" width="10" style="3077" customWidth="1"/>
    <col min="13844" max="13844" width="26.125" style="3077" customWidth="1"/>
    <col min="13845" max="14080" width="8.875" style="3077"/>
    <col min="14081" max="14081" width="9.5" style="3077" customWidth="1"/>
    <col min="14082" max="14082" width="8.875" style="3077"/>
    <col min="14083" max="14085" width="12.875" style="3077" customWidth="1"/>
    <col min="14086" max="14086" width="47.5" style="3077" customWidth="1"/>
    <col min="14087" max="14087" width="13" style="3077" customWidth="1"/>
    <col min="14088" max="14089" width="8.875" style="3077"/>
    <col min="14090" max="14090" width="5.75" style="3077" customWidth="1"/>
    <col min="14091" max="14091" width="11.75" style="3077" customWidth="1"/>
    <col min="14092" max="14093" width="10.75" style="3077" customWidth="1"/>
    <col min="14094" max="14094" width="10" style="3077" customWidth="1"/>
    <col min="14095" max="14096" width="10.5" style="3077" bestFit="1" customWidth="1"/>
    <col min="14097" max="14097" width="10" style="3077" customWidth="1"/>
    <col min="14098" max="14098" width="10.125" style="3077" customWidth="1"/>
    <col min="14099" max="14099" width="10" style="3077" customWidth="1"/>
    <col min="14100" max="14100" width="26.125" style="3077" customWidth="1"/>
    <col min="14101" max="14336" width="8.875" style="3077"/>
    <col min="14337" max="14337" width="9.5" style="3077" customWidth="1"/>
    <col min="14338" max="14338" width="8.875" style="3077"/>
    <col min="14339" max="14341" width="12.875" style="3077" customWidth="1"/>
    <col min="14342" max="14342" width="47.5" style="3077" customWidth="1"/>
    <col min="14343" max="14343" width="13" style="3077" customWidth="1"/>
    <col min="14344" max="14345" width="8.875" style="3077"/>
    <col min="14346" max="14346" width="5.75" style="3077" customWidth="1"/>
    <col min="14347" max="14347" width="11.75" style="3077" customWidth="1"/>
    <col min="14348" max="14349" width="10.75" style="3077" customWidth="1"/>
    <col min="14350" max="14350" width="10" style="3077" customWidth="1"/>
    <col min="14351" max="14352" width="10.5" style="3077" bestFit="1" customWidth="1"/>
    <col min="14353" max="14353" width="10" style="3077" customWidth="1"/>
    <col min="14354" max="14354" width="10.125" style="3077" customWidth="1"/>
    <col min="14355" max="14355" width="10" style="3077" customWidth="1"/>
    <col min="14356" max="14356" width="26.125" style="3077" customWidth="1"/>
    <col min="14357" max="14592" width="8.875" style="3077"/>
    <col min="14593" max="14593" width="9.5" style="3077" customWidth="1"/>
    <col min="14594" max="14594" width="8.875" style="3077"/>
    <col min="14595" max="14597" width="12.875" style="3077" customWidth="1"/>
    <col min="14598" max="14598" width="47.5" style="3077" customWidth="1"/>
    <col min="14599" max="14599" width="13" style="3077" customWidth="1"/>
    <col min="14600" max="14601" width="8.875" style="3077"/>
    <col min="14602" max="14602" width="5.75" style="3077" customWidth="1"/>
    <col min="14603" max="14603" width="11.75" style="3077" customWidth="1"/>
    <col min="14604" max="14605" width="10.75" style="3077" customWidth="1"/>
    <col min="14606" max="14606" width="10" style="3077" customWidth="1"/>
    <col min="14607" max="14608" width="10.5" style="3077" bestFit="1" customWidth="1"/>
    <col min="14609" max="14609" width="10" style="3077" customWidth="1"/>
    <col min="14610" max="14610" width="10.125" style="3077" customWidth="1"/>
    <col min="14611" max="14611" width="10" style="3077" customWidth="1"/>
    <col min="14612" max="14612" width="26.125" style="3077" customWidth="1"/>
    <col min="14613" max="14848" width="8.875" style="3077"/>
    <col min="14849" max="14849" width="9.5" style="3077" customWidth="1"/>
    <col min="14850" max="14850" width="8.875" style="3077"/>
    <col min="14851" max="14853" width="12.875" style="3077" customWidth="1"/>
    <col min="14854" max="14854" width="47.5" style="3077" customWidth="1"/>
    <col min="14855" max="14855" width="13" style="3077" customWidth="1"/>
    <col min="14856" max="14857" width="8.875" style="3077"/>
    <col min="14858" max="14858" width="5.75" style="3077" customWidth="1"/>
    <col min="14859" max="14859" width="11.75" style="3077" customWidth="1"/>
    <col min="14860" max="14861" width="10.75" style="3077" customWidth="1"/>
    <col min="14862" max="14862" width="10" style="3077" customWidth="1"/>
    <col min="14863" max="14864" width="10.5" style="3077" bestFit="1" customWidth="1"/>
    <col min="14865" max="14865" width="10" style="3077" customWidth="1"/>
    <col min="14866" max="14866" width="10.125" style="3077" customWidth="1"/>
    <col min="14867" max="14867" width="10" style="3077" customWidth="1"/>
    <col min="14868" max="14868" width="26.125" style="3077" customWidth="1"/>
    <col min="14869" max="15104" width="8.875" style="3077"/>
    <col min="15105" max="15105" width="9.5" style="3077" customWidth="1"/>
    <col min="15106" max="15106" width="8.875" style="3077"/>
    <col min="15107" max="15109" width="12.875" style="3077" customWidth="1"/>
    <col min="15110" max="15110" width="47.5" style="3077" customWidth="1"/>
    <col min="15111" max="15111" width="13" style="3077" customWidth="1"/>
    <col min="15112" max="15113" width="8.875" style="3077"/>
    <col min="15114" max="15114" width="5.75" style="3077" customWidth="1"/>
    <col min="15115" max="15115" width="11.75" style="3077" customWidth="1"/>
    <col min="15116" max="15117" width="10.75" style="3077" customWidth="1"/>
    <col min="15118" max="15118" width="10" style="3077" customWidth="1"/>
    <col min="15119" max="15120" width="10.5" style="3077" bestFit="1" customWidth="1"/>
    <col min="15121" max="15121" width="10" style="3077" customWidth="1"/>
    <col min="15122" max="15122" width="10.125" style="3077" customWidth="1"/>
    <col min="15123" max="15123" width="10" style="3077" customWidth="1"/>
    <col min="15124" max="15124" width="26.125" style="3077" customWidth="1"/>
    <col min="15125" max="15360" width="8.875" style="3077"/>
    <col min="15361" max="15361" width="9.5" style="3077" customWidth="1"/>
    <col min="15362" max="15362" width="8.875" style="3077"/>
    <col min="15363" max="15365" width="12.875" style="3077" customWidth="1"/>
    <col min="15366" max="15366" width="47.5" style="3077" customWidth="1"/>
    <col min="15367" max="15367" width="13" style="3077" customWidth="1"/>
    <col min="15368" max="15369" width="8.875" style="3077"/>
    <col min="15370" max="15370" width="5.75" style="3077" customWidth="1"/>
    <col min="15371" max="15371" width="11.75" style="3077" customWidth="1"/>
    <col min="15372" max="15373" width="10.75" style="3077" customWidth="1"/>
    <col min="15374" max="15374" width="10" style="3077" customWidth="1"/>
    <col min="15375" max="15376" width="10.5" style="3077" bestFit="1" customWidth="1"/>
    <col min="15377" max="15377" width="10" style="3077" customWidth="1"/>
    <col min="15378" max="15378" width="10.125" style="3077" customWidth="1"/>
    <col min="15379" max="15379" width="10" style="3077" customWidth="1"/>
    <col min="15380" max="15380" width="26.125" style="3077" customWidth="1"/>
    <col min="15381" max="15616" width="8.875" style="3077"/>
    <col min="15617" max="15617" width="9.5" style="3077" customWidth="1"/>
    <col min="15618" max="15618" width="8.875" style="3077"/>
    <col min="15619" max="15621" width="12.875" style="3077" customWidth="1"/>
    <col min="15622" max="15622" width="47.5" style="3077" customWidth="1"/>
    <col min="15623" max="15623" width="13" style="3077" customWidth="1"/>
    <col min="15624" max="15625" width="8.875" style="3077"/>
    <col min="15626" max="15626" width="5.75" style="3077" customWidth="1"/>
    <col min="15627" max="15627" width="11.75" style="3077" customWidth="1"/>
    <col min="15628" max="15629" width="10.75" style="3077" customWidth="1"/>
    <col min="15630" max="15630" width="10" style="3077" customWidth="1"/>
    <col min="15631" max="15632" width="10.5" style="3077" bestFit="1" customWidth="1"/>
    <col min="15633" max="15633" width="10" style="3077" customWidth="1"/>
    <col min="15634" max="15634" width="10.125" style="3077" customWidth="1"/>
    <col min="15635" max="15635" width="10" style="3077" customWidth="1"/>
    <col min="15636" max="15636" width="26.125" style="3077" customWidth="1"/>
    <col min="15637" max="15872" width="8.875" style="3077"/>
    <col min="15873" max="15873" width="9.5" style="3077" customWidth="1"/>
    <col min="15874" max="15874" width="8.875" style="3077"/>
    <col min="15875" max="15877" width="12.875" style="3077" customWidth="1"/>
    <col min="15878" max="15878" width="47.5" style="3077" customWidth="1"/>
    <col min="15879" max="15879" width="13" style="3077" customWidth="1"/>
    <col min="15880" max="15881" width="8.875" style="3077"/>
    <col min="15882" max="15882" width="5.75" style="3077" customWidth="1"/>
    <col min="15883" max="15883" width="11.75" style="3077" customWidth="1"/>
    <col min="15884" max="15885" width="10.75" style="3077" customWidth="1"/>
    <col min="15886" max="15886" width="10" style="3077" customWidth="1"/>
    <col min="15887" max="15888" width="10.5" style="3077" bestFit="1" customWidth="1"/>
    <col min="15889" max="15889" width="10" style="3077" customWidth="1"/>
    <col min="15890" max="15890" width="10.125" style="3077" customWidth="1"/>
    <col min="15891" max="15891" width="10" style="3077" customWidth="1"/>
    <col min="15892" max="15892" width="26.125" style="3077" customWidth="1"/>
    <col min="15893" max="16128" width="8.875" style="3077"/>
    <col min="16129" max="16129" width="9.5" style="3077" customWidth="1"/>
    <col min="16130" max="16130" width="8.875" style="3077"/>
    <col min="16131" max="16133" width="12.875" style="3077" customWidth="1"/>
    <col min="16134" max="16134" width="47.5" style="3077" customWidth="1"/>
    <col min="16135" max="16135" width="13" style="3077" customWidth="1"/>
    <col min="16136" max="16137" width="8.875" style="3077"/>
    <col min="16138" max="16138" width="5.75" style="3077" customWidth="1"/>
    <col min="16139" max="16139" width="11.75" style="3077" customWidth="1"/>
    <col min="16140" max="16141" width="10.75" style="3077" customWidth="1"/>
    <col min="16142" max="16142" width="10" style="3077" customWidth="1"/>
    <col min="16143" max="16144" width="10.5" style="3077" bestFit="1" customWidth="1"/>
    <col min="16145" max="16145" width="10" style="3077" customWidth="1"/>
    <col min="16146" max="16146" width="10.125" style="3077" customWidth="1"/>
    <col min="16147" max="16147" width="10" style="3077" customWidth="1"/>
    <col min="16148" max="16148" width="26.125" style="3077" customWidth="1"/>
    <col min="16149" max="16384" width="8.875" style="3077"/>
  </cols>
  <sheetData>
    <row r="1" spans="1:23" ht="21" customHeight="1">
      <c r="A1" s="3073" t="s">
        <v>2794</v>
      </c>
      <c r="B1" s="3074"/>
      <c r="C1" s="3080"/>
      <c r="D1" s="3080"/>
      <c r="E1" s="3075"/>
      <c r="F1" s="3076"/>
      <c r="G1" s="3169"/>
      <c r="J1" s="3172" t="s">
        <v>2650</v>
      </c>
      <c r="K1" s="3173"/>
      <c r="L1" s="3173"/>
      <c r="M1" s="3173"/>
      <c r="N1" s="3173"/>
      <c r="O1" s="3173"/>
      <c r="P1" s="3173"/>
      <c r="Q1" s="3173"/>
      <c r="R1" s="3174"/>
      <c r="S1" s="3175"/>
      <c r="T1" s="3175"/>
      <c r="U1" s="3175"/>
    </row>
    <row r="2" spans="1:23" s="3083" customFormat="1" ht="13.15" customHeight="1">
      <c r="A2" s="3078" t="s">
        <v>2651</v>
      </c>
      <c r="B2" s="3079" t="e">
        <f>C40</f>
        <v>#DIV/0!</v>
      </c>
      <c r="C2" s="3080" t="s">
        <v>2652</v>
      </c>
      <c r="D2" s="3080"/>
      <c r="E2" s="3081"/>
      <c r="F2" s="3082"/>
      <c r="G2" s="3176"/>
      <c r="H2" s="3177"/>
      <c r="I2" s="3178"/>
      <c r="J2" s="3632" t="s">
        <v>2653</v>
      </c>
      <c r="K2" s="3633"/>
      <c r="L2" s="3179" t="s">
        <v>2654</v>
      </c>
      <c r="M2" s="3179" t="s">
        <v>2655</v>
      </c>
      <c r="N2" s="3179" t="s">
        <v>2656</v>
      </c>
      <c r="O2" s="3179" t="s">
        <v>2657</v>
      </c>
      <c r="P2" s="3179" t="s">
        <v>2658</v>
      </c>
      <c r="Q2" s="3180" t="s">
        <v>2659</v>
      </c>
      <c r="R2" s="3181" t="s">
        <v>2660</v>
      </c>
      <c r="S2" s="3175"/>
      <c r="T2" s="3175"/>
      <c r="U2" s="3175"/>
      <c r="V2" s="3178"/>
      <c r="W2" s="3177"/>
    </row>
    <row r="3" spans="1:23" s="3083" customFormat="1" ht="13.15" customHeight="1">
      <c r="A3" s="3085" t="s">
        <v>2661</v>
      </c>
      <c r="B3" s="3086" t="e">
        <f>ROUND(B2*10000/B4,0)</f>
        <v>#DIV/0!</v>
      </c>
      <c r="C3" s="3080" t="s">
        <v>2662</v>
      </c>
      <c r="D3" s="3080"/>
      <c r="E3" s="3081"/>
      <c r="F3" s="3082"/>
      <c r="G3" s="3176"/>
      <c r="H3" s="3177"/>
      <c r="I3" s="3178"/>
      <c r="J3" s="3634" t="s">
        <v>2663</v>
      </c>
      <c r="K3" s="3635"/>
      <c r="L3" s="3182"/>
      <c r="M3" s="3182"/>
      <c r="N3" s="3182"/>
      <c r="O3" s="3182"/>
      <c r="P3" s="3182"/>
      <c r="Q3" s="3183"/>
      <c r="R3" s="3184">
        <f>SUM(L3:Q3)</f>
        <v>0</v>
      </c>
      <c r="S3" s="3175"/>
      <c r="T3" s="3175"/>
      <c r="U3" s="3175"/>
      <c r="V3" s="3178"/>
      <c r="W3" s="3177"/>
    </row>
    <row r="4" spans="1:23" s="3083" customFormat="1" ht="13.15" customHeight="1">
      <c r="A4" s="3087" t="s">
        <v>2664</v>
      </c>
      <c r="B4" s="3144"/>
      <c r="C4" s="3080"/>
      <c r="D4" s="3080"/>
      <c r="E4" s="3081"/>
      <c r="F4" s="3082"/>
      <c r="G4" s="3176"/>
      <c r="H4" s="3177"/>
      <c r="I4" s="3178"/>
      <c r="J4" s="3634" t="s">
        <v>2665</v>
      </c>
      <c r="K4" s="3635"/>
      <c r="L4" s="3185"/>
      <c r="M4" s="3185"/>
      <c r="N4" s="3185"/>
      <c r="O4" s="3185"/>
      <c r="P4" s="3185"/>
      <c r="Q4" s="3186"/>
      <c r="R4" s="3187">
        <f>SUM(L4:Q4)</f>
        <v>0</v>
      </c>
      <c r="S4" s="3175"/>
      <c r="T4" s="3175"/>
      <c r="U4" s="3175"/>
      <c r="V4" s="3178"/>
      <c r="W4" s="3177"/>
    </row>
    <row r="5" spans="1:23" s="3083" customFormat="1" ht="13.15" customHeight="1" thickBot="1">
      <c r="A5" s="3088" t="s">
        <v>2666</v>
      </c>
      <c r="B5" s="3145"/>
      <c r="C5" s="3080"/>
      <c r="D5" s="3089"/>
      <c r="E5" s="3082"/>
      <c r="F5" s="3082"/>
      <c r="G5" s="3176"/>
      <c r="H5" s="3177"/>
      <c r="I5" s="3178"/>
      <c r="J5" s="3188" t="s">
        <v>2667</v>
      </c>
      <c r="K5" s="3189"/>
      <c r="L5" s="3189"/>
      <c r="M5" s="3190"/>
      <c r="N5" s="3190"/>
      <c r="O5" s="3190"/>
      <c r="P5" s="3190"/>
      <c r="Q5" s="3190"/>
      <c r="R5" s="3181">
        <f>SUM(R14,R19,R24,R25,R27,R28)</f>
        <v>0</v>
      </c>
      <c r="S5" s="3175"/>
      <c r="T5" s="3175" t="s">
        <v>2668</v>
      </c>
      <c r="U5" s="3175" t="e">
        <f>ROUND(R5*10000/365/R3,1)</f>
        <v>#DIV/0!</v>
      </c>
      <c r="V5" s="3178"/>
      <c r="W5" s="3177"/>
    </row>
    <row r="6" spans="1:23" s="3083" customFormat="1" ht="13.15" customHeight="1" thickBot="1">
      <c r="A6" s="3636" t="s">
        <v>2669</v>
      </c>
      <c r="B6" s="3637"/>
      <c r="C6" s="3638"/>
      <c r="D6" s="3146"/>
      <c r="E6" s="3090"/>
      <c r="F6" s="3091"/>
      <c r="G6" s="3191"/>
      <c r="H6" s="3177"/>
      <c r="I6" s="3178"/>
      <c r="J6" s="3639">
        <v>1</v>
      </c>
      <c r="K6" s="3640" t="s">
        <v>2670</v>
      </c>
      <c r="L6" s="3192" t="s">
        <v>2671</v>
      </c>
      <c r="M6" s="3193" t="s">
        <v>2672</v>
      </c>
      <c r="N6" s="3193" t="s">
        <v>2673</v>
      </c>
      <c r="O6" s="3193" t="s">
        <v>2674</v>
      </c>
      <c r="P6" s="3193" t="s">
        <v>2675</v>
      </c>
      <c r="Q6" s="3193" t="s">
        <v>2676</v>
      </c>
      <c r="R6" s="3184" t="s">
        <v>2677</v>
      </c>
      <c r="S6" s="3175"/>
      <c r="T6" s="3175" t="s">
        <v>2678</v>
      </c>
      <c r="U6" s="3175"/>
      <c r="V6" s="3178"/>
      <c r="W6" s="3177"/>
    </row>
    <row r="7" spans="1:23" s="3083" customFormat="1" ht="13.15" customHeight="1">
      <c r="A7" s="3093" t="s">
        <v>2679</v>
      </c>
      <c r="B7" s="3094"/>
      <c r="C7" s="3095"/>
      <c r="D7" s="3096">
        <f>SUM(D9,D10,D11,D17,0)</f>
        <v>0</v>
      </c>
      <c r="E7" s="3097" t="e">
        <f>E9+E10+E11+E17</f>
        <v>#DIV/0!</v>
      </c>
      <c r="F7" s="3098"/>
      <c r="G7" s="3194"/>
      <c r="H7" s="3177"/>
      <c r="I7" s="3178"/>
      <c r="J7" s="3639"/>
      <c r="K7" s="3641"/>
      <c r="L7" s="3195" t="s">
        <v>2779</v>
      </c>
      <c r="M7" s="3196"/>
      <c r="N7" s="3196"/>
      <c r="O7" s="3197"/>
      <c r="P7" s="3197"/>
      <c r="Q7" s="3198">
        <v>365</v>
      </c>
      <c r="R7" s="3199">
        <f>ROUND(M7*N7*O7*P7*Q7/10000,0)</f>
        <v>0</v>
      </c>
      <c r="S7" s="3175"/>
      <c r="T7" s="3175" t="s">
        <v>2680</v>
      </c>
      <c r="U7" s="3175"/>
      <c r="V7" s="3178"/>
      <c r="W7" s="3177"/>
    </row>
    <row r="8" spans="1:23" s="3083" customFormat="1" ht="13.15" customHeight="1">
      <c r="A8" s="3099" t="s">
        <v>2681</v>
      </c>
      <c r="B8" s="3643" t="s">
        <v>2682</v>
      </c>
      <c r="C8" s="3644"/>
      <c r="D8" s="3100" t="s">
        <v>2683</v>
      </c>
      <c r="E8" s="3101" t="s">
        <v>2684</v>
      </c>
      <c r="F8" s="3084" t="s">
        <v>2685</v>
      </c>
      <c r="G8" s="3254" t="s">
        <v>2793</v>
      </c>
      <c r="H8" s="3177"/>
      <c r="I8" s="3178"/>
      <c r="J8" s="3639"/>
      <c r="K8" s="3641"/>
      <c r="L8" s="3195" t="s">
        <v>2780</v>
      </c>
      <c r="M8" s="3196"/>
      <c r="N8" s="3196"/>
      <c r="O8" s="3197"/>
      <c r="P8" s="3197"/>
      <c r="Q8" s="3198">
        <v>365</v>
      </c>
      <c r="R8" s="3199">
        <f t="shared" ref="R8:R13" si="0">ROUND(M8*N8*O8*P8*Q8/10000,0)</f>
        <v>0</v>
      </c>
      <c r="S8" s="3175"/>
      <c r="T8" s="3175" t="s">
        <v>2686</v>
      </c>
      <c r="U8" s="3175"/>
      <c r="V8" s="3178"/>
      <c r="W8" s="3177"/>
    </row>
    <row r="9" spans="1:23" s="3083" customFormat="1" ht="13.15" customHeight="1">
      <c r="A9" s="3099">
        <v>1</v>
      </c>
      <c r="B9" s="3643" t="s">
        <v>2687</v>
      </c>
      <c r="C9" s="3644"/>
      <c r="D9" s="3100">
        <f>ROUND(D6*E9,0)</f>
        <v>0</v>
      </c>
      <c r="E9" s="3147"/>
      <c r="F9" s="3102" t="s">
        <v>2688</v>
      </c>
      <c r="G9" s="3200" t="s">
        <v>2791</v>
      </c>
      <c r="H9" s="3177"/>
      <c r="I9" s="3178"/>
      <c r="J9" s="3639"/>
      <c r="K9" s="3641"/>
      <c r="L9" s="3195" t="s">
        <v>2781</v>
      </c>
      <c r="M9" s="3196"/>
      <c r="N9" s="3196"/>
      <c r="O9" s="3197"/>
      <c r="P9" s="3197"/>
      <c r="Q9" s="3198">
        <v>365</v>
      </c>
      <c r="R9" s="3199">
        <f t="shared" si="0"/>
        <v>0</v>
      </c>
      <c r="S9" s="3175"/>
      <c r="T9" s="3175"/>
      <c r="U9" s="3175"/>
      <c r="V9" s="3178"/>
      <c r="W9" s="3177"/>
    </row>
    <row r="10" spans="1:23" s="3083" customFormat="1" ht="13.15" customHeight="1">
      <c r="A10" s="3099">
        <v>2</v>
      </c>
      <c r="B10" s="3643" t="s">
        <v>2689</v>
      </c>
      <c r="C10" s="3644"/>
      <c r="D10" s="3100">
        <f>ROUND(D6*E10,0)</f>
        <v>0</v>
      </c>
      <c r="E10" s="3147"/>
      <c r="F10" s="3102" t="s">
        <v>2690</v>
      </c>
      <c r="G10" s="3200" t="s">
        <v>2792</v>
      </c>
      <c r="H10" s="3177"/>
      <c r="I10" s="3178"/>
      <c r="J10" s="3639"/>
      <c r="K10" s="3641"/>
      <c r="L10" s="3195" t="s">
        <v>2782</v>
      </c>
      <c r="M10" s="3196"/>
      <c r="N10" s="3196"/>
      <c r="O10" s="3197"/>
      <c r="P10" s="3197"/>
      <c r="Q10" s="3198">
        <v>365</v>
      </c>
      <c r="R10" s="3199">
        <f t="shared" si="0"/>
        <v>0</v>
      </c>
      <c r="S10" s="3175"/>
      <c r="T10" s="3175"/>
      <c r="U10" s="3175"/>
      <c r="V10" s="3178"/>
      <c r="W10" s="3177"/>
    </row>
    <row r="11" spans="1:23" s="3083" customFormat="1" ht="13.15" customHeight="1">
      <c r="A11" s="3099">
        <v>3</v>
      </c>
      <c r="B11" s="3643" t="s">
        <v>2691</v>
      </c>
      <c r="C11" s="3644"/>
      <c r="D11" s="3100">
        <f>D12+D14+D15+D16</f>
        <v>0</v>
      </c>
      <c r="E11" s="3103" t="e">
        <f>D11/D6</f>
        <v>#DIV/0!</v>
      </c>
      <c r="F11" s="3084"/>
      <c r="G11" s="3200"/>
      <c r="H11" s="3177"/>
      <c r="I11" s="3178"/>
      <c r="J11" s="3639"/>
      <c r="K11" s="3641"/>
      <c r="L11" s="3195" t="s">
        <v>2783</v>
      </c>
      <c r="M11" s="3196"/>
      <c r="N11" s="3196"/>
      <c r="O11" s="3197"/>
      <c r="P11" s="3197"/>
      <c r="Q11" s="3198">
        <v>365</v>
      </c>
      <c r="R11" s="3199">
        <f t="shared" si="0"/>
        <v>0</v>
      </c>
      <c r="S11" s="3175"/>
      <c r="T11" s="3175"/>
      <c r="U11" s="3175"/>
      <c r="V11" s="3178"/>
      <c r="W11" s="3177"/>
    </row>
    <row r="12" spans="1:23" s="3083" customFormat="1" ht="13.15" customHeight="1">
      <c r="A12" s="3104" t="s">
        <v>2692</v>
      </c>
      <c r="B12" s="3645" t="s">
        <v>2693</v>
      </c>
      <c r="C12" s="3646"/>
      <c r="D12" s="3105">
        <f>ROUND(D13*1.2%*(1-30%),0)</f>
        <v>0</v>
      </c>
      <c r="E12" s="3106">
        <v>1.2E-2</v>
      </c>
      <c r="F12" s="3084" t="s">
        <v>2694</v>
      </c>
      <c r="G12" s="3200"/>
      <c r="H12" s="3177"/>
      <c r="I12" s="3178"/>
      <c r="J12" s="3639"/>
      <c r="K12" s="3641"/>
      <c r="L12" s="3195" t="s">
        <v>2784</v>
      </c>
      <c r="M12" s="3196"/>
      <c r="N12" s="3196"/>
      <c r="O12" s="3197"/>
      <c r="P12" s="3197"/>
      <c r="Q12" s="3198">
        <v>365</v>
      </c>
      <c r="R12" s="3199">
        <f t="shared" si="0"/>
        <v>0</v>
      </c>
      <c r="S12" s="3175"/>
      <c r="T12" s="3175"/>
      <c r="U12" s="3175"/>
      <c r="V12" s="3178"/>
      <c r="W12" s="3177"/>
    </row>
    <row r="13" spans="1:23" s="3083" customFormat="1" ht="13.15" customHeight="1">
      <c r="A13" s="3104"/>
      <c r="B13" s="3107"/>
      <c r="C13" s="3108" t="s">
        <v>2695</v>
      </c>
      <c r="D13" s="3148"/>
      <c r="E13" s="3109"/>
      <c r="F13" s="3084"/>
      <c r="G13" s="3200"/>
      <c r="H13" s="3177"/>
      <c r="I13" s="3178"/>
      <c r="J13" s="3639"/>
      <c r="K13" s="3641"/>
      <c r="L13" s="3195" t="s">
        <v>2785</v>
      </c>
      <c r="M13" s="3196"/>
      <c r="N13" s="3196"/>
      <c r="O13" s="3197"/>
      <c r="P13" s="3197"/>
      <c r="Q13" s="3198">
        <v>365</v>
      </c>
      <c r="R13" s="3199">
        <f t="shared" si="0"/>
        <v>0</v>
      </c>
      <c r="S13" s="3175"/>
      <c r="T13" s="3175"/>
      <c r="U13" s="3175"/>
      <c r="V13" s="3178"/>
      <c r="W13" s="3177"/>
    </row>
    <row r="14" spans="1:23" s="3083" customFormat="1" ht="13.15" customHeight="1">
      <c r="A14" s="3104" t="s">
        <v>2696</v>
      </c>
      <c r="B14" s="3645" t="s">
        <v>2697</v>
      </c>
      <c r="C14" s="3646"/>
      <c r="D14" s="3105">
        <f>ROUND(E14*B5/10000,0)</f>
        <v>0</v>
      </c>
      <c r="E14" s="3149"/>
      <c r="F14" s="3084" t="s">
        <v>2698</v>
      </c>
      <c r="G14" s="3200"/>
      <c r="H14" s="3177"/>
      <c r="I14" s="3178"/>
      <c r="J14" s="3639"/>
      <c r="K14" s="3642"/>
      <c r="L14" s="3201" t="s">
        <v>2699</v>
      </c>
      <c r="M14" s="3202">
        <f>SUM(M7:M13)</f>
        <v>0</v>
      </c>
      <c r="N14" s="3202" t="e">
        <f>ROUND((N7*M7+N8*M8+N9*M9+N10*M10+N11*M11+N12*M12+N13*M13)/M14,0)</f>
        <v>#DIV/0!</v>
      </c>
      <c r="O14" s="3203"/>
      <c r="P14" s="3203"/>
      <c r="Q14" s="3204"/>
      <c r="R14" s="3181">
        <f>SUM(R7:R13)</f>
        <v>0</v>
      </c>
      <c r="S14" s="3175"/>
      <c r="T14" s="3175"/>
      <c r="U14" s="3175"/>
      <c r="V14" s="3178"/>
      <c r="W14" s="3177"/>
    </row>
    <row r="15" spans="1:23" s="3083" customFormat="1" ht="13.15" customHeight="1">
      <c r="A15" s="3104" t="s">
        <v>2700</v>
      </c>
      <c r="B15" s="3645" t="s">
        <v>2701</v>
      </c>
      <c r="C15" s="3646"/>
      <c r="D15" s="3105">
        <f>ROUND(D6*E15,0)</f>
        <v>0</v>
      </c>
      <c r="E15" s="3106">
        <v>5.5E-2</v>
      </c>
      <c r="F15" s="3084" t="s">
        <v>2702</v>
      </c>
      <c r="G15" s="3200"/>
      <c r="H15" s="3177"/>
      <c r="I15" s="3178"/>
      <c r="J15" s="3639">
        <v>2</v>
      </c>
      <c r="K15" s="3640" t="s">
        <v>2703</v>
      </c>
      <c r="L15" s="3205" t="s">
        <v>2704</v>
      </c>
      <c r="M15" s="3206" t="s">
        <v>2705</v>
      </c>
      <c r="N15" s="3206" t="s">
        <v>2706</v>
      </c>
      <c r="O15" s="3207" t="s">
        <v>2707</v>
      </c>
      <c r="P15" s="3207" t="s">
        <v>2708</v>
      </c>
      <c r="Q15" s="3144" t="s">
        <v>2709</v>
      </c>
      <c r="R15" s="3208" t="s">
        <v>2710</v>
      </c>
      <c r="S15" s="3175"/>
      <c r="T15" s="3175"/>
      <c r="U15" s="3175"/>
      <c r="V15" s="3178"/>
      <c r="W15" s="3177"/>
    </row>
    <row r="16" spans="1:23" s="3083" customFormat="1" ht="13.15" customHeight="1">
      <c r="A16" s="3104" t="s">
        <v>2711</v>
      </c>
      <c r="B16" s="3645" t="s">
        <v>2712</v>
      </c>
      <c r="C16" s="3646"/>
      <c r="D16" s="3150">
        <f>D6*E16</f>
        <v>0</v>
      </c>
      <c r="E16" s="3151"/>
      <c r="F16" s="3102" t="s">
        <v>2713</v>
      </c>
      <c r="G16" s="3200"/>
      <c r="H16" s="3177"/>
      <c r="I16" s="3178"/>
      <c r="J16" s="3639"/>
      <c r="K16" s="3641"/>
      <c r="L16" s="3195" t="s">
        <v>2786</v>
      </c>
      <c r="M16" s="3196"/>
      <c r="N16" s="3196"/>
      <c r="O16" s="3197"/>
      <c r="P16" s="3198">
        <v>365</v>
      </c>
      <c r="Q16" s="3196"/>
      <c r="R16" s="3209">
        <f>ROUND(M16*N16*O16*P16/10000,0)</f>
        <v>0</v>
      </c>
      <c r="S16" s="3175"/>
      <c r="T16" s="3175"/>
      <c r="U16" s="3175"/>
      <c r="V16" s="3178"/>
      <c r="W16" s="3177"/>
    </row>
    <row r="17" spans="1:23" s="3083" customFormat="1" ht="13.15" customHeight="1" thickBot="1">
      <c r="A17" s="3110">
        <v>4</v>
      </c>
      <c r="B17" s="3647" t="s">
        <v>2714</v>
      </c>
      <c r="C17" s="3648"/>
      <c r="D17" s="3111">
        <f>ROUND(D6*E17,0)</f>
        <v>0</v>
      </c>
      <c r="E17" s="3152"/>
      <c r="F17" s="3112" t="s">
        <v>2715</v>
      </c>
      <c r="G17" s="3253">
        <v>0.1</v>
      </c>
      <c r="H17" s="3177"/>
      <c r="I17" s="3178"/>
      <c r="J17" s="3639"/>
      <c r="K17" s="3641"/>
      <c r="L17" s="3195" t="s">
        <v>2787</v>
      </c>
      <c r="M17" s="3196"/>
      <c r="N17" s="3196"/>
      <c r="O17" s="3197"/>
      <c r="P17" s="3198">
        <v>365</v>
      </c>
      <c r="Q17" s="3196"/>
      <c r="R17" s="3209">
        <f>ROUND(M17*N17*O17*P17/10000,0)</f>
        <v>0</v>
      </c>
      <c r="S17" s="3175"/>
      <c r="T17" s="3175"/>
      <c r="U17" s="3175"/>
      <c r="V17" s="3178"/>
      <c r="W17" s="3177"/>
    </row>
    <row r="18" spans="1:23" s="3083" customFormat="1" ht="13.15" customHeight="1" thickBot="1">
      <c r="A18" s="3093" t="s">
        <v>2716</v>
      </c>
      <c r="B18" s="3094"/>
      <c r="C18" s="3094"/>
      <c r="D18" s="3113">
        <f>ROUND(D6*E18,0)</f>
        <v>0</v>
      </c>
      <c r="E18" s="3153"/>
      <c r="F18" s="3114" t="s">
        <v>2717</v>
      </c>
      <c r="G18" s="3253">
        <v>0.05</v>
      </c>
      <c r="H18" s="3177"/>
      <c r="I18" s="3178"/>
      <c r="J18" s="3639"/>
      <c r="K18" s="3641"/>
      <c r="L18" s="3195" t="s">
        <v>2788</v>
      </c>
      <c r="M18" s="3196"/>
      <c r="N18" s="3196"/>
      <c r="O18" s="3197"/>
      <c r="P18" s="3198">
        <v>365</v>
      </c>
      <c r="Q18" s="3196"/>
      <c r="R18" s="3209">
        <f>ROUND(M18*N18*O18*P18/10000,0)</f>
        <v>0</v>
      </c>
      <c r="S18" s="3175"/>
      <c r="T18" s="3175"/>
      <c r="U18" s="3175"/>
      <c r="V18" s="3178"/>
      <c r="W18" s="3177"/>
    </row>
    <row r="19" spans="1:23" s="3083" customFormat="1" ht="13.15" customHeight="1" thickBot="1">
      <c r="A19" s="3115" t="s">
        <v>2718</v>
      </c>
      <c r="B19" s="3090"/>
      <c r="C19" s="3090"/>
      <c r="D19" s="3090"/>
      <c r="E19" s="3090"/>
      <c r="F19" s="3091"/>
      <c r="G19" s="3200"/>
      <c r="H19" s="3177"/>
      <c r="I19" s="3178"/>
      <c r="J19" s="3639"/>
      <c r="K19" s="3642"/>
      <c r="L19" s="3201" t="s">
        <v>2699</v>
      </c>
      <c r="M19" s="3202"/>
      <c r="N19" s="3202">
        <f>SUM(N16:N18)</f>
        <v>0</v>
      </c>
      <c r="O19" s="3203"/>
      <c r="P19" s="3210" t="s">
        <v>2789</v>
      </c>
      <c r="Q19" s="3207">
        <v>0.5</v>
      </c>
      <c r="R19" s="3211">
        <f>ROUND(IF(P19="按比例",R14*Q19,SUM(R16:R18)),0)</f>
        <v>0</v>
      </c>
      <c r="S19" s="3175"/>
      <c r="T19" s="3175"/>
      <c r="U19" s="3175"/>
      <c r="V19" s="3178"/>
      <c r="W19" s="3177"/>
    </row>
    <row r="20" spans="1:23" s="3083" customFormat="1" ht="13.15" customHeight="1">
      <c r="A20" s="3093"/>
      <c r="B20" s="3094"/>
      <c r="C20" s="3094"/>
      <c r="D20" s="3094"/>
      <c r="E20" s="3094"/>
      <c r="F20" s="3116"/>
      <c r="G20" s="3200"/>
      <c r="H20" s="3177"/>
      <c r="I20" s="3178"/>
      <c r="J20" s="3639">
        <v>3</v>
      </c>
      <c r="K20" s="3640" t="s">
        <v>2719</v>
      </c>
      <c r="L20" s="3205" t="s">
        <v>2720</v>
      </c>
      <c r="M20" s="3206" t="s">
        <v>2721</v>
      </c>
      <c r="N20" s="3212" t="s">
        <v>2722</v>
      </c>
      <c r="O20" s="3207" t="s">
        <v>2723</v>
      </c>
      <c r="P20" s="3149" t="s">
        <v>2708</v>
      </c>
      <c r="Q20" s="3144" t="s">
        <v>2709</v>
      </c>
      <c r="R20" s="3208" t="s">
        <v>2710</v>
      </c>
      <c r="S20" s="3213"/>
      <c r="T20" s="3213"/>
      <c r="U20" s="3213"/>
      <c r="V20" s="3178"/>
      <c r="W20" s="3177"/>
    </row>
    <row r="21" spans="1:23" s="3083" customFormat="1" ht="13.15" customHeight="1">
      <c r="A21" s="3093"/>
      <c r="B21" s="3094"/>
      <c r="C21" s="3117" t="s">
        <v>2724</v>
      </c>
      <c r="D21" s="3118" t="s">
        <v>2725</v>
      </c>
      <c r="E21" s="3119" t="s">
        <v>2726</v>
      </c>
      <c r="F21" s="3116"/>
      <c r="G21" s="3200"/>
      <c r="H21" s="3177"/>
      <c r="I21" s="3178"/>
      <c r="J21" s="3639"/>
      <c r="K21" s="3641"/>
      <c r="L21" s="3205" t="s">
        <v>2727</v>
      </c>
      <c r="M21" s="3206"/>
      <c r="N21" s="3206"/>
      <c r="O21" s="3207"/>
      <c r="P21" s="3149">
        <v>365</v>
      </c>
      <c r="Q21" s="3144"/>
      <c r="R21" s="3214">
        <f>ROUND(M21*N21*O21*P21/10000,0)</f>
        <v>0</v>
      </c>
      <c r="S21" s="3213"/>
      <c r="T21" s="3213"/>
      <c r="U21" s="3213"/>
      <c r="V21" s="3178"/>
      <c r="W21" s="3177"/>
    </row>
    <row r="22" spans="1:23" s="3083" customFormat="1" ht="13.15" customHeight="1">
      <c r="A22" s="3093"/>
      <c r="B22" s="3094"/>
      <c r="C22" s="3154" t="s">
        <v>2728</v>
      </c>
      <c r="D22" s="3155" t="s">
        <v>2729</v>
      </c>
      <c r="E22" s="3156" t="s">
        <v>2730</v>
      </c>
      <c r="F22" s="3116"/>
      <c r="G22" s="3215"/>
      <c r="H22" s="3177"/>
      <c r="I22" s="3178"/>
      <c r="J22" s="3639"/>
      <c r="K22" s="3641"/>
      <c r="L22" s="3205" t="s">
        <v>2731</v>
      </c>
      <c r="M22" s="3206"/>
      <c r="N22" s="3206"/>
      <c r="O22" s="3207"/>
      <c r="P22" s="3149">
        <v>365</v>
      </c>
      <c r="Q22" s="3144"/>
      <c r="R22" s="3214">
        <f>ROUND(M22*N22*O22*P22/10000,0)</f>
        <v>0</v>
      </c>
      <c r="S22" s="3213"/>
      <c r="T22" s="3213"/>
      <c r="U22" s="3213"/>
      <c r="V22" s="3178"/>
      <c r="W22" s="3177"/>
    </row>
    <row r="23" spans="1:23" s="3083" customFormat="1" ht="13.15" customHeight="1">
      <c r="A23" s="3120">
        <v>1</v>
      </c>
      <c r="B23" s="3092" t="s">
        <v>2732</v>
      </c>
      <c r="C23" s="3121">
        <f>D6</f>
        <v>0</v>
      </c>
      <c r="D23" s="3122">
        <f>C23*(1+D24)</f>
        <v>0</v>
      </c>
      <c r="E23" s="3123">
        <f>D23*(1+E24)</f>
        <v>0</v>
      </c>
      <c r="F23" s="3124"/>
      <c r="G23" s="3216"/>
      <c r="H23" s="3177"/>
      <c r="I23" s="3178"/>
      <c r="J23" s="3639"/>
      <c r="K23" s="3641"/>
      <c r="L23" s="3205" t="s">
        <v>2733</v>
      </c>
      <c r="M23" s="3206"/>
      <c r="N23" s="3206"/>
      <c r="O23" s="3207"/>
      <c r="P23" s="3149">
        <v>365</v>
      </c>
      <c r="Q23" s="3144"/>
      <c r="R23" s="3214">
        <f>ROUND(M23*N23*O23*P23/10000,0)</f>
        <v>0</v>
      </c>
      <c r="S23" s="3175"/>
      <c r="T23" s="3175"/>
      <c r="U23" s="3175"/>
      <c r="V23" s="3178"/>
      <c r="W23" s="3177"/>
    </row>
    <row r="24" spans="1:23" s="3083" customFormat="1" ht="13.15" customHeight="1">
      <c r="A24" s="3125"/>
      <c r="B24" s="3126" t="s">
        <v>2734</v>
      </c>
      <c r="C24" s="3127"/>
      <c r="D24" s="3157"/>
      <c r="E24" s="3158"/>
      <c r="F24" s="3128"/>
      <c r="G24" s="3216"/>
      <c r="H24" s="3177"/>
      <c r="I24" s="3178"/>
      <c r="J24" s="3639"/>
      <c r="K24" s="3642"/>
      <c r="L24" s="3201" t="s">
        <v>2699</v>
      </c>
      <c r="M24" s="3202">
        <f>SUM(M21:M23)</f>
        <v>0</v>
      </c>
      <c r="N24" s="3202"/>
      <c r="O24" s="3203"/>
      <c r="P24" s="3210" t="s">
        <v>2789</v>
      </c>
      <c r="Q24" s="3207">
        <v>0.1</v>
      </c>
      <c r="R24" s="3211">
        <f>ROUND(IF(P24="按比例",R14*Q24,SUM(R21:R23)),0)</f>
        <v>0</v>
      </c>
      <c r="S24" s="3175"/>
      <c r="T24" s="3175"/>
      <c r="U24" s="3175"/>
      <c r="V24" s="3178"/>
      <c r="W24" s="3177"/>
    </row>
    <row r="25" spans="1:23" s="3129" customFormat="1" ht="13.15" customHeight="1">
      <c r="A25" s="3125"/>
      <c r="B25" s="3126"/>
      <c r="C25" s="3127"/>
      <c r="D25" s="3157"/>
      <c r="E25" s="3158"/>
      <c r="F25" s="3128"/>
      <c r="G25" s="3215"/>
      <c r="H25" s="3177"/>
      <c r="I25" s="3178"/>
      <c r="J25" s="3217">
        <v>4</v>
      </c>
      <c r="K25" s="3218" t="s">
        <v>2735</v>
      </c>
      <c r="L25" s="3219"/>
      <c r="M25" s="3219"/>
      <c r="N25" s="3219"/>
      <c r="O25" s="3219"/>
      <c r="P25" s="3220"/>
      <c r="Q25" s="3221">
        <v>0</v>
      </c>
      <c r="R25" s="3211">
        <f>ROUND(R14*Q25,0)</f>
        <v>0</v>
      </c>
      <c r="S25" s="3175"/>
      <c r="T25" s="3175"/>
      <c r="U25" s="3175"/>
      <c r="V25" s="3222"/>
      <c r="W25" s="3223"/>
    </row>
    <row r="26" spans="1:23" s="3129" customFormat="1" ht="13.15" customHeight="1">
      <c r="A26" s="3120">
        <v>2</v>
      </c>
      <c r="B26" s="3092" t="s">
        <v>2736</v>
      </c>
      <c r="C26" s="3121">
        <f>D7</f>
        <v>0</v>
      </c>
      <c r="D26" s="3122">
        <f>D23*D27</f>
        <v>0</v>
      </c>
      <c r="E26" s="3123">
        <f>E23*E27</f>
        <v>0</v>
      </c>
      <c r="F26" s="3124"/>
      <c r="G26" s="3216"/>
      <c r="H26" s="3177"/>
      <c r="I26" s="3178"/>
      <c r="J26" s="3649">
        <v>5</v>
      </c>
      <c r="K26" s="3224" t="s">
        <v>2737</v>
      </c>
      <c r="L26" s="3225"/>
      <c r="M26" s="3226"/>
      <c r="N26" s="3227" t="s">
        <v>2738</v>
      </c>
      <c r="O26" s="3227" t="s">
        <v>2739</v>
      </c>
      <c r="P26" s="3228" t="s">
        <v>2740</v>
      </c>
      <c r="Q26" s="3228" t="s">
        <v>2741</v>
      </c>
      <c r="R26" s="3184" t="s">
        <v>2710</v>
      </c>
      <c r="S26" s="3229"/>
      <c r="T26" s="3229"/>
      <c r="U26" s="3229"/>
      <c r="V26" s="3222"/>
      <c r="W26" s="3223"/>
    </row>
    <row r="27" spans="1:23" s="3083" customFormat="1" ht="13.15" customHeight="1">
      <c r="A27" s="3125"/>
      <c r="B27" s="3126" t="s">
        <v>2742</v>
      </c>
      <c r="C27" s="3130" t="e">
        <f>E7</f>
        <v>#DIV/0!</v>
      </c>
      <c r="D27" s="3157"/>
      <c r="E27" s="3158"/>
      <c r="F27" s="3128"/>
      <c r="G27" s="3216"/>
      <c r="H27" s="3223"/>
      <c r="I27" s="3222"/>
      <c r="J27" s="3650"/>
      <c r="K27" s="3230"/>
      <c r="L27" s="3231"/>
      <c r="M27" s="3232"/>
      <c r="N27" s="3233"/>
      <c r="O27" s="3233"/>
      <c r="P27" s="3233"/>
      <c r="Q27" s="3234"/>
      <c r="R27" s="3211">
        <f>ROUND(O27*N27*P27*(1-Q27)/10000,0)</f>
        <v>0</v>
      </c>
      <c r="S27" s="3175"/>
      <c r="T27" s="3175"/>
      <c r="U27" s="3175"/>
      <c r="V27" s="3178"/>
      <c r="W27" s="3177"/>
    </row>
    <row r="28" spans="1:23" s="3129" customFormat="1" ht="13.15" customHeight="1" thickBot="1">
      <c r="A28" s="3125"/>
      <c r="B28" s="3126"/>
      <c r="C28" s="3130"/>
      <c r="D28" s="3157"/>
      <c r="E28" s="3158" t="s">
        <v>2743</v>
      </c>
      <c r="F28" s="3128"/>
      <c r="G28" s="3215"/>
      <c r="H28" s="3223"/>
      <c r="I28" s="3222"/>
      <c r="J28" s="3235">
        <v>6</v>
      </c>
      <c r="K28" s="3236" t="s">
        <v>2744</v>
      </c>
      <c r="L28" s="3237" t="s">
        <v>2745</v>
      </c>
      <c r="M28" s="3238"/>
      <c r="N28" s="3237" t="s">
        <v>2746</v>
      </c>
      <c r="O28" s="3239"/>
      <c r="P28" s="3237" t="s">
        <v>2747</v>
      </c>
      <c r="Q28" s="3240">
        <v>1.4999999999999999E-2</v>
      </c>
      <c r="R28" s="3241"/>
      <c r="S28" s="3213"/>
      <c r="T28" s="3213"/>
      <c r="U28" s="3213"/>
      <c r="V28" s="3222"/>
      <c r="W28" s="3223"/>
    </row>
    <row r="29" spans="1:23" s="3129" customFormat="1" ht="13.15" customHeight="1">
      <c r="A29" s="3120">
        <v>3</v>
      </c>
      <c r="B29" s="3092" t="s">
        <v>2748</v>
      </c>
      <c r="C29" s="3121">
        <f>C23*C30</f>
        <v>0</v>
      </c>
      <c r="D29" s="3122">
        <f>D23*C30</f>
        <v>0</v>
      </c>
      <c r="E29" s="3123">
        <f>E23*C30</f>
        <v>0</v>
      </c>
      <c r="F29" s="3124"/>
      <c r="G29" s="3216"/>
      <c r="H29" s="3177"/>
      <c r="I29" s="3178"/>
      <c r="J29" s="3213"/>
      <c r="K29" s="3213"/>
      <c r="L29" s="3213"/>
      <c r="M29" s="3213"/>
      <c r="N29" s="3213"/>
      <c r="O29" s="3213"/>
      <c r="P29" s="3213"/>
      <c r="Q29" s="3213"/>
      <c r="R29" s="3213"/>
      <c r="S29" s="3213"/>
      <c r="T29" s="3213"/>
      <c r="U29" s="3213"/>
      <c r="V29" s="3222"/>
      <c r="W29" s="3223"/>
    </row>
    <row r="30" spans="1:23" s="3083" customFormat="1" ht="13.15" customHeight="1" thickBot="1">
      <c r="A30" s="3125"/>
      <c r="B30" s="3126" t="s">
        <v>2742</v>
      </c>
      <c r="C30" s="3130">
        <f>E18</f>
        <v>0</v>
      </c>
      <c r="D30" s="3131"/>
      <c r="E30" s="3109"/>
      <c r="F30" s="3128"/>
      <c r="G30" s="3216"/>
      <c r="H30" s="3223"/>
      <c r="I30" s="3222"/>
      <c r="J30" s="3213"/>
      <c r="K30" s="3213"/>
      <c r="L30" s="3213"/>
      <c r="M30" s="3213"/>
      <c r="N30" s="3213"/>
      <c r="O30" s="3213"/>
      <c r="P30" s="3213"/>
      <c r="Q30" s="3213"/>
      <c r="R30" s="3213"/>
      <c r="S30" s="3213"/>
      <c r="T30" s="3213"/>
      <c r="U30" s="3175"/>
      <c r="V30" s="3178"/>
      <c r="W30" s="3177"/>
    </row>
    <row r="31" spans="1:23" s="3129" customFormat="1" ht="13.15" customHeight="1">
      <c r="A31" s="3125"/>
      <c r="B31" s="3126"/>
      <c r="C31" s="3159"/>
      <c r="D31" s="3131"/>
      <c r="E31" s="3109"/>
      <c r="F31" s="3128"/>
      <c r="G31" s="3215"/>
      <c r="H31" s="3223"/>
      <c r="I31" s="3222"/>
      <c r="J31" s="3172" t="s">
        <v>2749</v>
      </c>
      <c r="K31" s="3173"/>
      <c r="L31" s="3173"/>
      <c r="M31" s="3173"/>
      <c r="N31" s="3173"/>
      <c r="O31" s="3173"/>
      <c r="P31" s="3173"/>
      <c r="Q31" s="3173"/>
      <c r="R31" s="3174"/>
      <c r="S31" s="3213"/>
      <c r="T31" s="3175"/>
      <c r="U31" s="3175"/>
      <c r="V31" s="3222"/>
      <c r="W31" s="3223"/>
    </row>
    <row r="32" spans="1:23" s="3129" customFormat="1" ht="13.15" customHeight="1">
      <c r="A32" s="3120">
        <v>4</v>
      </c>
      <c r="B32" s="3092" t="s">
        <v>2750</v>
      </c>
      <c r="C32" s="3121">
        <f>C23-C26-C29</f>
        <v>0</v>
      </c>
      <c r="D32" s="3122">
        <f>D23-D26-D29</f>
        <v>0</v>
      </c>
      <c r="E32" s="3123">
        <f>E23-E26-E29</f>
        <v>0</v>
      </c>
      <c r="F32" s="3124"/>
      <c r="G32" s="3215"/>
      <c r="H32" s="3177"/>
      <c r="I32" s="3178"/>
      <c r="J32" s="3632" t="s">
        <v>2751</v>
      </c>
      <c r="K32" s="3633"/>
      <c r="L32" s="3179" t="s">
        <v>2752</v>
      </c>
      <c r="M32" s="3179" t="s">
        <v>2655</v>
      </c>
      <c r="N32" s="3179" t="s">
        <v>2656</v>
      </c>
      <c r="O32" s="3179" t="s">
        <v>2657</v>
      </c>
      <c r="P32" s="3179" t="s">
        <v>2658</v>
      </c>
      <c r="Q32" s="3180" t="s">
        <v>2753</v>
      </c>
      <c r="R32" s="3242" t="s">
        <v>2754</v>
      </c>
      <c r="S32" s="3213"/>
      <c r="T32" s="3175"/>
      <c r="U32" s="3175"/>
      <c r="V32" s="3222"/>
      <c r="W32" s="3223"/>
    </row>
    <row r="33" spans="1:23" s="3083" customFormat="1" ht="13.15" customHeight="1">
      <c r="A33" s="3120"/>
      <c r="B33" s="3092"/>
      <c r="C33" s="3121"/>
      <c r="D33" s="3132"/>
      <c r="E33" s="3133"/>
      <c r="F33" s="3124"/>
      <c r="G33" s="3215"/>
      <c r="H33" s="3223"/>
      <c r="I33" s="3222"/>
      <c r="J33" s="3634" t="s">
        <v>2755</v>
      </c>
      <c r="K33" s="3635"/>
      <c r="L33" s="3182"/>
      <c r="M33" s="3182"/>
      <c r="N33" s="3182"/>
      <c r="O33" s="3182"/>
      <c r="P33" s="3182"/>
      <c r="Q33" s="3183"/>
      <c r="R33" s="3243">
        <f>SUM(L33:Q33)</f>
        <v>0</v>
      </c>
      <c r="S33" s="3213"/>
      <c r="T33" s="3175"/>
      <c r="U33" s="3175"/>
      <c r="V33" s="3178"/>
      <c r="W33" s="3177"/>
    </row>
    <row r="34" spans="1:23" s="3083" customFormat="1" ht="13.15" customHeight="1">
      <c r="A34" s="3120">
        <v>5</v>
      </c>
      <c r="B34" s="3092" t="s">
        <v>2756</v>
      </c>
      <c r="C34" s="3160"/>
      <c r="D34" s="3161"/>
      <c r="E34" s="3162"/>
      <c r="F34" s="3124"/>
      <c r="G34" s="3215"/>
      <c r="H34" s="3223"/>
      <c r="I34" s="3222"/>
      <c r="J34" s="3634" t="s">
        <v>2757</v>
      </c>
      <c r="K34" s="3635"/>
      <c r="L34" s="3185"/>
      <c r="M34" s="3185"/>
      <c r="N34" s="3185"/>
      <c r="O34" s="3185"/>
      <c r="P34" s="3185"/>
      <c r="Q34" s="3186"/>
      <c r="R34" s="3244">
        <f>SUM(L34:Q34)</f>
        <v>0</v>
      </c>
      <c r="S34" s="3213"/>
      <c r="T34" s="3175"/>
      <c r="U34" s="3175" t="e">
        <f>ROUND(R35*10000/365/R33,1)</f>
        <v>#DIV/0!</v>
      </c>
      <c r="V34" s="3178"/>
      <c r="W34" s="3177"/>
    </row>
    <row r="35" spans="1:23" s="3083" customFormat="1" ht="13.15" customHeight="1">
      <c r="A35" s="3120">
        <v>6</v>
      </c>
      <c r="B35" s="3092" t="s">
        <v>2758</v>
      </c>
      <c r="C35" s="3163"/>
      <c r="D35" s="3164"/>
      <c r="E35" s="3165"/>
      <c r="F35" s="3124"/>
      <c r="G35" s="3245"/>
      <c r="H35" s="3177"/>
      <c r="I35" s="3222"/>
      <c r="J35" s="3188" t="s">
        <v>2759</v>
      </c>
      <c r="K35" s="3189"/>
      <c r="L35" s="3189"/>
      <c r="M35" s="3190"/>
      <c r="N35" s="3190"/>
      <c r="O35" s="3190"/>
      <c r="P35" s="3190"/>
      <c r="Q35" s="3190"/>
      <c r="R35" s="3246">
        <f>R40+R41+R43</f>
        <v>0</v>
      </c>
      <c r="S35" s="3213"/>
      <c r="T35" s="3175" t="s">
        <v>2760</v>
      </c>
      <c r="U35" s="3175"/>
      <c r="V35" s="3178"/>
      <c r="W35" s="3177"/>
    </row>
    <row r="36" spans="1:23" s="3083" customFormat="1" ht="13.15" customHeight="1" thickBot="1">
      <c r="A36" s="3120">
        <v>7</v>
      </c>
      <c r="B36" s="3134" t="s">
        <v>2761</v>
      </c>
      <c r="C36" s="3166"/>
      <c r="D36" s="3167"/>
      <c r="E36" s="3168"/>
      <c r="F36" s="3135">
        <f>C36+D36+E36</f>
        <v>0</v>
      </c>
      <c r="G36" s="3215"/>
      <c r="H36" s="3177"/>
      <c r="I36" s="3178"/>
      <c r="J36" s="3639">
        <v>1</v>
      </c>
      <c r="K36" s="3640" t="s">
        <v>2762</v>
      </c>
      <c r="L36" s="3192"/>
      <c r="M36" s="3193"/>
      <c r="N36" s="3193"/>
      <c r="O36" s="3193"/>
      <c r="P36" s="3193"/>
      <c r="Q36" s="3193"/>
      <c r="R36" s="3184" t="s">
        <v>2710</v>
      </c>
      <c r="S36" s="3213"/>
      <c r="T36" s="3175" t="s">
        <v>2763</v>
      </c>
      <c r="U36" s="3175"/>
      <c r="V36" s="3178"/>
      <c r="W36" s="3177"/>
    </row>
    <row r="37" spans="1:23" s="3083" customFormat="1" ht="13.15" customHeight="1">
      <c r="A37" s="3120"/>
      <c r="B37" s="3092"/>
      <c r="C37" s="3092"/>
      <c r="D37" s="3092"/>
      <c r="E37" s="3092"/>
      <c r="F37" s="3124"/>
      <c r="G37" s="3215"/>
      <c r="H37" s="3177"/>
      <c r="I37" s="3178"/>
      <c r="J37" s="3639"/>
      <c r="K37" s="3641"/>
      <c r="L37" s="3205"/>
      <c r="M37" s="3206"/>
      <c r="N37" s="3144"/>
      <c r="O37" s="3207"/>
      <c r="P37" s="3207"/>
      <c r="Q37" s="3149"/>
      <c r="R37" s="3247"/>
      <c r="S37" s="3213"/>
      <c r="T37" s="3175" t="s">
        <v>2764</v>
      </c>
      <c r="U37" s="3175"/>
      <c r="V37" s="3178"/>
      <c r="W37" s="3177"/>
    </row>
    <row r="38" spans="1:23" s="3083" customFormat="1" ht="13.15" customHeight="1">
      <c r="A38" s="3120">
        <v>8</v>
      </c>
      <c r="B38" s="3092"/>
      <c r="C38" s="3100" t="e">
        <f>ROUND(C32*(1-((1+C35)/(1+C34))^C36)/(C34-C35),0)</f>
        <v>#DIV/0!</v>
      </c>
      <c r="D38" s="3100">
        <f>IF(D23=0,0,ROUND(D32*(1-((1+D35)/(1+D34))^D36)/(D34-D35),0))</f>
        <v>0</v>
      </c>
      <c r="E38" s="3100">
        <f>IF(E23=0,0,ROUND(E32*(1-((1+E35)/(1+E34))^E36)/(E34-E35),0))</f>
        <v>0</v>
      </c>
      <c r="F38" s="3124"/>
      <c r="G38" s="3215"/>
      <c r="H38" s="3177"/>
      <c r="I38" s="3178"/>
      <c r="J38" s="3639"/>
      <c r="K38" s="3641"/>
      <c r="L38" s="3205"/>
      <c r="M38" s="3206"/>
      <c r="N38" s="3144"/>
      <c r="O38" s="3207"/>
      <c r="P38" s="3207"/>
      <c r="Q38" s="3149"/>
      <c r="R38" s="3247"/>
      <c r="S38" s="3213"/>
      <c r="T38" s="3175" t="s">
        <v>2686</v>
      </c>
      <c r="U38" s="3175"/>
      <c r="V38" s="3178"/>
      <c r="W38" s="3177"/>
    </row>
    <row r="39" spans="1:23" s="3083" customFormat="1" ht="13.15" customHeight="1">
      <c r="A39" s="3120">
        <v>9</v>
      </c>
      <c r="B39" s="3092" t="s">
        <v>2765</v>
      </c>
      <c r="C39" s="3105" t="e">
        <f>C38</f>
        <v>#DIV/0!</v>
      </c>
      <c r="D39" s="3092">
        <f>D38/(1+D34)^C36</f>
        <v>0</v>
      </c>
      <c r="E39" s="3092">
        <f>E38/(1+E34)^(C36+D36)</f>
        <v>0</v>
      </c>
      <c r="F39" s="3124"/>
      <c r="G39" s="3248"/>
      <c r="H39" s="3177"/>
      <c r="I39" s="3178"/>
      <c r="J39" s="3639"/>
      <c r="K39" s="3641"/>
      <c r="L39" s="3205"/>
      <c r="M39" s="3206"/>
      <c r="N39" s="3144"/>
      <c r="O39" s="3207"/>
      <c r="P39" s="3207"/>
      <c r="Q39" s="3149"/>
      <c r="R39" s="3247"/>
      <c r="S39" s="3213"/>
      <c r="T39" s="3175"/>
      <c r="U39" s="3175"/>
      <c r="V39" s="3178"/>
      <c r="W39" s="3177"/>
    </row>
    <row r="40" spans="1:23" s="3083" customFormat="1" ht="13.15" customHeight="1">
      <c r="A40" s="3136">
        <v>10</v>
      </c>
      <c r="B40" s="3092" t="s">
        <v>2766</v>
      </c>
      <c r="C40" s="3137" t="e">
        <f>C39+D39+E39</f>
        <v>#DIV/0!</v>
      </c>
      <c r="D40" s="3138"/>
      <c r="E40" s="3138"/>
      <c r="F40" s="3139"/>
      <c r="G40" s="3215"/>
      <c r="H40" s="3177"/>
      <c r="I40" s="3178"/>
      <c r="J40" s="3639"/>
      <c r="K40" s="3642"/>
      <c r="L40" s="3201" t="s">
        <v>2767</v>
      </c>
      <c r="M40" s="3202"/>
      <c r="N40" s="3202"/>
      <c r="O40" s="3203"/>
      <c r="P40" s="3203"/>
      <c r="Q40" s="3204"/>
      <c r="R40" s="3181">
        <f>SUM(R37:R39)</f>
        <v>0</v>
      </c>
      <c r="S40" s="3213"/>
      <c r="T40" s="3175"/>
      <c r="U40" s="3175"/>
      <c r="V40" s="3178"/>
      <c r="W40" s="3177"/>
    </row>
    <row r="41" spans="1:23" s="3083" customFormat="1" ht="13.15" customHeight="1" thickBot="1">
      <c r="A41" s="3140">
        <v>11</v>
      </c>
      <c r="B41" s="3141" t="s">
        <v>2768</v>
      </c>
      <c r="C41" s="3141" t="e">
        <f>ROUND(C40*10000/B4,0)</f>
        <v>#DIV/0!</v>
      </c>
      <c r="D41" s="3142"/>
      <c r="E41" s="3142"/>
      <c r="F41" s="3143"/>
      <c r="G41" s="3249"/>
      <c r="H41" s="3177"/>
      <c r="I41" s="3178"/>
      <c r="J41" s="3217">
        <v>2</v>
      </c>
      <c r="K41" s="3218" t="s">
        <v>2769</v>
      </c>
      <c r="L41" s="3219"/>
      <c r="M41" s="3219"/>
      <c r="N41" s="3219"/>
      <c r="O41" s="3219"/>
      <c r="P41" s="3220"/>
      <c r="Q41" s="3221"/>
      <c r="R41" s="3211">
        <f>ROUND(R40*Q41,0)</f>
        <v>0</v>
      </c>
      <c r="S41" s="3213"/>
      <c r="T41" s="3175"/>
      <c r="U41" s="3229"/>
      <c r="V41" s="3178"/>
      <c r="W41" s="3177"/>
    </row>
    <row r="42" spans="1:23" s="3083" customFormat="1" ht="13.15" customHeight="1">
      <c r="G42" s="3249"/>
      <c r="H42" s="3177"/>
      <c r="I42" s="3178"/>
      <c r="J42" s="3649">
        <v>3</v>
      </c>
      <c r="K42" s="3224" t="s">
        <v>2770</v>
      </c>
      <c r="L42" s="3225"/>
      <c r="M42" s="3226"/>
      <c r="N42" s="3227" t="s">
        <v>2771</v>
      </c>
      <c r="O42" s="3227" t="s">
        <v>2772</v>
      </c>
      <c r="P42" s="3228" t="s">
        <v>2773</v>
      </c>
      <c r="Q42" s="3228" t="s">
        <v>2774</v>
      </c>
      <c r="R42" s="3184" t="s">
        <v>2677</v>
      </c>
      <c r="S42" s="3229"/>
      <c r="T42" s="3229"/>
      <c r="U42" s="3175"/>
      <c r="V42" s="3178"/>
      <c r="W42" s="3177"/>
    </row>
    <row r="43" spans="1:23" ht="13.15" customHeight="1">
      <c r="A43" s="3083"/>
      <c r="B43" s="3083"/>
      <c r="C43" s="3083"/>
      <c r="D43" s="3083"/>
      <c r="E43" s="3083"/>
      <c r="F43" s="3083"/>
      <c r="I43" s="3170"/>
      <c r="J43" s="3650"/>
      <c r="K43" s="3230"/>
      <c r="L43" s="3231"/>
      <c r="M43" s="3232"/>
      <c r="N43" s="3206"/>
      <c r="O43" s="3206"/>
      <c r="P43" s="3206"/>
      <c r="Q43" s="3221"/>
      <c r="R43" s="3211">
        <f>ROUND(O43*N43*P43*(1-Q43)/10000,0)</f>
        <v>0</v>
      </c>
      <c r="S43" s="3213"/>
      <c r="T43" s="3175"/>
      <c r="V43" s="3251"/>
      <c r="W43" s="3171"/>
    </row>
    <row r="44" spans="1:23" ht="13.15" customHeight="1" thickBot="1">
      <c r="J44" s="3235">
        <v>6</v>
      </c>
      <c r="K44" s="3236" t="s">
        <v>2775</v>
      </c>
      <c r="L44" s="3252" t="s">
        <v>2776</v>
      </c>
      <c r="M44" s="3238"/>
      <c r="N44" s="3252" t="s">
        <v>2777</v>
      </c>
      <c r="O44" s="3238"/>
      <c r="P44" s="3252" t="s">
        <v>2778</v>
      </c>
      <c r="Q44" s="3240">
        <v>1.4999999999999999E-2</v>
      </c>
      <c r="R44" s="324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54" t="s">
        <v>1973</v>
      </c>
      <c r="D4" s="3655"/>
      <c r="E4" s="3655"/>
      <c r="F4" s="3655"/>
      <c r="G4" s="3655"/>
      <c r="H4" s="3655"/>
      <c r="I4" s="3655"/>
      <c r="J4" s="3655"/>
      <c r="K4" s="3655"/>
      <c r="L4" s="3655"/>
      <c r="M4" s="3655"/>
      <c r="N4" s="3655"/>
      <c r="O4" s="3655"/>
      <c r="P4" s="3655"/>
      <c r="Q4" s="3655"/>
      <c r="R4" s="3655"/>
      <c r="S4" s="3656"/>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51" t="s">
        <v>45</v>
      </c>
      <c r="D25" s="3652"/>
      <c r="E25" s="3652"/>
      <c r="F25" s="3652"/>
      <c r="G25" s="3652"/>
      <c r="H25" s="3652"/>
      <c r="I25" s="3652"/>
      <c r="J25" s="3652"/>
      <c r="K25" s="3652"/>
      <c r="L25" s="3652"/>
      <c r="M25" s="3652"/>
      <c r="N25" s="3652"/>
      <c r="O25" s="3652"/>
      <c r="P25" s="3652"/>
      <c r="Q25" s="3653"/>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1" zoomScaleNormal="70" zoomScaleSheetLayoutView="100" workbookViewId="0">
      <selection activeCell="I48" sqref="I48"/>
    </sheetView>
  </sheetViews>
  <sheetFormatPr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1818</v>
      </c>
      <c r="C2" s="1579" t="str">
        <f>'数据-取费表'!B3</f>
        <v>万元</v>
      </c>
      <c r="D2" s="1580" t="s">
        <v>1001</v>
      </c>
      <c r="E2" s="1581" t="e">
        <f ca="1">SUMIF(INDIRECT("'"&amp;G2&amp;"'"&amp;"!A:A"),"承租人权益价值",INDIRECT("'"&amp;G2&amp;"'"&amp;"!c:c"))</f>
        <v>#REF!</v>
      </c>
      <c r="F2" s="1582" t="str">
        <f>C2</f>
        <v>万元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51408</v>
      </c>
      <c r="C3" s="1588" t="s">
        <v>2005</v>
      </c>
      <c r="D3" s="1588">
        <f>IF(C1="仅计算典型户型",'数据-取费表'!E5,'数据-取费表'!B5)</f>
        <v>353.61</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610" t="s">
        <v>2007</v>
      </c>
      <c r="D4" s="3611"/>
      <c r="E4" s="3612" t="s">
        <v>2008</v>
      </c>
      <c r="F4" s="3613"/>
      <c r="G4" s="3610" t="s">
        <v>2009</v>
      </c>
      <c r="H4" s="3611"/>
      <c r="I4" s="3610" t="s">
        <v>2010</v>
      </c>
      <c r="J4" s="3611"/>
      <c r="K4" s="1593" t="s">
        <v>2011</v>
      </c>
      <c r="L4" s="2909"/>
      <c r="M4" s="2910"/>
      <c r="N4" s="2910"/>
      <c r="O4" s="2910"/>
      <c r="P4" s="3614" t="s">
        <v>2012</v>
      </c>
      <c r="Q4" s="3615"/>
      <c r="R4" s="3598" t="s">
        <v>2008</v>
      </c>
      <c r="S4" s="3599"/>
      <c r="T4" s="3598" t="s">
        <v>2009</v>
      </c>
      <c r="U4" s="3599"/>
      <c r="V4" s="3620" t="s">
        <v>2010</v>
      </c>
      <c r="W4" s="3620"/>
      <c r="X4" s="1594"/>
      <c r="Y4" s="3598" t="s">
        <v>2012</v>
      </c>
      <c r="Z4" s="3599"/>
      <c r="AA4" s="3607" t="s">
        <v>2008</v>
      </c>
      <c r="AB4" s="3607" t="s">
        <v>2009</v>
      </c>
      <c r="AC4" s="3607" t="s">
        <v>2010</v>
      </c>
    </row>
    <row r="5" spans="1:29" ht="15">
      <c r="A5" s="1596"/>
      <c r="B5" s="1597"/>
      <c r="C5" s="3627" t="s">
        <v>2013</v>
      </c>
      <c r="D5" s="3624"/>
      <c r="E5" s="3621" t="s">
        <v>2014</v>
      </c>
      <c r="F5" s="3622"/>
      <c r="G5" s="3627" t="s">
        <v>2015</v>
      </c>
      <c r="H5" s="3624"/>
      <c r="I5" s="3627" t="s">
        <v>2016</v>
      </c>
      <c r="J5" s="3624"/>
      <c r="K5" s="1598"/>
      <c r="L5" s="2909"/>
      <c r="M5" s="2910"/>
      <c r="N5" s="2910"/>
      <c r="O5" s="2910"/>
      <c r="P5" s="3616"/>
      <c r="Q5" s="3617"/>
      <c r="R5" s="3600"/>
      <c r="S5" s="3601"/>
      <c r="T5" s="3600"/>
      <c r="U5" s="3601"/>
      <c r="V5" s="3620"/>
      <c r="W5" s="3620"/>
      <c r="X5" s="1594"/>
      <c r="Y5" s="3600"/>
      <c r="Z5" s="3601"/>
      <c r="AA5" s="3608"/>
      <c r="AB5" s="3608"/>
      <c r="AC5" s="3608"/>
    </row>
    <row r="6" spans="1:29" ht="15.75" thickBot="1">
      <c r="A6" s="1599"/>
      <c r="B6" s="1600"/>
      <c r="C6" s="3625" t="s">
        <v>2017</v>
      </c>
      <c r="D6" s="3626"/>
      <c r="E6" s="3628" t="s">
        <v>2017</v>
      </c>
      <c r="F6" s="3629"/>
      <c r="G6" s="3625" t="s">
        <v>2017</v>
      </c>
      <c r="H6" s="3626"/>
      <c r="I6" s="3625" t="s">
        <v>2017</v>
      </c>
      <c r="J6" s="3626"/>
      <c r="K6" s="1598" t="s">
        <v>2018</v>
      </c>
      <c r="L6" s="2909"/>
      <c r="M6" s="2910"/>
      <c r="N6" s="2910"/>
      <c r="O6" s="2910"/>
      <c r="P6" s="3618"/>
      <c r="Q6" s="3619"/>
      <c r="R6" s="3600"/>
      <c r="S6" s="3601"/>
      <c r="T6" s="3602"/>
      <c r="U6" s="3603"/>
      <c r="V6" s="3620"/>
      <c r="W6" s="3620"/>
      <c r="X6" s="1594"/>
      <c r="Y6" s="3602"/>
      <c r="Z6" s="3603"/>
      <c r="AA6" s="3609"/>
      <c r="AB6" s="3609"/>
      <c r="AC6" s="3609"/>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96" t="s">
        <v>2020</v>
      </c>
      <c r="Q7" s="3604"/>
      <c r="R7" s="1609" t="s">
        <v>34</v>
      </c>
      <c r="S7" s="1610">
        <f t="shared" ref="S7:S15" si="0">F7</f>
        <v>100</v>
      </c>
      <c r="T7" s="1609" t="s">
        <v>34</v>
      </c>
      <c r="U7" s="1610">
        <f t="shared" ref="U7:U15" si="1">H7</f>
        <v>100</v>
      </c>
      <c r="V7" s="1609" t="s">
        <v>34</v>
      </c>
      <c r="W7" s="1610">
        <f t="shared" ref="W7:W15" si="2">J7</f>
        <v>100</v>
      </c>
      <c r="X7" s="1611"/>
      <c r="Y7" s="3596" t="s">
        <v>2020</v>
      </c>
      <c r="Z7" s="3597"/>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96" t="s">
        <v>2023</v>
      </c>
      <c r="Q8" s="3597"/>
      <c r="R8" s="1609" t="s">
        <v>34</v>
      </c>
      <c r="S8" s="1610">
        <f t="shared" si="0"/>
        <v>100</v>
      </c>
      <c r="T8" s="1609" t="s">
        <v>34</v>
      </c>
      <c r="U8" s="1610">
        <f t="shared" si="1"/>
        <v>100</v>
      </c>
      <c r="V8" s="1609" t="s">
        <v>34</v>
      </c>
      <c r="W8" s="1610">
        <f t="shared" si="2"/>
        <v>100</v>
      </c>
      <c r="X8" s="1611"/>
      <c r="Y8" s="3596" t="s">
        <v>2023</v>
      </c>
      <c r="Z8" s="3597"/>
      <c r="AA8" s="1612">
        <f t="shared" ref="AA8:AA46" si="3">D8/F8</f>
        <v>1</v>
      </c>
      <c r="AB8" s="1612">
        <f t="shared" ref="AB8:AB46" si="4">D8/H8</f>
        <v>1</v>
      </c>
      <c r="AC8" s="1612">
        <f t="shared" ref="AC8:AC46" si="5">D8/J8</f>
        <v>1</v>
      </c>
    </row>
    <row r="9" spans="1:29" s="1613" customFormat="1">
      <c r="A9" s="1564" t="s">
        <v>2024</v>
      </c>
      <c r="B9" s="1616" t="s">
        <v>2025</v>
      </c>
      <c r="C9" s="3335" t="s">
        <v>3091</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64" t="s">
        <v>2026</v>
      </c>
      <c r="Q9" s="1563"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7" t="s">
        <v>3073</v>
      </c>
      <c r="F10" s="1628">
        <f>SUMIF(65:65,E10,66:66)-SUMIF(65:65,C10,66:66)+100</f>
        <v>100</v>
      </c>
      <c r="G10" s="1627" t="s">
        <v>3073</v>
      </c>
      <c r="H10" s="1626">
        <f>SUMIF(65:65,G10,66:66)-SUMIF(65:65,C10,66:66)+100</f>
        <v>100</v>
      </c>
      <c r="I10" s="1627" t="s">
        <v>3073</v>
      </c>
      <c r="J10" s="1626">
        <f>SUMIF(65:65,I10,66:66)-SUMIF(65:65,C10,66:66)+100</f>
        <v>100</v>
      </c>
      <c r="K10" s="1629">
        <v>1</v>
      </c>
      <c r="L10" s="2911"/>
      <c r="M10" s="2912"/>
      <c r="N10" s="2912"/>
      <c r="O10" s="2912"/>
      <c r="P10" s="3664"/>
      <c r="Q10" s="1563" t="str">
        <f t="shared" si="6"/>
        <v>土地使用年限（年）</v>
      </c>
      <c r="R10" s="1609" t="s">
        <v>25</v>
      </c>
      <c r="S10" s="1610">
        <f t="shared" si="0"/>
        <v>100</v>
      </c>
      <c r="T10" s="1609" t="s">
        <v>25</v>
      </c>
      <c r="U10" s="1610">
        <f t="shared" si="1"/>
        <v>100</v>
      </c>
      <c r="V10" s="1609" t="s">
        <v>25</v>
      </c>
      <c r="W10" s="1610">
        <f t="shared" si="2"/>
        <v>100</v>
      </c>
      <c r="X10" s="1611"/>
      <c r="Y10" s="348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64"/>
      <c r="Q11" s="1563" t="str">
        <f t="shared" si="6"/>
        <v>容积率</v>
      </c>
      <c r="R11" s="1609" t="s">
        <v>28</v>
      </c>
      <c r="S11" s="1610">
        <f t="shared" si="0"/>
        <v>100</v>
      </c>
      <c r="T11" s="1609" t="s">
        <v>28</v>
      </c>
      <c r="U11" s="1610">
        <f t="shared" si="1"/>
        <v>100</v>
      </c>
      <c r="V11" s="1609" t="s">
        <v>28</v>
      </c>
      <c r="W11" s="1610">
        <f t="shared" si="2"/>
        <v>100</v>
      </c>
      <c r="X11" s="1611"/>
      <c r="Y11" s="3481"/>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64"/>
      <c r="Q12" s="1563">
        <f t="shared" si="6"/>
        <v>111</v>
      </c>
      <c r="R12" s="1609" t="s">
        <v>28</v>
      </c>
      <c r="S12" s="1610">
        <f t="shared" si="0"/>
        <v>100</v>
      </c>
      <c r="T12" s="1609" t="s">
        <v>28</v>
      </c>
      <c r="U12" s="1610">
        <f t="shared" si="1"/>
        <v>100</v>
      </c>
      <c r="V12" s="1609" t="s">
        <v>28</v>
      </c>
      <c r="W12" s="1610">
        <f t="shared" si="2"/>
        <v>100</v>
      </c>
      <c r="X12" s="1611"/>
      <c r="Y12" s="348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64"/>
      <c r="Q13" s="1563">
        <f t="shared" si="6"/>
        <v>111</v>
      </c>
      <c r="R13" s="1609" t="s">
        <v>28</v>
      </c>
      <c r="S13" s="1610">
        <f t="shared" si="0"/>
        <v>100</v>
      </c>
      <c r="T13" s="1609" t="s">
        <v>28</v>
      </c>
      <c r="U13" s="1610">
        <f t="shared" si="1"/>
        <v>100</v>
      </c>
      <c r="V13" s="1609" t="s">
        <v>28</v>
      </c>
      <c r="W13" s="1610">
        <f t="shared" si="2"/>
        <v>100</v>
      </c>
      <c r="X13" s="1611"/>
      <c r="Y13" s="348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64"/>
      <c r="Q14" s="1563">
        <f t="shared" si="6"/>
        <v>111</v>
      </c>
      <c r="R14" s="1609" t="s">
        <v>28</v>
      </c>
      <c r="S14" s="1610">
        <f t="shared" si="0"/>
        <v>100</v>
      </c>
      <c r="T14" s="1609" t="s">
        <v>28</v>
      </c>
      <c r="U14" s="1610">
        <f t="shared" si="1"/>
        <v>100</v>
      </c>
      <c r="V14" s="1609" t="s">
        <v>28</v>
      </c>
      <c r="W14" s="1610">
        <f t="shared" si="2"/>
        <v>100</v>
      </c>
      <c r="X14" s="1611"/>
      <c r="Y14" s="348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59" t="s">
        <v>2031</v>
      </c>
      <c r="Q15" s="1544" t="str">
        <f t="shared" si="6"/>
        <v>居住社区成熟度</v>
      </c>
      <c r="R15" s="1654" t="s">
        <v>28</v>
      </c>
      <c r="S15" s="1655">
        <f t="shared" si="0"/>
        <v>100</v>
      </c>
      <c r="T15" s="1654" t="s">
        <v>28</v>
      </c>
      <c r="U15" s="1655">
        <f t="shared" si="1"/>
        <v>100</v>
      </c>
      <c r="V15" s="1654" t="s">
        <v>28</v>
      </c>
      <c r="W15" s="1655">
        <f t="shared" si="2"/>
        <v>100</v>
      </c>
      <c r="X15" s="1594"/>
      <c r="Y15" s="3605"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60"/>
      <c r="Q16" s="1544"/>
      <c r="R16" s="1654"/>
      <c r="S16" s="1655"/>
      <c r="T16" s="1654"/>
      <c r="U16" s="1655"/>
      <c r="V16" s="1654"/>
      <c r="W16" s="1655"/>
      <c r="X16" s="1594"/>
      <c r="Y16" s="360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60"/>
      <c r="Q17" s="1544" t="str">
        <f>B17</f>
        <v>交通便捷度</v>
      </c>
      <c r="R17" s="1654" t="s">
        <v>28</v>
      </c>
      <c r="S17" s="1655">
        <f>F17</f>
        <v>100</v>
      </c>
      <c r="T17" s="1654" t="s">
        <v>28</v>
      </c>
      <c r="U17" s="1655">
        <f>H17</f>
        <v>100</v>
      </c>
      <c r="V17" s="1654" t="s">
        <v>28</v>
      </c>
      <c r="W17" s="1655">
        <f>J17</f>
        <v>100</v>
      </c>
      <c r="X17" s="1594"/>
      <c r="Y17" s="3606"/>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4"/>
      <c r="M18" s="2910"/>
      <c r="N18" s="2910"/>
      <c r="O18" s="2910"/>
      <c r="P18" s="3660"/>
      <c r="Q18" s="1544"/>
      <c r="R18" s="1654"/>
      <c r="S18" s="1655"/>
      <c r="T18" s="1654"/>
      <c r="U18" s="1655"/>
      <c r="V18" s="1654"/>
      <c r="W18" s="1655"/>
      <c r="X18" s="1594"/>
      <c r="Y18" s="360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60"/>
      <c r="Q19" s="1544" t="str">
        <f>B19</f>
        <v>公共配套设施</v>
      </c>
      <c r="R19" s="1654" t="s">
        <v>28</v>
      </c>
      <c r="S19" s="1655">
        <f>F19</f>
        <v>100</v>
      </c>
      <c r="T19" s="1654" t="s">
        <v>28</v>
      </c>
      <c r="U19" s="1655">
        <f>H19</f>
        <v>100</v>
      </c>
      <c r="V19" s="1654" t="s">
        <v>28</v>
      </c>
      <c r="W19" s="1655">
        <f>J19</f>
        <v>100</v>
      </c>
      <c r="X19" s="1594"/>
      <c r="Y19" s="3606"/>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60"/>
      <c r="Q20" s="1544"/>
      <c r="R20" s="1654"/>
      <c r="S20" s="1655"/>
      <c r="T20" s="1654"/>
      <c r="U20" s="1655"/>
      <c r="V20" s="1654"/>
      <c r="W20" s="1655"/>
      <c r="X20" s="1594"/>
      <c r="Y20" s="360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60"/>
      <c r="Q21" s="1544" t="str">
        <f>B21</f>
        <v>基础设施水平</v>
      </c>
      <c r="R21" s="1654" t="s">
        <v>28</v>
      </c>
      <c r="S21" s="1655">
        <f>F21</f>
        <v>100</v>
      </c>
      <c r="T21" s="1654" t="s">
        <v>28</v>
      </c>
      <c r="U21" s="1655">
        <f>H21</f>
        <v>100</v>
      </c>
      <c r="V21" s="1654" t="s">
        <v>28</v>
      </c>
      <c r="W21" s="1655">
        <f>J21</f>
        <v>100</v>
      </c>
      <c r="X21" s="1594"/>
      <c r="Y21" s="3606"/>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60"/>
      <c r="Q22" s="1544"/>
      <c r="R22" s="1654"/>
      <c r="S22" s="1655"/>
      <c r="T22" s="1654"/>
      <c r="U22" s="1655"/>
      <c r="V22" s="1654"/>
      <c r="W22" s="1655"/>
      <c r="X22" s="1594"/>
      <c r="Y22" s="360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60"/>
      <c r="Q23" s="1544" t="str">
        <f>B23</f>
        <v>自然及人文环境</v>
      </c>
      <c r="R23" s="1654" t="s">
        <v>28</v>
      </c>
      <c r="S23" s="1655">
        <f>F23</f>
        <v>100</v>
      </c>
      <c r="T23" s="1654" t="s">
        <v>28</v>
      </c>
      <c r="U23" s="1655">
        <f>H23</f>
        <v>100</v>
      </c>
      <c r="V23" s="1654" t="s">
        <v>28</v>
      </c>
      <c r="W23" s="1655">
        <f>J23</f>
        <v>100</v>
      </c>
      <c r="X23" s="1594"/>
      <c r="Y23" s="3606"/>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4"/>
      <c r="M24" s="2910"/>
      <c r="N24" s="2910"/>
      <c r="O24" s="2910"/>
      <c r="P24" s="3660"/>
      <c r="Q24" s="1544"/>
      <c r="R24" s="1654"/>
      <c r="S24" s="1655"/>
      <c r="T24" s="1654"/>
      <c r="U24" s="1655"/>
      <c r="V24" s="1654"/>
      <c r="W24" s="1655"/>
      <c r="X24" s="1594"/>
      <c r="Y24" s="360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60"/>
      <c r="Q25" s="1544" t="str">
        <f t="shared" ref="Q25:Q46" si="11">B25</f>
        <v>楼层-1</v>
      </c>
      <c r="R25" s="1654" t="s">
        <v>28</v>
      </c>
      <c r="S25" s="1655">
        <f>F25</f>
        <v>100</v>
      </c>
      <c r="T25" s="1654" t="s">
        <v>28</v>
      </c>
      <c r="U25" s="1655">
        <f>H25</f>
        <v>100</v>
      </c>
      <c r="V25" s="1654" t="s">
        <v>28</v>
      </c>
      <c r="W25" s="1655">
        <f>J25</f>
        <v>100</v>
      </c>
      <c r="X25" s="1594"/>
      <c r="Y25" s="360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60"/>
      <c r="Q26" s="1544" t="str">
        <f t="shared" si="11"/>
        <v>朝向</v>
      </c>
      <c r="R26" s="1654" t="s">
        <v>28</v>
      </c>
      <c r="S26" s="1655">
        <f>F26</f>
        <v>100</v>
      </c>
      <c r="T26" s="1654" t="s">
        <v>28</v>
      </c>
      <c r="U26" s="1655">
        <f>H26</f>
        <v>100</v>
      </c>
      <c r="V26" s="1654" t="s">
        <v>28</v>
      </c>
      <c r="W26" s="1655">
        <f>J26</f>
        <v>100</v>
      </c>
      <c r="X26" s="1594"/>
      <c r="Y26" s="3606"/>
      <c r="Z26" s="1656" t="str">
        <f>Q26</f>
        <v>朝向</v>
      </c>
      <c r="AA26" s="1657">
        <f t="shared" si="3"/>
        <v>1</v>
      </c>
      <c r="AB26" s="1657">
        <f t="shared" si="4"/>
        <v>1</v>
      </c>
      <c r="AC26" s="1657">
        <f t="shared" si="5"/>
        <v>1</v>
      </c>
    </row>
    <row r="27" spans="1:29" s="1613" customFormat="1" ht="15">
      <c r="A27" s="1634"/>
      <c r="B27" s="1635" t="s">
        <v>2034</v>
      </c>
      <c r="C27" s="3338" t="s">
        <v>3100</v>
      </c>
      <c r="D27" s="1685">
        <v>100</v>
      </c>
      <c r="E27" s="3338" t="str">
        <f>C27</f>
        <v>主干道</v>
      </c>
      <c r="F27" s="1687">
        <f>SUMIF(90:90,E27,91:91)-SUMIF(90:90,C27,91:91)+100</f>
        <v>100</v>
      </c>
      <c r="G27" s="3338" t="str">
        <f>E27</f>
        <v>主干道</v>
      </c>
      <c r="H27" s="1685">
        <f>SUMIF(90:90,G27,91:91)-SUMIF(90:90,C27,91:91)+100</f>
        <v>100</v>
      </c>
      <c r="I27" s="3338" t="str">
        <f>G27</f>
        <v>主干道</v>
      </c>
      <c r="J27" s="1685">
        <f>SUMIF(90:90,I27,91:91)-SUMIF(90:90,C27,91:91)+100</f>
        <v>100</v>
      </c>
      <c r="K27" s="1638"/>
      <c r="L27" s="2909"/>
      <c r="M27" s="2882"/>
      <c r="N27" s="2882"/>
      <c r="O27" s="2882"/>
      <c r="P27" s="3660"/>
      <c r="Q27" s="1563" t="str">
        <f t="shared" si="11"/>
        <v>道路级别</v>
      </c>
      <c r="R27" s="1609" t="s">
        <v>28</v>
      </c>
      <c r="S27" s="1610">
        <f>F27</f>
        <v>100</v>
      </c>
      <c r="T27" s="1609" t="s">
        <v>28</v>
      </c>
      <c r="U27" s="1610">
        <f>H27</f>
        <v>100</v>
      </c>
      <c r="V27" s="1609" t="s">
        <v>28</v>
      </c>
      <c r="W27" s="1610">
        <f>J27</f>
        <v>100</v>
      </c>
      <c r="X27" s="1611"/>
      <c r="Y27" s="3606"/>
      <c r="Z27" s="1622" t="str">
        <f>Q27</f>
        <v>道路级别</v>
      </c>
      <c r="AA27" s="1657">
        <f>D27/F27</f>
        <v>1</v>
      </c>
      <c r="AB27" s="1657">
        <f>D27/H27</f>
        <v>1</v>
      </c>
      <c r="AC27" s="1657">
        <f>D27/J27</f>
        <v>1</v>
      </c>
    </row>
    <row r="28" spans="1:29" ht="15">
      <c r="A28" s="1631"/>
      <c r="B28" s="1689"/>
      <c r="C28" s="3339"/>
      <c r="D28" s="1640">
        <v>100</v>
      </c>
      <c r="E28" s="3339"/>
      <c r="F28" s="1683">
        <f>SUMIF(92:92,E28,93:93)-SUMIF(92:92,C28,93:93)+100</f>
        <v>100</v>
      </c>
      <c r="G28" s="3339"/>
      <c r="H28" s="1640">
        <f>SUMIF(92:92,G28,93:93)-SUMIF(92:92,C28,93:93)+100</f>
        <v>100</v>
      </c>
      <c r="I28" s="3339"/>
      <c r="J28" s="1640">
        <f>SUMIF(92:92,I28,93:93)-SUMIF(92:92,C28,93:93)+100</f>
        <v>100</v>
      </c>
      <c r="K28" s="1638"/>
      <c r="L28" s="2914"/>
      <c r="M28" s="2910"/>
      <c r="N28" s="2910"/>
      <c r="O28" s="2910"/>
      <c r="P28" s="3660"/>
      <c r="Q28" s="1544">
        <f t="shared" si="11"/>
        <v>0</v>
      </c>
      <c r="R28" s="1654" t="s">
        <v>28</v>
      </c>
      <c r="S28" s="1655">
        <f t="shared" ref="S28:S46" si="12">F28</f>
        <v>100</v>
      </c>
      <c r="T28" s="1654" t="s">
        <v>28</v>
      </c>
      <c r="U28" s="1655">
        <f t="shared" ref="U28:U46" si="13">H28</f>
        <v>100</v>
      </c>
      <c r="V28" s="1654" t="s">
        <v>28</v>
      </c>
      <c r="W28" s="1655">
        <f t="shared" ref="W28:W46" si="14">J28</f>
        <v>100</v>
      </c>
      <c r="X28" s="1594"/>
      <c r="Y28" s="3606"/>
      <c r="Z28" s="1656">
        <f t="shared" ref="Z28:Z46" si="15">Q28</f>
        <v>0</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60"/>
      <c r="Q29" s="1544">
        <f t="shared" si="11"/>
        <v>111</v>
      </c>
      <c r="R29" s="1654" t="s">
        <v>28</v>
      </c>
      <c r="S29" s="1655">
        <f t="shared" si="12"/>
        <v>100</v>
      </c>
      <c r="T29" s="1654" t="s">
        <v>28</v>
      </c>
      <c r="U29" s="1655">
        <f t="shared" si="13"/>
        <v>100</v>
      </c>
      <c r="V29" s="1654" t="s">
        <v>28</v>
      </c>
      <c r="W29" s="1655">
        <f t="shared" si="14"/>
        <v>100</v>
      </c>
      <c r="X29" s="1594"/>
      <c r="Y29" s="360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60"/>
      <c r="Q30" s="1544">
        <f t="shared" si="11"/>
        <v>111</v>
      </c>
      <c r="R30" s="1654" t="s">
        <v>28</v>
      </c>
      <c r="S30" s="1655">
        <f t="shared" si="12"/>
        <v>100</v>
      </c>
      <c r="T30" s="1654" t="s">
        <v>28</v>
      </c>
      <c r="U30" s="1655">
        <f t="shared" si="13"/>
        <v>100</v>
      </c>
      <c r="V30" s="1654" t="s">
        <v>28</v>
      </c>
      <c r="W30" s="1655">
        <f t="shared" si="14"/>
        <v>100</v>
      </c>
      <c r="X30" s="1594"/>
      <c r="Y30" s="360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60"/>
      <c r="Q31" s="1544">
        <f t="shared" si="11"/>
        <v>111</v>
      </c>
      <c r="R31" s="1654" t="s">
        <v>28</v>
      </c>
      <c r="S31" s="1655">
        <f t="shared" si="12"/>
        <v>100</v>
      </c>
      <c r="T31" s="1654" t="s">
        <v>28</v>
      </c>
      <c r="U31" s="1655">
        <f t="shared" si="13"/>
        <v>100</v>
      </c>
      <c r="V31" s="1654" t="s">
        <v>28</v>
      </c>
      <c r="W31" s="1655">
        <f t="shared" si="14"/>
        <v>100</v>
      </c>
      <c r="X31" s="1594"/>
      <c r="Y31" s="3606"/>
      <c r="Z31" s="1656">
        <f t="shared" si="15"/>
        <v>111</v>
      </c>
      <c r="AA31" s="1657">
        <f t="shared" si="3"/>
        <v>1</v>
      </c>
      <c r="AB31" s="1657">
        <f t="shared" si="4"/>
        <v>1</v>
      </c>
      <c r="AC31" s="1657">
        <f t="shared" si="5"/>
        <v>1</v>
      </c>
    </row>
    <row r="32" spans="1:29" ht="15">
      <c r="A32" s="1646" t="s">
        <v>2035</v>
      </c>
      <c r="B32" s="1616" t="s">
        <v>2036</v>
      </c>
      <c r="C32" s="3340" t="s">
        <v>3096</v>
      </c>
      <c r="D32" s="1691">
        <v>100</v>
      </c>
      <c r="E32" s="1692" t="s">
        <v>3096</v>
      </c>
      <c r="F32" s="1683">
        <f>SUMIF(100:100,E32,101:101)-SUMIF(100:100,C32,101:101)+100</f>
        <v>100</v>
      </c>
      <c r="G32" s="1692" t="s">
        <v>3097</v>
      </c>
      <c r="H32" s="1691">
        <f>SUMIF(100:100,G32,101:101)-SUMIF(100:100,C32,101:101)+100</f>
        <v>95</v>
      </c>
      <c r="I32" s="1692" t="s">
        <v>3097</v>
      </c>
      <c r="J32" s="1640">
        <f>SUMIF(100:100,I32,101:101)-SUMIF(100:100,C32,101:101)+100</f>
        <v>95</v>
      </c>
      <c r="K32" s="1629">
        <v>5</v>
      </c>
      <c r="L32" s="2914"/>
      <c r="M32" s="2910"/>
      <c r="N32" s="2910"/>
      <c r="O32" s="2910"/>
      <c r="P32" s="3661" t="s">
        <v>2037</v>
      </c>
      <c r="Q32" s="1544" t="str">
        <f t="shared" si="11"/>
        <v>建筑类型</v>
      </c>
      <c r="R32" s="1654" t="s">
        <v>28</v>
      </c>
      <c r="S32" s="1655">
        <f t="shared" si="12"/>
        <v>100</v>
      </c>
      <c r="T32" s="1654" t="s">
        <v>28</v>
      </c>
      <c r="U32" s="1655">
        <f t="shared" si="13"/>
        <v>95</v>
      </c>
      <c r="V32" s="1654" t="s">
        <v>28</v>
      </c>
      <c r="W32" s="1655">
        <f t="shared" si="14"/>
        <v>95</v>
      </c>
      <c r="X32" s="1594"/>
      <c r="Y32" s="3594" t="s">
        <v>2037</v>
      </c>
      <c r="Z32" s="1656" t="str">
        <f t="shared" si="15"/>
        <v>建筑类型</v>
      </c>
      <c r="AA32" s="1657">
        <f t="shared" si="3"/>
        <v>1</v>
      </c>
      <c r="AB32" s="1657">
        <f t="shared" si="4"/>
        <v>1.0526315789473684</v>
      </c>
      <c r="AC32" s="1657">
        <f t="shared" si="5"/>
        <v>1.0526315789473684</v>
      </c>
    </row>
    <row r="33" spans="1:29" s="1700" customFormat="1" ht="15">
      <c r="A33" s="1693"/>
      <c r="B33" s="1624" t="s">
        <v>2038</v>
      </c>
      <c r="C33" s="357">
        <f>项目基本情况!C12</f>
        <v>353.61</v>
      </c>
      <c r="D33" s="1626">
        <v>100</v>
      </c>
      <c r="E33" s="1633">
        <v>229.43</v>
      </c>
      <c r="F33" s="1628">
        <f>LOOKUP(E33,103:103,104:104)-LOOKUP(C33,103:103,104:104)+100</f>
        <v>101</v>
      </c>
      <c r="G33" s="1632">
        <v>195.43</v>
      </c>
      <c r="H33" s="1626">
        <f>LOOKUP(G33,103:103,104:104)-LOOKUP(C33,103:103,104:104)+100</f>
        <v>101</v>
      </c>
      <c r="I33" s="1633">
        <v>195.43</v>
      </c>
      <c r="J33" s="1626">
        <f>LOOKUP(I33,103:103,104:104)-LOOKUP(C33,103:103,104:104)+100</f>
        <v>101</v>
      </c>
      <c r="K33" s="1638"/>
      <c r="L33" s="2913"/>
      <c r="M33" s="1986"/>
      <c r="N33" s="1986"/>
      <c r="O33" s="1986"/>
      <c r="P33" s="3662"/>
      <c r="Q33" s="1695" t="str">
        <f t="shared" si="11"/>
        <v>项目建筑规模</v>
      </c>
      <c r="R33" s="1696" t="s">
        <v>28</v>
      </c>
      <c r="S33" s="1697">
        <f t="shared" si="12"/>
        <v>101</v>
      </c>
      <c r="T33" s="1696" t="s">
        <v>28</v>
      </c>
      <c r="U33" s="1697">
        <f t="shared" si="13"/>
        <v>101</v>
      </c>
      <c r="V33" s="1696" t="s">
        <v>28</v>
      </c>
      <c r="W33" s="1697">
        <f t="shared" si="14"/>
        <v>101</v>
      </c>
      <c r="X33" s="1698"/>
      <c r="Y33" s="3594"/>
      <c r="Z33" s="1699" t="str">
        <f t="shared" si="15"/>
        <v>项目建筑规模</v>
      </c>
      <c r="AA33" s="1657">
        <f t="shared" si="3"/>
        <v>0.99009900990099009</v>
      </c>
      <c r="AB33" s="1657">
        <f t="shared" si="4"/>
        <v>0.99009900990099009</v>
      </c>
      <c r="AC33" s="1657">
        <f t="shared" si="5"/>
        <v>0.99009900990099009</v>
      </c>
    </row>
    <row r="34" spans="1:29" ht="15">
      <c r="A34" s="1701"/>
      <c r="B34" s="1624" t="s">
        <v>2039</v>
      </c>
      <c r="C34" s="3341" t="s">
        <v>3039</v>
      </c>
      <c r="D34" s="1640">
        <v>100</v>
      </c>
      <c r="E34" s="3341" t="s">
        <v>3039</v>
      </c>
      <c r="F34" s="1683">
        <f>SUMIF(105:105,E34,106:106)-SUMIF(105:105,C34,106:106)+100</f>
        <v>100</v>
      </c>
      <c r="G34" s="3341" t="s">
        <v>3039</v>
      </c>
      <c r="H34" s="1640">
        <f>SUMIF(105:105,G34,106:106)-SUMIF(105:105,C34,106:106)+100</f>
        <v>100</v>
      </c>
      <c r="I34" s="3341" t="s">
        <v>3039</v>
      </c>
      <c r="J34" s="1640">
        <f>SUMIF(105:105,I34,106:106)-SUMIF(105:105,C34,106:106)+100</f>
        <v>100</v>
      </c>
      <c r="K34" s="3343">
        <v>2</v>
      </c>
      <c r="L34" s="2914"/>
      <c r="M34" s="2910"/>
      <c r="N34" s="2910"/>
      <c r="O34" s="2910"/>
      <c r="P34" s="3662"/>
      <c r="Q34" s="1544" t="str">
        <f t="shared" si="11"/>
        <v>建筑结构</v>
      </c>
      <c r="R34" s="1654" t="s">
        <v>28</v>
      </c>
      <c r="S34" s="1655">
        <f t="shared" si="12"/>
        <v>100</v>
      </c>
      <c r="T34" s="1654" t="s">
        <v>28</v>
      </c>
      <c r="U34" s="1655">
        <f t="shared" si="13"/>
        <v>100</v>
      </c>
      <c r="V34" s="1654" t="s">
        <v>28</v>
      </c>
      <c r="W34" s="1655">
        <f t="shared" si="14"/>
        <v>100</v>
      </c>
      <c r="X34" s="1594"/>
      <c r="Y34" s="3594"/>
      <c r="Z34" s="1656" t="str">
        <f t="shared" si="15"/>
        <v>建筑结构</v>
      </c>
      <c r="AA34" s="1657">
        <f t="shared" si="3"/>
        <v>1</v>
      </c>
      <c r="AB34" s="1657">
        <f t="shared" si="4"/>
        <v>1</v>
      </c>
      <c r="AC34" s="1657">
        <f t="shared" si="5"/>
        <v>1</v>
      </c>
    </row>
    <row r="35" spans="1:29" ht="15">
      <c r="A35" s="1701"/>
      <c r="B35" s="1624" t="s">
        <v>2040</v>
      </c>
      <c r="C35" s="1498" t="s">
        <v>3092</v>
      </c>
      <c r="D35" s="1640">
        <v>100</v>
      </c>
      <c r="E35" s="1498" t="s">
        <v>3092</v>
      </c>
      <c r="F35" s="1683">
        <f>SUMIF(107:107,E35,108:108)-SUMIF(107:107,C35,108:108)+100</f>
        <v>100</v>
      </c>
      <c r="G35" s="1498" t="s">
        <v>3092</v>
      </c>
      <c r="H35" s="1640">
        <f>SUMIF(107:107,G35,108:108)-SUMIF(107:107,C35,108:108)+100</f>
        <v>100</v>
      </c>
      <c r="I35" s="1498" t="s">
        <v>3092</v>
      </c>
      <c r="J35" s="1640">
        <f>SUMIF(107:107,I35,108:108)-SUMIF(107:107,C35,108:108)+100</f>
        <v>100</v>
      </c>
      <c r="K35" s="3343">
        <v>5</v>
      </c>
      <c r="L35" s="2914"/>
      <c r="M35" s="2910"/>
      <c r="N35" s="2910"/>
      <c r="O35" s="2910"/>
      <c r="P35" s="3662"/>
      <c r="Q35" s="1544" t="str">
        <f t="shared" si="11"/>
        <v>建筑品质</v>
      </c>
      <c r="R35" s="1654" t="s">
        <v>28</v>
      </c>
      <c r="S35" s="1655">
        <f t="shared" si="12"/>
        <v>100</v>
      </c>
      <c r="T35" s="1654" t="s">
        <v>28</v>
      </c>
      <c r="U35" s="1655">
        <f t="shared" si="13"/>
        <v>100</v>
      </c>
      <c r="V35" s="1654" t="s">
        <v>28</v>
      </c>
      <c r="W35" s="1655">
        <f t="shared" si="14"/>
        <v>100</v>
      </c>
      <c r="X35" s="1594"/>
      <c r="Y35" s="3594"/>
      <c r="Z35" s="1656" t="str">
        <f t="shared" si="15"/>
        <v>建筑品质</v>
      </c>
      <c r="AA35" s="1657">
        <f t="shared" si="3"/>
        <v>1</v>
      </c>
      <c r="AB35" s="1657">
        <f t="shared" si="4"/>
        <v>1</v>
      </c>
      <c r="AC35" s="1657">
        <f t="shared" si="5"/>
        <v>1</v>
      </c>
    </row>
    <row r="36" spans="1:29" ht="15">
      <c r="A36" s="1701"/>
      <c r="B36" s="1624" t="s">
        <v>2041</v>
      </c>
      <c r="C36" s="1498" t="s">
        <v>3075</v>
      </c>
      <c r="D36" s="1640">
        <v>100</v>
      </c>
      <c r="E36" s="1498" t="s">
        <v>3075</v>
      </c>
      <c r="F36" s="1683">
        <f>SUMIF(109:109,E36,110:110)-SUMIF(109:109,C36,110:110)+100</f>
        <v>100</v>
      </c>
      <c r="G36" s="1498" t="s">
        <v>3075</v>
      </c>
      <c r="H36" s="1640">
        <f>SUMIF(109:109,G36,110:110)-SUMIF(109:109,C36,110:110)+100</f>
        <v>100</v>
      </c>
      <c r="I36" s="1498" t="s">
        <v>3075</v>
      </c>
      <c r="J36" s="1640">
        <f>SUMIF(109:109,I36,110:110)-SUMIF(109:109,C36,110:110)+100</f>
        <v>100</v>
      </c>
      <c r="K36" s="3343">
        <v>2</v>
      </c>
      <c r="L36" s="2914"/>
      <c r="M36" s="2910"/>
      <c r="N36" s="2910"/>
      <c r="O36" s="2910"/>
      <c r="P36" s="3662"/>
      <c r="Q36" s="1544" t="str">
        <f t="shared" si="11"/>
        <v>公共部分装修</v>
      </c>
      <c r="R36" s="1654" t="s">
        <v>28</v>
      </c>
      <c r="S36" s="1655">
        <f t="shared" si="12"/>
        <v>100</v>
      </c>
      <c r="T36" s="1654" t="s">
        <v>28</v>
      </c>
      <c r="U36" s="1655">
        <f t="shared" si="13"/>
        <v>100</v>
      </c>
      <c r="V36" s="1654" t="s">
        <v>28</v>
      </c>
      <c r="W36" s="1655">
        <f t="shared" si="14"/>
        <v>100</v>
      </c>
      <c r="X36" s="1594"/>
      <c r="Y36" s="3594"/>
      <c r="Z36" s="1656" t="str">
        <f t="shared" si="15"/>
        <v>公共部分装修</v>
      </c>
      <c r="AA36" s="1657">
        <f t="shared" si="3"/>
        <v>1</v>
      </c>
      <c r="AB36" s="1657">
        <f t="shared" si="4"/>
        <v>1</v>
      </c>
      <c r="AC36" s="1657">
        <f t="shared" si="5"/>
        <v>1</v>
      </c>
    </row>
    <row r="37" spans="1:29" s="1613" customFormat="1" ht="15">
      <c r="A37" s="1704"/>
      <c r="B37" s="1624" t="s">
        <v>2042</v>
      </c>
      <c r="C37" s="362">
        <f>'数据-取费表'!E20</f>
        <v>0.8</v>
      </c>
      <c r="D37" s="1626">
        <v>100</v>
      </c>
      <c r="E37" s="362">
        <f>C37</f>
        <v>0.8</v>
      </c>
      <c r="F37" s="1628">
        <f>LOOKUP(E37,112:112,113:113)-LOOKUP(C37,112:112,113:113)+100</f>
        <v>100</v>
      </c>
      <c r="G37" s="362">
        <f>E37</f>
        <v>0.8</v>
      </c>
      <c r="H37" s="1626">
        <f>LOOKUP(G37,112:112,113:113)-LOOKUP(C37,112:112,113:113)+100</f>
        <v>100</v>
      </c>
      <c r="I37" s="362">
        <f>G37</f>
        <v>0.8</v>
      </c>
      <c r="J37" s="1626">
        <f>LOOKUP(I37,112:112,113:113)-LOOKUP(C37,112:112,113:113)+100</f>
        <v>100</v>
      </c>
      <c r="K37" s="3343">
        <v>1</v>
      </c>
      <c r="L37" s="2909"/>
      <c r="M37" s="2882"/>
      <c r="N37" s="2882"/>
      <c r="O37" s="2882"/>
      <c r="P37" s="3662"/>
      <c r="Q37" s="1563" t="str">
        <f t="shared" si="11"/>
        <v>成新度</v>
      </c>
      <c r="R37" s="1609" t="s">
        <v>28</v>
      </c>
      <c r="S37" s="1610">
        <f t="shared" si="12"/>
        <v>100</v>
      </c>
      <c r="T37" s="1609" t="s">
        <v>28</v>
      </c>
      <c r="U37" s="1610">
        <f t="shared" si="13"/>
        <v>100</v>
      </c>
      <c r="V37" s="1609" t="s">
        <v>28</v>
      </c>
      <c r="W37" s="1610">
        <f t="shared" si="14"/>
        <v>100</v>
      </c>
      <c r="X37" s="1611"/>
      <c r="Y37" s="3594"/>
      <c r="Z37" s="1622" t="str">
        <f t="shared" si="15"/>
        <v>成新度</v>
      </c>
      <c r="AA37" s="1612">
        <f t="shared" si="3"/>
        <v>1</v>
      </c>
      <c r="AB37" s="1612">
        <f t="shared" si="4"/>
        <v>1</v>
      </c>
      <c r="AC37" s="1612">
        <f t="shared" si="5"/>
        <v>1</v>
      </c>
    </row>
    <row r="38" spans="1:29" ht="15">
      <c r="A38" s="1701"/>
      <c r="B38" s="1624" t="s">
        <v>2043</v>
      </c>
      <c r="C38" s="1498" t="s">
        <v>3089</v>
      </c>
      <c r="D38" s="1640">
        <v>100</v>
      </c>
      <c r="E38" s="1498" t="s">
        <v>3089</v>
      </c>
      <c r="F38" s="1683">
        <f>SUMIF(114:114,E38,115:115)-SUMIF(114:114,C38,115:115)+100</f>
        <v>100</v>
      </c>
      <c r="G38" s="1498" t="s">
        <v>3089</v>
      </c>
      <c r="H38" s="1640">
        <f>SUMIF(114:114,G38,115:115)-SUMIF(114:114,C38,115:115)+100</f>
        <v>100</v>
      </c>
      <c r="I38" s="1498" t="s">
        <v>3089</v>
      </c>
      <c r="J38" s="1640">
        <f>SUMIF(114:114,I38,115:115)-SUMIF(114:114,C38,115:115)+100</f>
        <v>100</v>
      </c>
      <c r="K38" s="3343">
        <v>2</v>
      </c>
      <c r="L38" s="2914"/>
      <c r="M38" s="2910"/>
      <c r="N38" s="2910"/>
      <c r="O38" s="2910"/>
      <c r="P38" s="3662" t="s">
        <v>2037</v>
      </c>
      <c r="Q38" s="1544" t="str">
        <f t="shared" si="11"/>
        <v>物业管理</v>
      </c>
      <c r="R38" s="1654" t="s">
        <v>28</v>
      </c>
      <c r="S38" s="1655">
        <f t="shared" si="12"/>
        <v>100</v>
      </c>
      <c r="T38" s="1654" t="s">
        <v>28</v>
      </c>
      <c r="U38" s="1655">
        <f t="shared" si="13"/>
        <v>100</v>
      </c>
      <c r="V38" s="1654" t="s">
        <v>28</v>
      </c>
      <c r="W38" s="1655">
        <f t="shared" si="14"/>
        <v>100</v>
      </c>
      <c r="X38" s="1594"/>
      <c r="Y38" s="3594"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3">
        <v>1</v>
      </c>
      <c r="L39" s="2914"/>
      <c r="M39" s="2910"/>
      <c r="N39" s="2910"/>
      <c r="O39" s="2910"/>
      <c r="P39" s="3662"/>
      <c r="Q39" s="1544" t="str">
        <f t="shared" si="11"/>
        <v>市政基础设施</v>
      </c>
      <c r="R39" s="1654" t="s">
        <v>28</v>
      </c>
      <c r="S39" s="1655">
        <f t="shared" si="12"/>
        <v>100</v>
      </c>
      <c r="T39" s="1654" t="s">
        <v>28</v>
      </c>
      <c r="U39" s="1655">
        <f t="shared" si="13"/>
        <v>100</v>
      </c>
      <c r="V39" s="1654" t="s">
        <v>28</v>
      </c>
      <c r="W39" s="1655">
        <f t="shared" si="14"/>
        <v>100</v>
      </c>
      <c r="X39" s="1594"/>
      <c r="Y39" s="3594"/>
      <c r="Z39" s="1656" t="str">
        <f t="shared" si="15"/>
        <v>市政基础设施</v>
      </c>
      <c r="AA39" s="1657">
        <f t="shared" si="3"/>
        <v>1</v>
      </c>
      <c r="AB39" s="1657">
        <f t="shared" si="4"/>
        <v>1</v>
      </c>
      <c r="AC39" s="1657">
        <f t="shared" si="5"/>
        <v>1</v>
      </c>
    </row>
    <row r="40" spans="1:29" ht="15">
      <c r="A40" s="1701"/>
      <c r="B40" s="1624" t="s">
        <v>2045</v>
      </c>
      <c r="C40" s="3342"/>
      <c r="D40" s="1640">
        <v>100</v>
      </c>
      <c r="E40" s="3342"/>
      <c r="F40" s="1683">
        <f>SUMIF(118:118,E40,119:119)-SUMIF(118:118,C40,119:119)+100</f>
        <v>100</v>
      </c>
      <c r="G40" s="3342"/>
      <c r="H40" s="1640">
        <f>SUMIF(118:118,G40,119:119)-SUMIF(118:118,C40,119:119)+100</f>
        <v>100</v>
      </c>
      <c r="I40" s="3342"/>
      <c r="J40" s="1640">
        <f>SUMIF(118:118,I40,119:119)-SUMIF(118:118,C40,119:119)+100</f>
        <v>100</v>
      </c>
      <c r="K40" s="1629"/>
      <c r="L40" s="2914"/>
      <c r="M40" s="2910"/>
      <c r="N40" s="2910"/>
      <c r="O40" s="2910"/>
      <c r="P40" s="3662"/>
      <c r="Q40" s="1544" t="str">
        <f t="shared" si="11"/>
        <v>房型</v>
      </c>
      <c r="R40" s="1654" t="s">
        <v>28</v>
      </c>
      <c r="S40" s="1655">
        <f t="shared" si="12"/>
        <v>100</v>
      </c>
      <c r="T40" s="1654" t="s">
        <v>28</v>
      </c>
      <c r="U40" s="1655">
        <f t="shared" si="13"/>
        <v>100</v>
      </c>
      <c r="V40" s="1654" t="s">
        <v>28</v>
      </c>
      <c r="W40" s="1655">
        <f t="shared" si="14"/>
        <v>100</v>
      </c>
      <c r="X40" s="1594"/>
      <c r="Y40" s="3594"/>
      <c r="Z40" s="1656" t="str">
        <f t="shared" si="15"/>
        <v>房型</v>
      </c>
      <c r="AA40" s="1657">
        <f t="shared" si="3"/>
        <v>1</v>
      </c>
      <c r="AB40" s="1657">
        <f t="shared" si="4"/>
        <v>1</v>
      </c>
      <c r="AC40" s="1657">
        <f t="shared" si="5"/>
        <v>1</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62"/>
      <c r="Q41" s="1695" t="str">
        <f t="shared" si="11"/>
        <v>单套/主力户型建筑面积</v>
      </c>
      <c r="R41" s="1696" t="s">
        <v>28</v>
      </c>
      <c r="S41" s="1697">
        <f t="shared" si="12"/>
        <v>100</v>
      </c>
      <c r="T41" s="1696" t="s">
        <v>28</v>
      </c>
      <c r="U41" s="1697">
        <f t="shared" si="13"/>
        <v>100</v>
      </c>
      <c r="V41" s="1696" t="s">
        <v>28</v>
      </c>
      <c r="W41" s="1697">
        <f t="shared" si="14"/>
        <v>100</v>
      </c>
      <c r="X41" s="1698"/>
      <c r="Y41" s="3594"/>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62"/>
      <c r="Q42" s="1544" t="str">
        <f t="shared" si="11"/>
        <v>内部装修</v>
      </c>
      <c r="R42" s="1654" t="s">
        <v>28</v>
      </c>
      <c r="S42" s="1655">
        <f t="shared" si="12"/>
        <v>100</v>
      </c>
      <c r="T42" s="1654" t="s">
        <v>28</v>
      </c>
      <c r="U42" s="1655">
        <f t="shared" si="13"/>
        <v>100</v>
      </c>
      <c r="V42" s="1654" t="s">
        <v>28</v>
      </c>
      <c r="W42" s="1655">
        <f t="shared" si="14"/>
        <v>100</v>
      </c>
      <c r="X42" s="1594"/>
      <c r="Y42" s="3594"/>
      <c r="Z42" s="1656" t="str">
        <f t="shared" si="15"/>
        <v>内部装修</v>
      </c>
      <c r="AA42" s="1657">
        <f t="shared" si="3"/>
        <v>1</v>
      </c>
      <c r="AB42" s="1657">
        <f t="shared" si="4"/>
        <v>1</v>
      </c>
      <c r="AC42" s="1657">
        <f t="shared" si="5"/>
        <v>1</v>
      </c>
    </row>
    <row r="43" spans="1:29" ht="15">
      <c r="A43" s="1701"/>
      <c r="B43" s="1624" t="s">
        <v>2048</v>
      </c>
      <c r="C43" s="1498" t="s">
        <v>30</v>
      </c>
      <c r="D43" s="1640">
        <v>100</v>
      </c>
      <c r="E43" s="1498" t="s">
        <v>30</v>
      </c>
      <c r="F43" s="1683">
        <f>SUMIF(124:124,E43,125:125)-SUMIF(124:124,C43,125:125)+100</f>
        <v>100</v>
      </c>
      <c r="G43" s="1498" t="s">
        <v>30</v>
      </c>
      <c r="H43" s="1640">
        <f>SUMIF(124:124,G43,125:125)-SUMIF(124:124,C43,125:125)+100</f>
        <v>100</v>
      </c>
      <c r="I43" s="1498" t="s">
        <v>30</v>
      </c>
      <c r="J43" s="1640">
        <f>SUMIF(124:124,I43,125:125)-SUMIF(124:124,C43,125:125)+100</f>
        <v>100</v>
      </c>
      <c r="K43" s="1629">
        <v>1</v>
      </c>
      <c r="L43" s="2914"/>
      <c r="M43" s="2910"/>
      <c r="N43" s="2910"/>
      <c r="O43" s="2910"/>
      <c r="P43" s="3662"/>
      <c r="Q43" s="1544" t="str">
        <f t="shared" si="11"/>
        <v>内部装修维护情况</v>
      </c>
      <c r="R43" s="1654" t="s">
        <v>28</v>
      </c>
      <c r="S43" s="1655">
        <f t="shared" si="12"/>
        <v>100</v>
      </c>
      <c r="T43" s="1654" t="s">
        <v>28</v>
      </c>
      <c r="U43" s="1655">
        <f t="shared" si="13"/>
        <v>100</v>
      </c>
      <c r="V43" s="1654" t="s">
        <v>28</v>
      </c>
      <c r="W43" s="1655">
        <f t="shared" si="14"/>
        <v>100</v>
      </c>
      <c r="X43" s="1594"/>
      <c r="Y43" s="3594"/>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62"/>
      <c r="Q44" s="1563">
        <f t="shared" si="11"/>
        <v>111</v>
      </c>
      <c r="R44" s="1609" t="s">
        <v>28</v>
      </c>
      <c r="S44" s="1610">
        <f t="shared" si="12"/>
        <v>100</v>
      </c>
      <c r="T44" s="1609" t="s">
        <v>28</v>
      </c>
      <c r="U44" s="1610">
        <f t="shared" si="13"/>
        <v>100</v>
      </c>
      <c r="V44" s="1609" t="s">
        <v>28</v>
      </c>
      <c r="W44" s="1610">
        <f t="shared" si="14"/>
        <v>100</v>
      </c>
      <c r="X44" s="1611"/>
      <c r="Y44" s="359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62"/>
      <c r="Q45" s="1544">
        <f t="shared" si="11"/>
        <v>111</v>
      </c>
      <c r="R45" s="1654" t="s">
        <v>28</v>
      </c>
      <c r="S45" s="1655">
        <f t="shared" si="12"/>
        <v>100</v>
      </c>
      <c r="T45" s="1654" t="s">
        <v>28</v>
      </c>
      <c r="U45" s="1655">
        <f t="shared" si="13"/>
        <v>100</v>
      </c>
      <c r="V45" s="1654" t="s">
        <v>28</v>
      </c>
      <c r="W45" s="1655">
        <f t="shared" si="14"/>
        <v>100</v>
      </c>
      <c r="X45" s="1594"/>
      <c r="Y45" s="3594"/>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63"/>
      <c r="Q46" s="1544">
        <f t="shared" si="11"/>
        <v>111</v>
      </c>
      <c r="R46" s="1654" t="s">
        <v>27</v>
      </c>
      <c r="S46" s="1655">
        <f t="shared" si="12"/>
        <v>100</v>
      </c>
      <c r="T46" s="1654" t="s">
        <v>27</v>
      </c>
      <c r="U46" s="1655">
        <f t="shared" si="13"/>
        <v>100</v>
      </c>
      <c r="V46" s="1654" t="s">
        <v>27</v>
      </c>
      <c r="W46" s="1655">
        <f t="shared" si="14"/>
        <v>100</v>
      </c>
      <c r="X46" s="1594"/>
      <c r="Y46" s="3595"/>
      <c r="Z46" s="1656">
        <f t="shared" si="15"/>
        <v>111</v>
      </c>
      <c r="AA46" s="1657">
        <f t="shared" si="3"/>
        <v>1</v>
      </c>
      <c r="AB46" s="1657">
        <f t="shared" si="4"/>
        <v>1</v>
      </c>
      <c r="AC46" s="1657">
        <f t="shared" si="5"/>
        <v>1</v>
      </c>
    </row>
    <row r="47" spans="1:29" ht="15">
      <c r="A47" s="1708" t="s">
        <v>2049</v>
      </c>
      <c r="B47" s="1709"/>
      <c r="C47" s="1710" t="s">
        <v>26</v>
      </c>
      <c r="D47" s="1711"/>
      <c r="E47" s="1712">
        <v>52350</v>
      </c>
      <c r="F47" s="1713"/>
      <c r="G47" s="1714">
        <v>48611</v>
      </c>
      <c r="H47" s="1715"/>
      <c r="I47" s="1712">
        <v>49635</v>
      </c>
      <c r="J47" s="1715"/>
      <c r="K47" s="1716"/>
      <c r="L47" s="2915"/>
      <c r="N47" s="2910"/>
      <c r="P47" s="3588" t="str">
        <f>A47</f>
        <v>成交单价（元/平方米）</v>
      </c>
      <c r="Q47" s="3588"/>
      <c r="R47" s="3589">
        <f>E47</f>
        <v>52350</v>
      </c>
      <c r="S47" s="3589"/>
      <c r="T47" s="3589">
        <f>G47</f>
        <v>48611</v>
      </c>
      <c r="U47" s="3589"/>
      <c r="V47" s="3589">
        <f>I47</f>
        <v>49635</v>
      </c>
      <c r="W47" s="3589"/>
      <c r="X47" s="1718"/>
      <c r="Y47" s="1719"/>
      <c r="Z47" s="1718"/>
      <c r="AA47" s="1718"/>
      <c r="AB47" s="1718"/>
      <c r="AC47" s="1718"/>
    </row>
    <row r="48" spans="1:29" ht="15.75" thickBot="1">
      <c r="A48" s="1720" t="s">
        <v>2050</v>
      </c>
      <c r="B48" s="1721"/>
      <c r="C48" s="1722">
        <f>R49</f>
        <v>51408</v>
      </c>
      <c r="D48" s="1723" t="s">
        <v>2503</v>
      </c>
      <c r="E48" s="1724">
        <f>R48</f>
        <v>51832</v>
      </c>
      <c r="F48" s="1725"/>
      <c r="G48" s="1722">
        <f>T48</f>
        <v>50663</v>
      </c>
      <c r="H48" s="1725"/>
      <c r="I48" s="1724">
        <f>V48</f>
        <v>51730</v>
      </c>
      <c r="J48" s="1725"/>
      <c r="K48" s="2427">
        <f>F48+H48+J48</f>
        <v>0</v>
      </c>
      <c r="L48" s="2915"/>
      <c r="P48" s="3588" t="str">
        <f>A48</f>
        <v>比较价值（元/平方米）</v>
      </c>
      <c r="Q48" s="3588"/>
      <c r="R48" s="3589">
        <f>IF(E1="售价",ROUND(PRODUCT(R47,AA7:AA46),0),ROUND(PRODUCT(R47,AA7:AA46),1))</f>
        <v>51832</v>
      </c>
      <c r="S48" s="3589"/>
      <c r="T48" s="3657">
        <f>IF(E1="售价",ROUND(PRODUCT(T47,AB7:AB46),0),ROUND(PRODUCT(T47,AB7:AB46),1))</f>
        <v>50663</v>
      </c>
      <c r="U48" s="3658"/>
      <c r="V48" s="3589">
        <f>IF(E1="售价",ROUND(PRODUCT(V47,AC7:AC46),0),ROUND(PRODUCT(V47,AC7:AC46),1))</f>
        <v>51730</v>
      </c>
      <c r="W48" s="3589"/>
      <c r="X48" s="1718"/>
      <c r="Y48" s="1718"/>
      <c r="Z48" s="1718"/>
      <c r="AA48" s="1718"/>
      <c r="AB48" s="1718"/>
      <c r="AC48" s="1718"/>
    </row>
    <row r="49" spans="1:29" ht="15.75" thickBot="1">
      <c r="A49" s="1726" t="s">
        <v>2051</v>
      </c>
      <c r="B49" s="1727"/>
      <c r="C49" s="1728">
        <f>R49</f>
        <v>51408</v>
      </c>
      <c r="D49" s="1729"/>
      <c r="E49" s="1729"/>
      <c r="F49" s="1729"/>
      <c r="G49" s="1729"/>
      <c r="H49" s="1729"/>
      <c r="I49" s="1729"/>
      <c r="J49" s="1729"/>
      <c r="K49" s="1730"/>
      <c r="L49" s="2915"/>
      <c r="P49" s="3590" t="str">
        <f>A49</f>
        <v>估价对象XX用房的比较价值（楼面单价，元/平方米）</v>
      </c>
      <c r="Q49" s="3591"/>
      <c r="R49" s="3592">
        <f>IF(E1="售价",ROUND(IF(D48="简单平均",AVERAGE(R48:V48),R48*F48+T48*H48+V48*J48),0),ROUND(IF(D48="简单平均",AVERAGE(R48:V48),R48*F48+T48*H48+V48*J48),1))</f>
        <v>51408</v>
      </c>
      <c r="S49" s="3592"/>
      <c r="T49" s="3592"/>
      <c r="U49" s="3592"/>
      <c r="V49" s="3592"/>
      <c r="W49" s="3592"/>
      <c r="X49" s="1718"/>
      <c r="Y49" s="1718"/>
      <c r="Z49" s="1718"/>
      <c r="AA49" s="1718"/>
      <c r="AB49" s="1718"/>
      <c r="AC49" s="1718"/>
    </row>
    <row r="50" spans="1:29">
      <c r="G50" s="2919"/>
    </row>
    <row r="52" spans="1:29" ht="13.5" customHeight="1">
      <c r="C52" s="383" t="s">
        <v>2052</v>
      </c>
      <c r="D52" s="1734"/>
      <c r="E52" s="1735">
        <f>IF(E47&lt;E48,E48/E47-1,E47/E48-1)</f>
        <v>9.9938262077481355E-3</v>
      </c>
      <c r="F52" s="1736" t="str">
        <f>IF(OR(E52&gt;=0.3,E52&lt;=-0.3),"超过30%","")</f>
        <v/>
      </c>
      <c r="G52" s="1735">
        <f>IF(G47&lt;G48,G48/G47-1,G47/G48-1)</f>
        <v>4.2212667914669488E-2</v>
      </c>
      <c r="H52" s="1736" t="str">
        <f>IF(OR(G52&gt;=0.3,G52&lt;=-0.3),"超过30%","")</f>
        <v/>
      </c>
      <c r="I52" s="1735">
        <f>IF(I47&lt;I48,I48/I47-1,I47/I48-1)</f>
        <v>4.2208119270676026E-2</v>
      </c>
      <c r="J52" s="1736" t="str">
        <f>IF(OR(I52&gt;=0.3,I52&lt;=-0.3),"超过30%","")</f>
        <v/>
      </c>
    </row>
    <row r="53" spans="1:29" ht="13.5" customHeight="1">
      <c r="C53" s="383" t="s">
        <v>2053</v>
      </c>
      <c r="D53" s="1737"/>
      <c r="E53" s="1735">
        <f>IF(E48&lt;G48,G48/E48-1,E48/G48-1)</f>
        <v>2.3074038252768325E-2</v>
      </c>
      <c r="F53" s="1736" t="str">
        <f>IF(OR(E53&gt;=0.2,E53&lt;=-0.2),"超过20%","")</f>
        <v/>
      </c>
      <c r="G53" s="1735">
        <f>IF(G48&lt;I48,I48/G48-1,G48/I48-1)</f>
        <v>2.1060734658429281E-2</v>
      </c>
      <c r="H53" s="1736" t="str">
        <f>IF(OR(G53&gt;=0.2,G53&lt;=-0.2),"超过20%","")</f>
        <v/>
      </c>
      <c r="I53" s="1735">
        <f>IF(I48&lt;E48,E48/I48-1,I48/E48-1)</f>
        <v>1.9717765319930969E-3</v>
      </c>
      <c r="J53" s="1736" t="str">
        <f>IF(OR(I53&gt;=0.2,I53&lt;=-0.2),"超过20%","")</f>
        <v/>
      </c>
    </row>
    <row r="54" spans="1:29" s="1740" customFormat="1" ht="13.5" customHeight="1">
      <c r="C54" s="383" t="s">
        <v>2054</v>
      </c>
      <c r="D54" s="1737"/>
      <c r="E54" s="1735">
        <f>IF(E47&lt;G47,G47/E47-1,E47/G47-1)</f>
        <v>7.6916747238279459E-2</v>
      </c>
      <c r="F54" s="1736" t="str">
        <f>IF(OR(E54&gt;=0.3,E54&lt;=-0.3),"超过30%","")</f>
        <v/>
      </c>
      <c r="G54" s="1735">
        <f>IF(G47&lt;I47,I47/G47-1,G47/I47-1)</f>
        <v>2.1065191006150785E-2</v>
      </c>
      <c r="H54" s="1736" t="str">
        <f>IF(OR(G54&gt;=0.3,G54&lt;=-0.3),"超过30%","")</f>
        <v/>
      </c>
      <c r="I54" s="1735">
        <f>IF(I47&lt;E47,E47/I47-1,I47/E47-1)</f>
        <v>5.4699304925959424E-2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1"/>
      <c r="D86" s="3331"/>
      <c r="E86" s="3331"/>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3083</v>
      </c>
      <c r="D90" s="468" t="s">
        <v>3047</v>
      </c>
      <c r="E90" s="468" t="s">
        <v>3084</v>
      </c>
      <c r="F90" s="468" t="s">
        <v>3085</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f>B28</f>
        <v>0</v>
      </c>
      <c r="C92" s="3331" t="s">
        <v>3086</v>
      </c>
      <c r="D92" s="3331" t="s">
        <v>3087</v>
      </c>
      <c r="E92" s="3331" t="s">
        <v>3088</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47" t="s">
        <v>3096</v>
      </c>
      <c r="D100" s="3347" t="s">
        <v>3097</v>
      </c>
      <c r="E100" s="3325"/>
      <c r="F100" s="3325"/>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3348">
        <v>0</v>
      </c>
      <c r="D103" s="3348">
        <v>100</v>
      </c>
      <c r="E103" s="3348">
        <v>300</v>
      </c>
      <c r="F103" s="3348">
        <v>500</v>
      </c>
      <c r="G103" s="3348">
        <v>800</v>
      </c>
      <c r="H103" s="1828"/>
      <c r="I103" s="1828"/>
      <c r="J103" s="485"/>
      <c r="K103" s="485"/>
      <c r="L103" s="485"/>
      <c r="M103" s="1829"/>
      <c r="N103" s="1798"/>
      <c r="O103" s="1798"/>
      <c r="P103" s="1799"/>
      <c r="Q103" s="1800"/>
    </row>
    <row r="104" spans="1:17" s="1700" customFormat="1" ht="15.75" thickBot="1">
      <c r="A104" s="1796"/>
      <c r="B104" s="1788"/>
      <c r="C104" s="3349">
        <v>100</v>
      </c>
      <c r="D104" s="3350">
        <v>99</v>
      </c>
      <c r="E104" s="3350">
        <v>98</v>
      </c>
      <c r="F104" s="3350">
        <v>97</v>
      </c>
      <c r="G104" s="3350">
        <v>96</v>
      </c>
      <c r="H104" s="1782"/>
      <c r="I104" s="1782"/>
      <c r="J104" s="1782"/>
      <c r="K104" s="1782"/>
      <c r="L104" s="1782"/>
      <c r="M104" s="1782"/>
      <c r="N104" s="1784"/>
      <c r="O104" s="1784"/>
      <c r="P104" s="1799"/>
      <c r="Q104" s="1800"/>
    </row>
    <row r="105" spans="1:17" ht="17.25" thickTop="1">
      <c r="A105" s="1830"/>
      <c r="B105" s="1785" t="s">
        <v>2086</v>
      </c>
      <c r="C105" s="3351" t="s">
        <v>3039</v>
      </c>
      <c r="D105" s="3351" t="s">
        <v>3058</v>
      </c>
      <c r="E105" s="3337"/>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3352" t="s">
        <v>29</v>
      </c>
      <c r="D107" s="3352" t="s">
        <v>30</v>
      </c>
      <c r="E107" s="3352" t="s">
        <v>31</v>
      </c>
      <c r="F107" s="3352" t="s">
        <v>32</v>
      </c>
      <c r="G107" s="3352" t="s">
        <v>35</v>
      </c>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53" t="s">
        <v>3075</v>
      </c>
      <c r="D109" s="3353" t="s">
        <v>3098</v>
      </c>
      <c r="E109" s="3353" t="s">
        <v>3099</v>
      </c>
      <c r="F109" s="471"/>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4" t="s">
        <v>3090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2"/>
      <c r="D118" s="3332"/>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54" t="s">
        <v>3075</v>
      </c>
      <c r="D122" s="3354" t="s">
        <v>3098</v>
      </c>
      <c r="E122" s="3354" t="s">
        <v>3099</v>
      </c>
      <c r="F122" s="471"/>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万元</v>
      </c>
      <c r="D2" s="1580"/>
      <c r="E2" s="2387" t="e">
        <f ca="1">SUMIF(INDIRECT("'"&amp;G2&amp;"'"&amp;"!A:A"),"承租人权益价值",INDIRECT("'"&amp;G2&amp;"'"&amp;"!c:c"))</f>
        <v>#REF!</v>
      </c>
      <c r="F2" s="1582" t="str">
        <f>C2</f>
        <v>万元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353.61</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610" t="s">
        <v>2007</v>
      </c>
      <c r="D4" s="3611"/>
      <c r="E4" s="3612" t="s">
        <v>2008</v>
      </c>
      <c r="F4" s="3613"/>
      <c r="G4" s="3610" t="s">
        <v>2009</v>
      </c>
      <c r="H4" s="3611"/>
      <c r="I4" s="3610" t="s">
        <v>2010</v>
      </c>
      <c r="J4" s="3611"/>
      <c r="K4" s="1892" t="s">
        <v>2011</v>
      </c>
      <c r="L4" s="2909"/>
      <c r="M4" s="2910"/>
      <c r="N4" s="2910"/>
      <c r="O4" s="2910"/>
      <c r="P4" s="3614" t="s">
        <v>2012</v>
      </c>
      <c r="Q4" s="3615"/>
      <c r="R4" s="3598" t="s">
        <v>2008</v>
      </c>
      <c r="S4" s="3599"/>
      <c r="T4" s="3598" t="s">
        <v>2009</v>
      </c>
      <c r="U4" s="3599"/>
      <c r="V4" s="3620" t="s">
        <v>2010</v>
      </c>
      <c r="W4" s="3620"/>
      <c r="X4" s="2001"/>
      <c r="Y4" s="3598" t="s">
        <v>2012</v>
      </c>
      <c r="Z4" s="3599"/>
      <c r="AA4" s="3607" t="s">
        <v>2008</v>
      </c>
      <c r="AB4" s="3620" t="s">
        <v>2009</v>
      </c>
      <c r="AC4" s="3607" t="s">
        <v>2010</v>
      </c>
    </row>
    <row r="5" spans="1:29" ht="15">
      <c r="A5" s="1596"/>
      <c r="B5" s="1597"/>
      <c r="C5" s="3627" t="s">
        <v>2013</v>
      </c>
      <c r="D5" s="3624"/>
      <c r="E5" s="3621" t="s">
        <v>2014</v>
      </c>
      <c r="F5" s="3622"/>
      <c r="G5" s="3627" t="s">
        <v>2015</v>
      </c>
      <c r="H5" s="3624"/>
      <c r="I5" s="3627" t="s">
        <v>2016</v>
      </c>
      <c r="J5" s="3624"/>
      <c r="K5" s="1892"/>
      <c r="L5" s="2909"/>
      <c r="M5" s="2910"/>
      <c r="N5" s="2910"/>
      <c r="O5" s="2910"/>
      <c r="P5" s="3616"/>
      <c r="Q5" s="3617"/>
      <c r="R5" s="3600"/>
      <c r="S5" s="3601"/>
      <c r="T5" s="3600"/>
      <c r="U5" s="3601"/>
      <c r="V5" s="3620"/>
      <c r="W5" s="3620"/>
      <c r="X5" s="2001"/>
      <c r="Y5" s="3600"/>
      <c r="Z5" s="3601"/>
      <c r="AA5" s="3608"/>
      <c r="AB5" s="3620"/>
      <c r="AC5" s="3608"/>
    </row>
    <row r="6" spans="1:29" ht="15.75" thickBot="1">
      <c r="A6" s="1599"/>
      <c r="B6" s="1600"/>
      <c r="C6" s="3625" t="s">
        <v>2017</v>
      </c>
      <c r="D6" s="3626"/>
      <c r="E6" s="3628" t="s">
        <v>2017</v>
      </c>
      <c r="F6" s="3629"/>
      <c r="G6" s="3625" t="s">
        <v>2017</v>
      </c>
      <c r="H6" s="3626"/>
      <c r="I6" s="3625" t="s">
        <v>2017</v>
      </c>
      <c r="J6" s="3626"/>
      <c r="K6" s="1892" t="s">
        <v>2018</v>
      </c>
      <c r="L6" s="2909"/>
      <c r="M6" s="2910"/>
      <c r="N6" s="2910"/>
      <c r="O6" s="2910"/>
      <c r="P6" s="3618"/>
      <c r="Q6" s="3619"/>
      <c r="R6" s="3600"/>
      <c r="S6" s="3601"/>
      <c r="T6" s="3602"/>
      <c r="U6" s="3603"/>
      <c r="V6" s="3620"/>
      <c r="W6" s="3620"/>
      <c r="X6" s="2001"/>
      <c r="Y6" s="3602"/>
      <c r="Z6" s="3603"/>
      <c r="AA6" s="3609"/>
      <c r="AB6" s="3620"/>
      <c r="AC6" s="3609"/>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96" t="s">
        <v>2020</v>
      </c>
      <c r="Q7" s="3604"/>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64" t="s">
        <v>2026</v>
      </c>
      <c r="Q9" s="1992"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64"/>
      <c r="Q10" s="1992" t="str">
        <f t="shared" si="6"/>
        <v>土地使用年限（年）</v>
      </c>
      <c r="R10" s="1609" t="s">
        <v>25</v>
      </c>
      <c r="S10" s="1610">
        <f t="shared" si="0"/>
        <v>100</v>
      </c>
      <c r="T10" s="1609" t="s">
        <v>25</v>
      </c>
      <c r="U10" s="1610">
        <f t="shared" si="1"/>
        <v>100</v>
      </c>
      <c r="V10" s="1609" t="s">
        <v>25</v>
      </c>
      <c r="W10" s="1610">
        <f t="shared" si="2"/>
        <v>100</v>
      </c>
      <c r="X10" s="1611"/>
      <c r="Y10" s="348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64"/>
      <c r="Q11" s="1992" t="str">
        <f t="shared" si="6"/>
        <v>容积率</v>
      </c>
      <c r="R11" s="1609" t="s">
        <v>25</v>
      </c>
      <c r="S11" s="1610" t="e">
        <f t="shared" si="0"/>
        <v>#N/A</v>
      </c>
      <c r="T11" s="1609" t="s">
        <v>25</v>
      </c>
      <c r="U11" s="1610" t="e">
        <f t="shared" si="1"/>
        <v>#N/A</v>
      </c>
      <c r="V11" s="1609" t="s">
        <v>25</v>
      </c>
      <c r="W11" s="1610" t="e">
        <f t="shared" si="2"/>
        <v>#N/A</v>
      </c>
      <c r="X11" s="1611"/>
      <c r="Y11" s="348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64"/>
      <c r="Q12" s="1992">
        <f t="shared" si="6"/>
        <v>111</v>
      </c>
      <c r="R12" s="1609" t="s">
        <v>25</v>
      </c>
      <c r="S12" s="1610">
        <f t="shared" si="0"/>
        <v>100</v>
      </c>
      <c r="T12" s="1609" t="s">
        <v>25</v>
      </c>
      <c r="U12" s="1610">
        <f t="shared" si="1"/>
        <v>100</v>
      </c>
      <c r="V12" s="1609" t="s">
        <v>25</v>
      </c>
      <c r="W12" s="1610">
        <f t="shared" si="2"/>
        <v>100</v>
      </c>
      <c r="X12" s="1611"/>
      <c r="Y12" s="348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64"/>
      <c r="Q13" s="1992">
        <f t="shared" si="6"/>
        <v>111</v>
      </c>
      <c r="R13" s="1609" t="s">
        <v>25</v>
      </c>
      <c r="S13" s="1610">
        <f t="shared" si="0"/>
        <v>100</v>
      </c>
      <c r="T13" s="1609" t="s">
        <v>25</v>
      </c>
      <c r="U13" s="1610">
        <f t="shared" si="1"/>
        <v>100</v>
      </c>
      <c r="V13" s="1609" t="s">
        <v>25</v>
      </c>
      <c r="W13" s="1610">
        <f t="shared" si="2"/>
        <v>100</v>
      </c>
      <c r="X13" s="1611"/>
      <c r="Y13" s="348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64"/>
      <c r="Q14" s="1992">
        <f t="shared" si="6"/>
        <v>111</v>
      </c>
      <c r="R14" s="1609" t="s">
        <v>25</v>
      </c>
      <c r="S14" s="1610">
        <f t="shared" si="0"/>
        <v>100</v>
      </c>
      <c r="T14" s="1609" t="s">
        <v>25</v>
      </c>
      <c r="U14" s="1610">
        <f t="shared" si="1"/>
        <v>100</v>
      </c>
      <c r="V14" s="1609" t="s">
        <v>25</v>
      </c>
      <c r="W14" s="1610">
        <f t="shared" si="2"/>
        <v>100</v>
      </c>
      <c r="X14" s="1611"/>
      <c r="Y14" s="3481"/>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59" t="s">
        <v>2031</v>
      </c>
      <c r="Q15" s="1998" t="str">
        <f t="shared" si="6"/>
        <v>商业繁华度</v>
      </c>
      <c r="R15" s="1654" t="s">
        <v>25</v>
      </c>
      <c r="S15" s="1655">
        <f t="shared" si="0"/>
        <v>100</v>
      </c>
      <c r="T15" s="1654" t="s">
        <v>25</v>
      </c>
      <c r="U15" s="1655">
        <f t="shared" si="1"/>
        <v>100</v>
      </c>
      <c r="V15" s="1654" t="s">
        <v>25</v>
      </c>
      <c r="W15" s="1655">
        <f t="shared" si="2"/>
        <v>100</v>
      </c>
      <c r="X15" s="2001"/>
      <c r="Y15" s="3605"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60"/>
      <c r="Q16" s="1998"/>
      <c r="R16" s="1654"/>
      <c r="S16" s="1655"/>
      <c r="T16" s="1654"/>
      <c r="U16" s="1655"/>
      <c r="V16" s="1654"/>
      <c r="W16" s="1655"/>
      <c r="X16" s="2001"/>
      <c r="Y16" s="3606"/>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60"/>
      <c r="Q17" s="1998" t="str">
        <f>B17</f>
        <v>交通便捷度</v>
      </c>
      <c r="R17" s="1654" t="s">
        <v>25</v>
      </c>
      <c r="S17" s="1655">
        <f>F17</f>
        <v>100</v>
      </c>
      <c r="T17" s="1654" t="s">
        <v>25</v>
      </c>
      <c r="U17" s="1655">
        <f>H17</f>
        <v>100</v>
      </c>
      <c r="V17" s="1654" t="s">
        <v>25</v>
      </c>
      <c r="W17" s="1655">
        <f>J17</f>
        <v>100</v>
      </c>
      <c r="X17" s="2001"/>
      <c r="Y17" s="3606"/>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60"/>
      <c r="Q18" s="1998"/>
      <c r="R18" s="1654"/>
      <c r="S18" s="1655"/>
      <c r="T18" s="1654"/>
      <c r="U18" s="1655"/>
      <c r="V18" s="1654"/>
      <c r="W18" s="1655"/>
      <c r="X18" s="2001"/>
      <c r="Y18" s="3606"/>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60"/>
      <c r="Q19" s="1998" t="str">
        <f>B19</f>
        <v>公共配套设施</v>
      </c>
      <c r="R19" s="1654" t="s">
        <v>25</v>
      </c>
      <c r="S19" s="1655">
        <f>F19</f>
        <v>100</v>
      </c>
      <c r="T19" s="1654" t="s">
        <v>25</v>
      </c>
      <c r="U19" s="1655">
        <f>H19</f>
        <v>100</v>
      </c>
      <c r="V19" s="1654" t="s">
        <v>25</v>
      </c>
      <c r="W19" s="1655">
        <f>J19</f>
        <v>100</v>
      </c>
      <c r="X19" s="2001"/>
      <c r="Y19" s="3606"/>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60"/>
      <c r="Q20" s="1998"/>
      <c r="R20" s="1654"/>
      <c r="S20" s="1655"/>
      <c r="T20" s="1654"/>
      <c r="U20" s="1655"/>
      <c r="V20" s="1654"/>
      <c r="W20" s="1655"/>
      <c r="X20" s="2001"/>
      <c r="Y20" s="3606"/>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60"/>
      <c r="Q21" s="1998" t="str">
        <f>B21</f>
        <v>基础设施水平</v>
      </c>
      <c r="R21" s="1654" t="s">
        <v>25</v>
      </c>
      <c r="S21" s="1655">
        <f>F21</f>
        <v>100</v>
      </c>
      <c r="T21" s="1654" t="s">
        <v>25</v>
      </c>
      <c r="U21" s="1655">
        <f>H21</f>
        <v>100</v>
      </c>
      <c r="V21" s="1654" t="s">
        <v>25</v>
      </c>
      <c r="W21" s="1655">
        <f>J21</f>
        <v>100</v>
      </c>
      <c r="X21" s="2001"/>
      <c r="Y21" s="3606"/>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60"/>
      <c r="Q22" s="1998"/>
      <c r="R22" s="1654"/>
      <c r="S22" s="1655"/>
      <c r="T22" s="1654"/>
      <c r="U22" s="1655"/>
      <c r="V22" s="1654"/>
      <c r="W22" s="1655"/>
      <c r="X22" s="2001"/>
      <c r="Y22" s="3606"/>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60"/>
      <c r="Q23" s="1998" t="str">
        <f>B23</f>
        <v>自然及人文环境</v>
      </c>
      <c r="R23" s="1654" t="s">
        <v>25</v>
      </c>
      <c r="S23" s="1655">
        <f>F23</f>
        <v>100</v>
      </c>
      <c r="T23" s="1654" t="s">
        <v>25</v>
      </c>
      <c r="U23" s="1655">
        <f>H23</f>
        <v>100</v>
      </c>
      <c r="V23" s="1654" t="s">
        <v>25</v>
      </c>
      <c r="W23" s="1655">
        <f>J23</f>
        <v>100</v>
      </c>
      <c r="X23" s="2001"/>
      <c r="Y23" s="3606"/>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60"/>
      <c r="Q24" s="1998"/>
      <c r="R24" s="1654"/>
      <c r="S24" s="1655"/>
      <c r="T24" s="1654"/>
      <c r="U24" s="1655"/>
      <c r="V24" s="1654"/>
      <c r="W24" s="1655"/>
      <c r="X24" s="2001"/>
      <c r="Y24" s="3606"/>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60"/>
      <c r="Q25" s="1998" t="str">
        <f t="shared" ref="Q25:Q46" si="11">B25</f>
        <v>临街状况</v>
      </c>
      <c r="R25" s="1654" t="s">
        <v>25</v>
      </c>
      <c r="S25" s="1655">
        <f>F25</f>
        <v>100</v>
      </c>
      <c r="T25" s="1654" t="s">
        <v>25</v>
      </c>
      <c r="U25" s="1655">
        <f>H25</f>
        <v>100</v>
      </c>
      <c r="V25" s="1654" t="s">
        <v>25</v>
      </c>
      <c r="W25" s="1655">
        <f>J25</f>
        <v>100</v>
      </c>
      <c r="X25" s="2001"/>
      <c r="Y25" s="3606"/>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60"/>
      <c r="Q26" s="1998" t="str">
        <f t="shared" si="11"/>
        <v>平面位置/可视性</v>
      </c>
      <c r="R26" s="1654" t="s">
        <v>25</v>
      </c>
      <c r="S26" s="1655">
        <f>F26</f>
        <v>100</v>
      </c>
      <c r="T26" s="1654" t="s">
        <v>25</v>
      </c>
      <c r="U26" s="1655">
        <f>H26</f>
        <v>100</v>
      </c>
      <c r="V26" s="1654" t="s">
        <v>25</v>
      </c>
      <c r="W26" s="1655">
        <f>J26</f>
        <v>100</v>
      </c>
      <c r="X26" s="2001"/>
      <c r="Y26" s="3606"/>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60"/>
      <c r="Q27" s="1992" t="str">
        <f t="shared" si="11"/>
        <v>人流量</v>
      </c>
      <c r="R27" s="1609" t="s">
        <v>25</v>
      </c>
      <c r="S27" s="1610">
        <f>F27</f>
        <v>100</v>
      </c>
      <c r="T27" s="1609" t="s">
        <v>25</v>
      </c>
      <c r="U27" s="1610">
        <f>H27</f>
        <v>100</v>
      </c>
      <c r="V27" s="1609" t="s">
        <v>25</v>
      </c>
      <c r="W27" s="1610">
        <f>J27</f>
        <v>100</v>
      </c>
      <c r="X27" s="1611"/>
      <c r="Y27" s="3606"/>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60"/>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606"/>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60"/>
      <c r="Q29" s="1998">
        <f t="shared" si="11"/>
        <v>111</v>
      </c>
      <c r="R29" s="1654" t="s">
        <v>25</v>
      </c>
      <c r="S29" s="1655">
        <f t="shared" si="12"/>
        <v>100</v>
      </c>
      <c r="T29" s="1654" t="s">
        <v>25</v>
      </c>
      <c r="U29" s="1655">
        <f t="shared" si="13"/>
        <v>100</v>
      </c>
      <c r="V29" s="1654" t="s">
        <v>25</v>
      </c>
      <c r="W29" s="1655">
        <f t="shared" si="14"/>
        <v>100</v>
      </c>
      <c r="X29" s="2001"/>
      <c r="Y29" s="3606"/>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60"/>
      <c r="Q30" s="1998">
        <f t="shared" si="11"/>
        <v>111</v>
      </c>
      <c r="R30" s="1654" t="s">
        <v>25</v>
      </c>
      <c r="S30" s="1655">
        <f t="shared" si="12"/>
        <v>100</v>
      </c>
      <c r="T30" s="1654" t="s">
        <v>25</v>
      </c>
      <c r="U30" s="1655">
        <f t="shared" si="13"/>
        <v>100</v>
      </c>
      <c r="V30" s="1654" t="s">
        <v>25</v>
      </c>
      <c r="W30" s="1655">
        <f t="shared" si="14"/>
        <v>100</v>
      </c>
      <c r="X30" s="2001"/>
      <c r="Y30" s="3606"/>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60"/>
      <c r="Q31" s="1998">
        <f t="shared" si="11"/>
        <v>111</v>
      </c>
      <c r="R31" s="1654" t="s">
        <v>25</v>
      </c>
      <c r="S31" s="1655">
        <f t="shared" si="12"/>
        <v>100</v>
      </c>
      <c r="T31" s="1654" t="s">
        <v>25</v>
      </c>
      <c r="U31" s="1655">
        <f t="shared" si="13"/>
        <v>100</v>
      </c>
      <c r="V31" s="1654" t="s">
        <v>25</v>
      </c>
      <c r="W31" s="1655">
        <f t="shared" si="14"/>
        <v>100</v>
      </c>
      <c r="X31" s="2001"/>
      <c r="Y31" s="3606"/>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61" t="s">
        <v>2037</v>
      </c>
      <c r="Q32" s="1998" t="str">
        <f t="shared" si="11"/>
        <v>商业类型</v>
      </c>
      <c r="R32" s="1654" t="s">
        <v>25</v>
      </c>
      <c r="S32" s="1655">
        <f t="shared" si="12"/>
        <v>100</v>
      </c>
      <c r="T32" s="1654" t="s">
        <v>25</v>
      </c>
      <c r="U32" s="1655">
        <f t="shared" si="13"/>
        <v>100</v>
      </c>
      <c r="V32" s="1654" t="s">
        <v>25</v>
      </c>
      <c r="W32" s="1655">
        <f t="shared" si="14"/>
        <v>100</v>
      </c>
      <c r="X32" s="2001"/>
      <c r="Y32" s="3594"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62"/>
      <c r="Q33" s="1695" t="str">
        <f t="shared" si="11"/>
        <v>项目建筑规模</v>
      </c>
      <c r="R33" s="1696" t="s">
        <v>25</v>
      </c>
      <c r="S33" s="1697" t="e">
        <f t="shared" si="12"/>
        <v>#N/A</v>
      </c>
      <c r="T33" s="1696" t="s">
        <v>25</v>
      </c>
      <c r="U33" s="1697" t="e">
        <f t="shared" si="13"/>
        <v>#N/A</v>
      </c>
      <c r="V33" s="1696" t="s">
        <v>25</v>
      </c>
      <c r="W33" s="1697" t="e">
        <f t="shared" si="14"/>
        <v>#N/A</v>
      </c>
      <c r="X33" s="1698"/>
      <c r="Y33" s="3594"/>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62"/>
      <c r="Q34" s="1998" t="str">
        <f t="shared" si="11"/>
        <v>建筑结构</v>
      </c>
      <c r="R34" s="1654" t="s">
        <v>25</v>
      </c>
      <c r="S34" s="1655">
        <f t="shared" si="12"/>
        <v>100</v>
      </c>
      <c r="T34" s="1654" t="s">
        <v>25</v>
      </c>
      <c r="U34" s="1655">
        <f t="shared" si="13"/>
        <v>100</v>
      </c>
      <c r="V34" s="1654" t="s">
        <v>25</v>
      </c>
      <c r="W34" s="1655">
        <f t="shared" si="14"/>
        <v>100</v>
      </c>
      <c r="X34" s="2001"/>
      <c r="Y34" s="3594"/>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62"/>
      <c r="Q35" s="1998" t="str">
        <f t="shared" si="11"/>
        <v>公共部分装修</v>
      </c>
      <c r="R35" s="1654" t="s">
        <v>25</v>
      </c>
      <c r="S35" s="1655">
        <f t="shared" si="12"/>
        <v>100</v>
      </c>
      <c r="T35" s="1654" t="s">
        <v>25</v>
      </c>
      <c r="U35" s="1655">
        <f t="shared" si="13"/>
        <v>100</v>
      </c>
      <c r="V35" s="1654" t="s">
        <v>25</v>
      </c>
      <c r="W35" s="1655">
        <f t="shared" si="14"/>
        <v>100</v>
      </c>
      <c r="X35" s="2001"/>
      <c r="Y35" s="3594"/>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62"/>
      <c r="Q36" s="1998" t="str">
        <f t="shared" si="11"/>
        <v>成新度</v>
      </c>
      <c r="R36" s="1654" t="s">
        <v>25</v>
      </c>
      <c r="S36" s="1655" t="e">
        <f t="shared" si="12"/>
        <v>#N/A</v>
      </c>
      <c r="T36" s="1654" t="s">
        <v>25</v>
      </c>
      <c r="U36" s="1655" t="e">
        <f t="shared" si="13"/>
        <v>#N/A</v>
      </c>
      <c r="V36" s="1654" t="s">
        <v>25</v>
      </c>
      <c r="W36" s="1655" t="e">
        <f t="shared" si="14"/>
        <v>#N/A</v>
      </c>
      <c r="X36" s="2001"/>
      <c r="Y36" s="3594"/>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62"/>
      <c r="Q37" s="1992" t="str">
        <f t="shared" si="11"/>
        <v>市政基础设施</v>
      </c>
      <c r="R37" s="1609" t="s">
        <v>25</v>
      </c>
      <c r="S37" s="1610">
        <f t="shared" si="12"/>
        <v>100</v>
      </c>
      <c r="T37" s="1609" t="s">
        <v>25</v>
      </c>
      <c r="U37" s="1610">
        <f t="shared" si="13"/>
        <v>100</v>
      </c>
      <c r="V37" s="1609" t="s">
        <v>25</v>
      </c>
      <c r="W37" s="1610">
        <f t="shared" si="14"/>
        <v>100</v>
      </c>
      <c r="X37" s="1611"/>
      <c r="Y37" s="3594"/>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62" t="s">
        <v>2037</v>
      </c>
      <c r="Q38" s="1998" t="str">
        <f t="shared" si="11"/>
        <v>业态</v>
      </c>
      <c r="R38" s="1654" t="s">
        <v>25</v>
      </c>
      <c r="S38" s="1655">
        <f t="shared" si="12"/>
        <v>100</v>
      </c>
      <c r="T38" s="1654" t="s">
        <v>25</v>
      </c>
      <c r="U38" s="1655">
        <f t="shared" si="13"/>
        <v>100</v>
      </c>
      <c r="V38" s="1654" t="s">
        <v>25</v>
      </c>
      <c r="W38" s="1655">
        <f t="shared" si="14"/>
        <v>100</v>
      </c>
      <c r="X38" s="2001"/>
      <c r="Y38" s="3594"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62"/>
      <c r="Q39" s="1998" t="str">
        <f t="shared" si="11"/>
        <v>层高</v>
      </c>
      <c r="R39" s="1654" t="s">
        <v>25</v>
      </c>
      <c r="S39" s="1655">
        <f t="shared" si="12"/>
        <v>100</v>
      </c>
      <c r="T39" s="1654" t="s">
        <v>25</v>
      </c>
      <c r="U39" s="1655">
        <f t="shared" si="13"/>
        <v>100</v>
      </c>
      <c r="V39" s="1654" t="s">
        <v>25</v>
      </c>
      <c r="W39" s="1655">
        <f t="shared" si="14"/>
        <v>100</v>
      </c>
      <c r="X39" s="2001"/>
      <c r="Y39" s="3594"/>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62"/>
      <c r="Q40" s="1998" t="str">
        <f t="shared" si="11"/>
        <v>单套建筑面积</v>
      </c>
      <c r="R40" s="1654" t="s">
        <v>25</v>
      </c>
      <c r="S40" s="1655">
        <f t="shared" si="12"/>
        <v>100</v>
      </c>
      <c r="T40" s="1654" t="s">
        <v>25</v>
      </c>
      <c r="U40" s="1655">
        <f t="shared" si="13"/>
        <v>100</v>
      </c>
      <c r="V40" s="1654" t="s">
        <v>25</v>
      </c>
      <c r="W40" s="1655">
        <f t="shared" si="14"/>
        <v>100</v>
      </c>
      <c r="X40" s="2001"/>
      <c r="Y40" s="3594"/>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62"/>
      <c r="Q41" s="1695" t="str">
        <f t="shared" si="11"/>
        <v>进深比</v>
      </c>
      <c r="R41" s="1696" t="s">
        <v>25</v>
      </c>
      <c r="S41" s="1697">
        <f t="shared" si="12"/>
        <v>100</v>
      </c>
      <c r="T41" s="1696" t="s">
        <v>25</v>
      </c>
      <c r="U41" s="1697">
        <f t="shared" si="13"/>
        <v>100</v>
      </c>
      <c r="V41" s="1696" t="s">
        <v>25</v>
      </c>
      <c r="W41" s="1697">
        <f t="shared" si="14"/>
        <v>100</v>
      </c>
      <c r="X41" s="1698"/>
      <c r="Y41" s="3594"/>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62"/>
      <c r="Q42" s="1998" t="str">
        <f t="shared" si="11"/>
        <v>内部装修</v>
      </c>
      <c r="R42" s="1654" t="s">
        <v>25</v>
      </c>
      <c r="S42" s="1655">
        <f t="shared" si="12"/>
        <v>100</v>
      </c>
      <c r="T42" s="1654" t="s">
        <v>25</v>
      </c>
      <c r="U42" s="1655">
        <f t="shared" si="13"/>
        <v>100</v>
      </c>
      <c r="V42" s="1654" t="s">
        <v>25</v>
      </c>
      <c r="W42" s="1655">
        <f t="shared" si="14"/>
        <v>100</v>
      </c>
      <c r="X42" s="2001"/>
      <c r="Y42" s="3594"/>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62"/>
      <c r="Q43" s="1998" t="str">
        <f t="shared" si="11"/>
        <v>内部装修维护情况</v>
      </c>
      <c r="R43" s="1654" t="s">
        <v>25</v>
      </c>
      <c r="S43" s="1655">
        <f t="shared" si="12"/>
        <v>100</v>
      </c>
      <c r="T43" s="1654" t="s">
        <v>25</v>
      </c>
      <c r="U43" s="1655">
        <f t="shared" si="13"/>
        <v>100</v>
      </c>
      <c r="V43" s="1654" t="s">
        <v>25</v>
      </c>
      <c r="W43" s="1655">
        <f t="shared" si="14"/>
        <v>100</v>
      </c>
      <c r="X43" s="2001"/>
      <c r="Y43" s="3594"/>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62"/>
      <c r="Q44" s="1992">
        <f t="shared" si="11"/>
        <v>111</v>
      </c>
      <c r="R44" s="1609" t="s">
        <v>25</v>
      </c>
      <c r="S44" s="1610">
        <f t="shared" si="12"/>
        <v>100</v>
      </c>
      <c r="T44" s="1609" t="s">
        <v>25</v>
      </c>
      <c r="U44" s="1610">
        <f t="shared" si="13"/>
        <v>100</v>
      </c>
      <c r="V44" s="1609" t="s">
        <v>25</v>
      </c>
      <c r="W44" s="1610">
        <f t="shared" si="14"/>
        <v>100</v>
      </c>
      <c r="X44" s="1611"/>
      <c r="Y44" s="3594"/>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62"/>
      <c r="Q45" s="1998">
        <f t="shared" si="11"/>
        <v>111</v>
      </c>
      <c r="R45" s="1654" t="s">
        <v>25</v>
      </c>
      <c r="S45" s="1655">
        <f t="shared" si="12"/>
        <v>100</v>
      </c>
      <c r="T45" s="1654" t="s">
        <v>25</v>
      </c>
      <c r="U45" s="1655">
        <f t="shared" si="13"/>
        <v>100</v>
      </c>
      <c r="V45" s="1654" t="s">
        <v>25</v>
      </c>
      <c r="W45" s="1655">
        <f t="shared" si="14"/>
        <v>100</v>
      </c>
      <c r="X45" s="2001"/>
      <c r="Y45" s="3594"/>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63"/>
      <c r="Q46" s="1998">
        <f t="shared" si="11"/>
        <v>111</v>
      </c>
      <c r="R46" s="1654" t="s">
        <v>25</v>
      </c>
      <c r="S46" s="1655">
        <f t="shared" si="12"/>
        <v>100</v>
      </c>
      <c r="T46" s="1654" t="s">
        <v>25</v>
      </c>
      <c r="U46" s="1655">
        <f t="shared" si="13"/>
        <v>100</v>
      </c>
      <c r="V46" s="1654" t="s">
        <v>25</v>
      </c>
      <c r="W46" s="1655">
        <f t="shared" si="14"/>
        <v>100</v>
      </c>
      <c r="X46" s="2001"/>
      <c r="Y46" s="3595"/>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88" t="str">
        <f>A47</f>
        <v>成交单价（元/平方米）</v>
      </c>
      <c r="Q47" s="3588"/>
      <c r="R47" s="3589">
        <f>E47</f>
        <v>0</v>
      </c>
      <c r="S47" s="3589"/>
      <c r="T47" s="3589">
        <f>G47</f>
        <v>0</v>
      </c>
      <c r="U47" s="3589"/>
      <c r="V47" s="3589">
        <f>I47</f>
        <v>0</v>
      </c>
      <c r="W47" s="3589"/>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88" t="str">
        <f>A48</f>
        <v>比较价值（元/平方米）</v>
      </c>
      <c r="Q48" s="3588"/>
      <c r="R48" s="3589" t="e">
        <f>IF(E1="售价",ROUND(PRODUCT(R47,AA7:AA46),0),ROUND(PRODUCT(R47,AA7:AA46),1))</f>
        <v>#DIV/0!</v>
      </c>
      <c r="S48" s="3589"/>
      <c r="T48" s="3589" t="e">
        <f>IF(E1="售价",ROUND(PRODUCT(T47,AB7:AB46),0),ROUND(PRODUCT(T47,AB7:AB46),1))</f>
        <v>#DIV/0!</v>
      </c>
      <c r="U48" s="3589"/>
      <c r="V48" s="3589" t="e">
        <f>IF(E1="售价",ROUND(PRODUCT(V47,AC7:AC46),0),ROUND(PRODUCT(V47,AC7:AC46),1))</f>
        <v>#DIV/0!</v>
      </c>
      <c r="W48" s="3589"/>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590" t="str">
        <f>A49</f>
        <v>估价对象XX用房的比较价值（楼面单价，元/平方米）</v>
      </c>
      <c r="Q49" s="3591"/>
      <c r="R49" s="3592" t="e">
        <f>IF(E1="售价",ROUND(IF(D48="简单平均",AVERAGE(R48:V48),R48*F48+T48*H48+V48*J48),0),ROUND(IF(D48="简单平均",AVERAGE(R48:V48),R48*F48+T48*H48+V48*J48),1))</f>
        <v>#DIV/0!</v>
      </c>
      <c r="S49" s="3592"/>
      <c r="T49" s="3592"/>
      <c r="U49" s="3592"/>
      <c r="V49" s="3592"/>
      <c r="W49" s="3592"/>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353.61</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8" t="s">
        <v>2007</v>
      </c>
      <c r="D4" s="3689"/>
      <c r="E4" s="3690" t="s">
        <v>2008</v>
      </c>
      <c r="F4" s="3691"/>
      <c r="G4" s="3688" t="s">
        <v>2009</v>
      </c>
      <c r="H4" s="3689"/>
      <c r="I4" s="3688" t="s">
        <v>2010</v>
      </c>
      <c r="J4" s="3689"/>
      <c r="K4" s="496" t="s">
        <v>2011</v>
      </c>
      <c r="L4" s="2937"/>
      <c r="M4" s="2938"/>
      <c r="N4" s="2938"/>
      <c r="O4" s="2938"/>
      <c r="P4" s="3692" t="s">
        <v>2012</v>
      </c>
      <c r="Q4" s="3693"/>
      <c r="R4" s="3675" t="s">
        <v>2008</v>
      </c>
      <c r="S4" s="3676"/>
      <c r="T4" s="3675" t="s">
        <v>2009</v>
      </c>
      <c r="U4" s="3676"/>
      <c r="V4" s="3698" t="s">
        <v>2010</v>
      </c>
      <c r="W4" s="3698"/>
      <c r="X4" s="1263"/>
      <c r="Y4" s="3675" t="s">
        <v>2012</v>
      </c>
      <c r="Z4" s="3676"/>
      <c r="AA4" s="3685" t="s">
        <v>2008</v>
      </c>
      <c r="AB4" s="3686" t="s">
        <v>2009</v>
      </c>
      <c r="AC4" s="3685" t="s">
        <v>2010</v>
      </c>
    </row>
    <row r="5" spans="1:29" ht="15">
      <c r="A5" s="297"/>
      <c r="B5" s="298"/>
      <c r="C5" s="3701" t="s">
        <v>2013</v>
      </c>
      <c r="D5" s="3702"/>
      <c r="E5" s="3699" t="s">
        <v>2014</v>
      </c>
      <c r="F5" s="3700"/>
      <c r="G5" s="3701" t="s">
        <v>2015</v>
      </c>
      <c r="H5" s="3702"/>
      <c r="I5" s="3701" t="s">
        <v>2016</v>
      </c>
      <c r="J5" s="3702"/>
      <c r="K5" s="496"/>
      <c r="L5" s="2937"/>
      <c r="M5" s="2938"/>
      <c r="N5" s="2938"/>
      <c r="O5" s="2938"/>
      <c r="P5" s="3694"/>
      <c r="Q5" s="3695"/>
      <c r="R5" s="3677"/>
      <c r="S5" s="3678"/>
      <c r="T5" s="3677"/>
      <c r="U5" s="3678"/>
      <c r="V5" s="3698"/>
      <c r="W5" s="3698"/>
      <c r="X5" s="1263"/>
      <c r="Y5" s="3677"/>
      <c r="Z5" s="3678"/>
      <c r="AA5" s="3686"/>
      <c r="AB5" s="3686"/>
      <c r="AC5" s="3686"/>
    </row>
    <row r="6" spans="1:29" ht="15.75" thickBot="1">
      <c r="A6" s="299"/>
      <c r="B6" s="300"/>
      <c r="C6" s="3703" t="s">
        <v>2017</v>
      </c>
      <c r="D6" s="3704"/>
      <c r="E6" s="3705" t="s">
        <v>2017</v>
      </c>
      <c r="F6" s="3706"/>
      <c r="G6" s="3703" t="s">
        <v>2017</v>
      </c>
      <c r="H6" s="3704"/>
      <c r="I6" s="3703" t="s">
        <v>2017</v>
      </c>
      <c r="J6" s="3704"/>
      <c r="K6" s="496" t="s">
        <v>2018</v>
      </c>
      <c r="L6" s="2937"/>
      <c r="M6" s="2938"/>
      <c r="N6" s="2938"/>
      <c r="O6" s="2938"/>
      <c r="P6" s="3696"/>
      <c r="Q6" s="3697"/>
      <c r="R6" s="3677"/>
      <c r="S6" s="3678"/>
      <c r="T6" s="3679"/>
      <c r="U6" s="3680"/>
      <c r="V6" s="3698"/>
      <c r="W6" s="3698"/>
      <c r="X6" s="1263"/>
      <c r="Y6" s="3679"/>
      <c r="Z6" s="3680"/>
      <c r="AA6" s="3687"/>
      <c r="AB6" s="3687"/>
      <c r="AC6" s="3687"/>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73" t="s">
        <v>2020</v>
      </c>
      <c r="Q7" s="3681"/>
      <c r="R7" s="627" t="s">
        <v>25</v>
      </c>
      <c r="S7" s="628">
        <f t="shared" ref="S7:S15" si="0">F7</f>
        <v>0</v>
      </c>
      <c r="T7" s="627" t="s">
        <v>25</v>
      </c>
      <c r="U7" s="628">
        <f t="shared" ref="U7:U15" si="1">H7</f>
        <v>0</v>
      </c>
      <c r="V7" s="627" t="s">
        <v>25</v>
      </c>
      <c r="W7" s="628">
        <f t="shared" ref="W7:W15" si="2">J7</f>
        <v>0</v>
      </c>
      <c r="X7" s="629"/>
      <c r="Y7" s="3673" t="s">
        <v>2020</v>
      </c>
      <c r="Z7" s="367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73" t="s">
        <v>2023</v>
      </c>
      <c r="Q8" s="3674"/>
      <c r="R8" s="627" t="s">
        <v>25</v>
      </c>
      <c r="S8" s="628">
        <f t="shared" si="0"/>
        <v>0</v>
      </c>
      <c r="T8" s="627" t="s">
        <v>25</v>
      </c>
      <c r="U8" s="628">
        <f t="shared" si="1"/>
        <v>0</v>
      </c>
      <c r="V8" s="627" t="s">
        <v>25</v>
      </c>
      <c r="W8" s="628">
        <f t="shared" si="2"/>
        <v>0</v>
      </c>
      <c r="X8" s="629"/>
      <c r="Y8" s="3673" t="s">
        <v>2023</v>
      </c>
      <c r="Z8" s="367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65" t="s">
        <v>2026</v>
      </c>
      <c r="Q9" s="1255" t="str">
        <f t="shared" ref="Q9:Q15" si="6">B9</f>
        <v>用途</v>
      </c>
      <c r="R9" s="627" t="s">
        <v>25</v>
      </c>
      <c r="S9" s="628">
        <f t="shared" si="0"/>
        <v>100</v>
      </c>
      <c r="T9" s="627" t="s">
        <v>25</v>
      </c>
      <c r="U9" s="628">
        <f t="shared" si="1"/>
        <v>100</v>
      </c>
      <c r="V9" s="627" t="s">
        <v>25</v>
      </c>
      <c r="W9" s="628">
        <f t="shared" si="2"/>
        <v>100</v>
      </c>
      <c r="X9" s="629"/>
      <c r="Y9" s="368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65"/>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65"/>
      <c r="Q11" s="1255"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65"/>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65"/>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65"/>
      <c r="Q14" s="1255">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82" t="s">
        <v>2031</v>
      </c>
      <c r="Q15" s="1262" t="str">
        <f t="shared" si="6"/>
        <v>产业集聚程度</v>
      </c>
      <c r="R15" s="631" t="s">
        <v>25</v>
      </c>
      <c r="S15" s="632">
        <f t="shared" si="0"/>
        <v>100</v>
      </c>
      <c r="T15" s="631" t="s">
        <v>25</v>
      </c>
      <c r="U15" s="632">
        <f t="shared" si="1"/>
        <v>100</v>
      </c>
      <c r="V15" s="631" t="s">
        <v>25</v>
      </c>
      <c r="W15" s="632">
        <f t="shared" si="2"/>
        <v>100</v>
      </c>
      <c r="X15" s="1263"/>
      <c r="Y15" s="368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83"/>
      <c r="Q16" s="1262"/>
      <c r="R16" s="631"/>
      <c r="S16" s="632"/>
      <c r="T16" s="631"/>
      <c r="U16" s="632"/>
      <c r="V16" s="631"/>
      <c r="W16" s="632"/>
      <c r="X16" s="1263"/>
      <c r="Y16" s="368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83"/>
      <c r="Q17" s="1262" t="str">
        <f>B17</f>
        <v>交通便捷度</v>
      </c>
      <c r="R17" s="631" t="s">
        <v>25</v>
      </c>
      <c r="S17" s="632">
        <f>F17</f>
        <v>100</v>
      </c>
      <c r="T17" s="631" t="s">
        <v>25</v>
      </c>
      <c r="U17" s="632">
        <f>H17</f>
        <v>100</v>
      </c>
      <c r="V17" s="631" t="s">
        <v>25</v>
      </c>
      <c r="W17" s="632">
        <f>J17</f>
        <v>100</v>
      </c>
      <c r="X17" s="1263"/>
      <c r="Y17" s="368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83"/>
      <c r="Q18" s="1262"/>
      <c r="R18" s="631"/>
      <c r="S18" s="632"/>
      <c r="T18" s="631"/>
      <c r="U18" s="632"/>
      <c r="V18" s="631"/>
      <c r="W18" s="632"/>
      <c r="X18" s="1263"/>
      <c r="Y18" s="368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83"/>
      <c r="Q19" s="1262" t="str">
        <f>B19</f>
        <v>公共配套设施</v>
      </c>
      <c r="R19" s="631" t="s">
        <v>25</v>
      </c>
      <c r="S19" s="632">
        <f>F19</f>
        <v>100</v>
      </c>
      <c r="T19" s="631" t="s">
        <v>25</v>
      </c>
      <c r="U19" s="632">
        <f>H19</f>
        <v>100</v>
      </c>
      <c r="V19" s="631" t="s">
        <v>25</v>
      </c>
      <c r="W19" s="632">
        <f>J19</f>
        <v>100</v>
      </c>
      <c r="X19" s="1263"/>
      <c r="Y19" s="368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83"/>
      <c r="Q20" s="1262"/>
      <c r="R20" s="631"/>
      <c r="S20" s="632"/>
      <c r="T20" s="631"/>
      <c r="U20" s="632"/>
      <c r="V20" s="631"/>
      <c r="W20" s="632"/>
      <c r="X20" s="1263"/>
      <c r="Y20" s="368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83"/>
      <c r="Q21" s="1262" t="str">
        <f>B21</f>
        <v>基础设施水平</v>
      </c>
      <c r="R21" s="631" t="s">
        <v>25</v>
      </c>
      <c r="S21" s="632">
        <f>F21</f>
        <v>100</v>
      </c>
      <c r="T21" s="631" t="s">
        <v>25</v>
      </c>
      <c r="U21" s="632">
        <f>H21</f>
        <v>100</v>
      </c>
      <c r="V21" s="631" t="s">
        <v>25</v>
      </c>
      <c r="W21" s="632">
        <f>J21</f>
        <v>100</v>
      </c>
      <c r="X21" s="1263"/>
      <c r="Y21" s="368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83"/>
      <c r="Q22" s="1262"/>
      <c r="R22" s="631"/>
      <c r="S22" s="632"/>
      <c r="T22" s="631"/>
      <c r="U22" s="632"/>
      <c r="V22" s="631"/>
      <c r="W22" s="632"/>
      <c r="X22" s="1263"/>
      <c r="Y22" s="368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83"/>
      <c r="Q23" s="1262" t="str">
        <f>B23</f>
        <v>环境质量</v>
      </c>
      <c r="R23" s="631" t="s">
        <v>25</v>
      </c>
      <c r="S23" s="632">
        <f>F23</f>
        <v>100</v>
      </c>
      <c r="T23" s="631" t="s">
        <v>25</v>
      </c>
      <c r="U23" s="632">
        <f>H23</f>
        <v>100</v>
      </c>
      <c r="V23" s="631" t="s">
        <v>25</v>
      </c>
      <c r="W23" s="632">
        <f>J23</f>
        <v>100</v>
      </c>
      <c r="X23" s="1263"/>
      <c r="Y23" s="368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83"/>
      <c r="Q24" s="1262"/>
      <c r="R24" s="631"/>
      <c r="S24" s="632"/>
      <c r="T24" s="631"/>
      <c r="U24" s="632"/>
      <c r="V24" s="631"/>
      <c r="W24" s="632"/>
      <c r="X24" s="1263"/>
      <c r="Y24" s="368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83"/>
      <c r="Q25" s="1262">
        <f>B25</f>
        <v>111</v>
      </c>
      <c r="R25" s="631" t="s">
        <v>25</v>
      </c>
      <c r="S25" s="632">
        <f>F25</f>
        <v>100</v>
      </c>
      <c r="T25" s="631" t="s">
        <v>25</v>
      </c>
      <c r="U25" s="632">
        <f>H25</f>
        <v>100</v>
      </c>
      <c r="V25" s="631" t="s">
        <v>25</v>
      </c>
      <c r="W25" s="632">
        <f>J25</f>
        <v>100</v>
      </c>
      <c r="X25" s="1263"/>
      <c r="Y25" s="368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83"/>
      <c r="Q26" s="1262">
        <f t="shared" ref="Q26:Q40" si="11">B26</f>
        <v>111</v>
      </c>
      <c r="R26" s="631" t="s">
        <v>25</v>
      </c>
      <c r="S26" s="632">
        <f>F26</f>
        <v>100</v>
      </c>
      <c r="T26" s="631" t="s">
        <v>25</v>
      </c>
      <c r="U26" s="632">
        <f>H26</f>
        <v>100</v>
      </c>
      <c r="V26" s="631" t="s">
        <v>25</v>
      </c>
      <c r="W26" s="632">
        <f>J26</f>
        <v>100</v>
      </c>
      <c r="X26" s="1263"/>
      <c r="Y26" s="368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83"/>
      <c r="Q27" s="1255">
        <f t="shared" si="11"/>
        <v>111</v>
      </c>
      <c r="R27" s="627" t="s">
        <v>25</v>
      </c>
      <c r="S27" s="628">
        <f>F27</f>
        <v>100</v>
      </c>
      <c r="T27" s="627" t="s">
        <v>25</v>
      </c>
      <c r="U27" s="628">
        <f>H27</f>
        <v>100</v>
      </c>
      <c r="V27" s="627" t="s">
        <v>25</v>
      </c>
      <c r="W27" s="628">
        <f>J27</f>
        <v>100</v>
      </c>
      <c r="X27" s="629"/>
      <c r="Y27" s="368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83"/>
      <c r="Q28" s="1262">
        <f t="shared" si="11"/>
        <v>111</v>
      </c>
      <c r="R28" s="631" t="s">
        <v>25</v>
      </c>
      <c r="S28" s="632">
        <f t="shared" ref="S28:S40" si="12">F28</f>
        <v>100</v>
      </c>
      <c r="T28" s="631" t="s">
        <v>25</v>
      </c>
      <c r="U28" s="632">
        <f t="shared" ref="U28:U40" si="13">H28</f>
        <v>100</v>
      </c>
      <c r="V28" s="631" t="s">
        <v>25</v>
      </c>
      <c r="W28" s="632">
        <f t="shared" ref="W28:W40" si="14">J28</f>
        <v>100</v>
      </c>
      <c r="X28" s="1263"/>
      <c r="Y28" s="368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670" t="s">
        <v>2037</v>
      </c>
      <c r="Q29" s="1262" t="str">
        <f t="shared" si="11"/>
        <v>建筑类型</v>
      </c>
      <c r="R29" s="631" t="s">
        <v>25</v>
      </c>
      <c r="S29" s="632">
        <f t="shared" si="12"/>
        <v>100</v>
      </c>
      <c r="T29" s="631" t="s">
        <v>25</v>
      </c>
      <c r="U29" s="632">
        <f t="shared" si="13"/>
        <v>100</v>
      </c>
      <c r="V29" s="631" t="s">
        <v>25</v>
      </c>
      <c r="W29" s="632">
        <f t="shared" si="14"/>
        <v>100</v>
      </c>
      <c r="X29" s="1263"/>
      <c r="Y29" s="3671"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71"/>
      <c r="Q30" s="633" t="str">
        <f t="shared" si="11"/>
        <v>项目建筑规模</v>
      </c>
      <c r="R30" s="634" t="s">
        <v>25</v>
      </c>
      <c r="S30" s="635" t="e">
        <f t="shared" si="12"/>
        <v>#N/A</v>
      </c>
      <c r="T30" s="634" t="s">
        <v>25</v>
      </c>
      <c r="U30" s="635" t="e">
        <f t="shared" si="13"/>
        <v>#N/A</v>
      </c>
      <c r="V30" s="634" t="s">
        <v>25</v>
      </c>
      <c r="W30" s="635" t="e">
        <f t="shared" si="14"/>
        <v>#N/A</v>
      </c>
      <c r="X30" s="636"/>
      <c r="Y30" s="3671"/>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71"/>
      <c r="Q31" s="1262" t="str">
        <f t="shared" si="11"/>
        <v>建筑结构</v>
      </c>
      <c r="R31" s="631" t="s">
        <v>25</v>
      </c>
      <c r="S31" s="632">
        <f t="shared" si="12"/>
        <v>100</v>
      </c>
      <c r="T31" s="631" t="s">
        <v>25</v>
      </c>
      <c r="U31" s="632">
        <f t="shared" si="13"/>
        <v>100</v>
      </c>
      <c r="V31" s="631" t="s">
        <v>25</v>
      </c>
      <c r="W31" s="632">
        <f t="shared" si="14"/>
        <v>100</v>
      </c>
      <c r="X31" s="1263"/>
      <c r="Y31" s="3671"/>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71"/>
      <c r="Q32" s="1262" t="str">
        <f t="shared" si="11"/>
        <v>公共部分装修</v>
      </c>
      <c r="R32" s="631" t="s">
        <v>25</v>
      </c>
      <c r="S32" s="632">
        <f t="shared" si="12"/>
        <v>100</v>
      </c>
      <c r="T32" s="631" t="s">
        <v>25</v>
      </c>
      <c r="U32" s="632">
        <f t="shared" si="13"/>
        <v>100</v>
      </c>
      <c r="V32" s="631" t="s">
        <v>25</v>
      </c>
      <c r="W32" s="632">
        <f t="shared" si="14"/>
        <v>100</v>
      </c>
      <c r="X32" s="1263"/>
      <c r="Y32" s="3671"/>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71"/>
      <c r="Q33" s="1262" t="str">
        <f t="shared" si="11"/>
        <v>成新度</v>
      </c>
      <c r="R33" s="631" t="s">
        <v>25</v>
      </c>
      <c r="S33" s="632" t="e">
        <f t="shared" si="12"/>
        <v>#N/A</v>
      </c>
      <c r="T33" s="631" t="s">
        <v>25</v>
      </c>
      <c r="U33" s="632" t="e">
        <f t="shared" si="13"/>
        <v>#N/A</v>
      </c>
      <c r="V33" s="631" t="s">
        <v>25</v>
      </c>
      <c r="W33" s="632" t="e">
        <f t="shared" si="14"/>
        <v>#N/A</v>
      </c>
      <c r="X33" s="1263"/>
      <c r="Y33" s="3671"/>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71"/>
      <c r="Q34" s="1255" t="str">
        <f t="shared" si="11"/>
        <v>物业管理</v>
      </c>
      <c r="R34" s="627" t="s">
        <v>25</v>
      </c>
      <c r="S34" s="628">
        <f t="shared" si="12"/>
        <v>100</v>
      </c>
      <c r="T34" s="627" t="s">
        <v>25</v>
      </c>
      <c r="U34" s="628">
        <f t="shared" si="13"/>
        <v>100</v>
      </c>
      <c r="V34" s="627" t="s">
        <v>25</v>
      </c>
      <c r="W34" s="628">
        <f t="shared" si="14"/>
        <v>100</v>
      </c>
      <c r="X34" s="629"/>
      <c r="Y34" s="3671"/>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71" t="s">
        <v>2037</v>
      </c>
      <c r="Q35" s="1262" t="str">
        <f t="shared" si="11"/>
        <v>市政基础设施</v>
      </c>
      <c r="R35" s="631" t="s">
        <v>25</v>
      </c>
      <c r="S35" s="632">
        <f t="shared" si="12"/>
        <v>100</v>
      </c>
      <c r="T35" s="631" t="s">
        <v>25</v>
      </c>
      <c r="U35" s="632">
        <f t="shared" si="13"/>
        <v>100</v>
      </c>
      <c r="V35" s="631" t="s">
        <v>25</v>
      </c>
      <c r="W35" s="632">
        <f t="shared" si="14"/>
        <v>100</v>
      </c>
      <c r="X35" s="1263"/>
      <c r="Y35" s="3671"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71"/>
      <c r="Q36" s="1262" t="str">
        <f t="shared" si="11"/>
        <v>内部装修</v>
      </c>
      <c r="R36" s="631" t="s">
        <v>25</v>
      </c>
      <c r="S36" s="632">
        <f t="shared" si="12"/>
        <v>100</v>
      </c>
      <c r="T36" s="631" t="s">
        <v>25</v>
      </c>
      <c r="U36" s="632">
        <f t="shared" si="13"/>
        <v>100</v>
      </c>
      <c r="V36" s="631" t="s">
        <v>25</v>
      </c>
      <c r="W36" s="632">
        <f t="shared" si="14"/>
        <v>100</v>
      </c>
      <c r="X36" s="1263"/>
      <c r="Y36" s="3671"/>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71"/>
      <c r="Q37" s="1262" t="str">
        <f t="shared" si="11"/>
        <v>内部装修状况</v>
      </c>
      <c r="R37" s="631" t="s">
        <v>25</v>
      </c>
      <c r="S37" s="632">
        <f t="shared" si="12"/>
        <v>100</v>
      </c>
      <c r="T37" s="631" t="s">
        <v>25</v>
      </c>
      <c r="U37" s="632">
        <f t="shared" si="13"/>
        <v>100</v>
      </c>
      <c r="V37" s="631" t="s">
        <v>25</v>
      </c>
      <c r="W37" s="632">
        <f t="shared" si="14"/>
        <v>100</v>
      </c>
      <c r="X37" s="1263"/>
      <c r="Y37" s="3671"/>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71"/>
      <c r="Q38" s="633">
        <f t="shared" si="11"/>
        <v>111</v>
      </c>
      <c r="R38" s="634" t="s">
        <v>25</v>
      </c>
      <c r="S38" s="635">
        <f t="shared" si="12"/>
        <v>100</v>
      </c>
      <c r="T38" s="634" t="s">
        <v>25</v>
      </c>
      <c r="U38" s="635">
        <f t="shared" si="13"/>
        <v>100</v>
      </c>
      <c r="V38" s="634" t="s">
        <v>25</v>
      </c>
      <c r="W38" s="635">
        <f t="shared" si="14"/>
        <v>100</v>
      </c>
      <c r="X38" s="636"/>
      <c r="Y38" s="3671"/>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71"/>
      <c r="Q39" s="1262">
        <f t="shared" si="11"/>
        <v>111</v>
      </c>
      <c r="R39" s="631" t="s">
        <v>25</v>
      </c>
      <c r="S39" s="632">
        <f t="shared" si="12"/>
        <v>100</v>
      </c>
      <c r="T39" s="631" t="s">
        <v>25</v>
      </c>
      <c r="U39" s="632">
        <f t="shared" si="13"/>
        <v>100</v>
      </c>
      <c r="V39" s="631" t="s">
        <v>25</v>
      </c>
      <c r="W39" s="632">
        <f t="shared" si="14"/>
        <v>100</v>
      </c>
      <c r="X39" s="1263"/>
      <c r="Y39" s="3671"/>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72"/>
      <c r="Q40" s="1262">
        <f t="shared" si="11"/>
        <v>111</v>
      </c>
      <c r="R40" s="631" t="s">
        <v>25</v>
      </c>
      <c r="S40" s="632">
        <f t="shared" si="12"/>
        <v>100</v>
      </c>
      <c r="T40" s="631" t="s">
        <v>25</v>
      </c>
      <c r="U40" s="632">
        <f t="shared" si="13"/>
        <v>100</v>
      </c>
      <c r="V40" s="631" t="s">
        <v>25</v>
      </c>
      <c r="W40" s="632">
        <f t="shared" si="14"/>
        <v>100</v>
      </c>
      <c r="X40" s="1263"/>
      <c r="Y40" s="3672"/>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65" t="str">
        <f>A41</f>
        <v>成交单价（元/平方米）</v>
      </c>
      <c r="Q41" s="3665"/>
      <c r="R41" s="3666">
        <f>E41</f>
        <v>0</v>
      </c>
      <c r="S41" s="3666"/>
      <c r="T41" s="3666">
        <f>G41</f>
        <v>0</v>
      </c>
      <c r="U41" s="3666"/>
      <c r="V41" s="3666">
        <f>I41</f>
        <v>0</v>
      </c>
      <c r="W41" s="3666"/>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65" t="str">
        <f>A42</f>
        <v>比较价值（元/平方米）</v>
      </c>
      <c r="Q42" s="3665"/>
      <c r="R42" s="3666" t="e">
        <f>IF(E1="售价",ROUND(PRODUCT(R41,AA7:AA40),0),ROUND(PRODUCT(R41,AA7:AA40),1))</f>
        <v>#DIV/0!</v>
      </c>
      <c r="S42" s="3666"/>
      <c r="T42" s="3666" t="e">
        <f>IF(E1="售价",ROUND(PRODUCT(T41,AB7:AB40),0),ROUND(PRODUCT(T41,AB7:AB40),1))</f>
        <v>#DIV/0!</v>
      </c>
      <c r="U42" s="3666"/>
      <c r="V42" s="3666" t="e">
        <f>IF(E1="售价",ROUND(PRODUCT(V41,AC7:AC40),0),ROUND(PRODUCT(V41,AC7:AC40),1))</f>
        <v>#DIV/0!</v>
      </c>
      <c r="W42" s="3666"/>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667" t="str">
        <f>A43</f>
        <v>估价对象XX用房的比较价值（楼面单价，元/平方米）</v>
      </c>
      <c r="Q43" s="3668"/>
      <c r="R43" s="3669" t="e">
        <f>IF(E1="售价",ROUND(IF(D42="简单平均",AVERAGE(R42:V42),R42*F42+T42*H42+V42*J42),0),ROUND(IF(D42="简单平均",AVERAGE(R42:V42),R42*F42+T42*H42+V42*J42),1))</f>
        <v>#DIV/0!</v>
      </c>
      <c r="S43" s="3669"/>
      <c r="T43" s="3669"/>
      <c r="U43" s="3669"/>
      <c r="V43" s="3669"/>
      <c r="W43" s="3669"/>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353.61</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8" t="s">
        <v>2007</v>
      </c>
      <c r="D4" s="3689"/>
      <c r="E4" s="3690" t="s">
        <v>2008</v>
      </c>
      <c r="F4" s="3691"/>
      <c r="G4" s="3688" t="s">
        <v>2009</v>
      </c>
      <c r="H4" s="3689"/>
      <c r="I4" s="3688" t="s">
        <v>2010</v>
      </c>
      <c r="J4" s="3689"/>
      <c r="K4" s="496" t="s">
        <v>2011</v>
      </c>
      <c r="L4" s="2937"/>
      <c r="M4" s="2938"/>
      <c r="N4" s="2938"/>
      <c r="O4" s="2938"/>
      <c r="P4" s="3692" t="s">
        <v>2012</v>
      </c>
      <c r="Q4" s="3693"/>
      <c r="R4" s="3675" t="s">
        <v>2008</v>
      </c>
      <c r="S4" s="3676"/>
      <c r="T4" s="3675" t="s">
        <v>2009</v>
      </c>
      <c r="U4" s="3676"/>
      <c r="V4" s="3698" t="s">
        <v>2010</v>
      </c>
      <c r="W4" s="3698"/>
      <c r="X4" s="1263"/>
      <c r="Y4" s="3675" t="s">
        <v>2012</v>
      </c>
      <c r="Z4" s="3676"/>
      <c r="AA4" s="3685" t="s">
        <v>2008</v>
      </c>
      <c r="AB4" s="3686" t="s">
        <v>2009</v>
      </c>
      <c r="AC4" s="3685" t="s">
        <v>2010</v>
      </c>
    </row>
    <row r="5" spans="1:29" ht="15">
      <c r="A5" s="297"/>
      <c r="B5" s="298"/>
      <c r="C5" s="3701" t="s">
        <v>2013</v>
      </c>
      <c r="D5" s="3702"/>
      <c r="E5" s="3699" t="s">
        <v>2014</v>
      </c>
      <c r="F5" s="3700"/>
      <c r="G5" s="3701" t="s">
        <v>2015</v>
      </c>
      <c r="H5" s="3702"/>
      <c r="I5" s="3701" t="s">
        <v>2016</v>
      </c>
      <c r="J5" s="3702"/>
      <c r="K5" s="496"/>
      <c r="L5" s="2937"/>
      <c r="M5" s="2938"/>
      <c r="N5" s="2938"/>
      <c r="O5" s="2938"/>
      <c r="P5" s="3694"/>
      <c r="Q5" s="3695"/>
      <c r="R5" s="3677"/>
      <c r="S5" s="3678"/>
      <c r="T5" s="3677"/>
      <c r="U5" s="3678"/>
      <c r="V5" s="3698"/>
      <c r="W5" s="3698"/>
      <c r="X5" s="1263"/>
      <c r="Y5" s="3677"/>
      <c r="Z5" s="3678"/>
      <c r="AA5" s="3686"/>
      <c r="AB5" s="3686"/>
      <c r="AC5" s="3686"/>
    </row>
    <row r="6" spans="1:29" ht="15.75" thickBot="1">
      <c r="A6" s="299"/>
      <c r="B6" s="300"/>
      <c r="C6" s="3703" t="s">
        <v>2017</v>
      </c>
      <c r="D6" s="3704"/>
      <c r="E6" s="3705" t="s">
        <v>2017</v>
      </c>
      <c r="F6" s="3706"/>
      <c r="G6" s="3703" t="s">
        <v>2017</v>
      </c>
      <c r="H6" s="3704"/>
      <c r="I6" s="3703" t="s">
        <v>2017</v>
      </c>
      <c r="J6" s="3704"/>
      <c r="K6" s="496" t="s">
        <v>2018</v>
      </c>
      <c r="L6" s="2937"/>
      <c r="M6" s="2938"/>
      <c r="N6" s="2938"/>
      <c r="O6" s="2938"/>
      <c r="P6" s="3696"/>
      <c r="Q6" s="3697"/>
      <c r="R6" s="3677"/>
      <c r="S6" s="3678"/>
      <c r="T6" s="3679"/>
      <c r="U6" s="3680"/>
      <c r="V6" s="3698"/>
      <c r="W6" s="3698"/>
      <c r="X6" s="1263"/>
      <c r="Y6" s="3679"/>
      <c r="Z6" s="3680"/>
      <c r="AA6" s="3687"/>
      <c r="AB6" s="3687"/>
      <c r="AC6" s="3687"/>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73" t="s">
        <v>2020</v>
      </c>
      <c r="Q7" s="3681"/>
      <c r="R7" s="627" t="s">
        <v>25</v>
      </c>
      <c r="S7" s="628">
        <f t="shared" ref="S7:S14" si="0">F7</f>
        <v>0</v>
      </c>
      <c r="T7" s="627" t="s">
        <v>25</v>
      </c>
      <c r="U7" s="628">
        <f t="shared" ref="U7:U14" si="1">H7</f>
        <v>0</v>
      </c>
      <c r="V7" s="627" t="s">
        <v>25</v>
      </c>
      <c r="W7" s="628">
        <f t="shared" ref="W7:W14" si="2">J7</f>
        <v>0</v>
      </c>
      <c r="X7" s="629"/>
      <c r="Y7" s="3673" t="s">
        <v>2020</v>
      </c>
      <c r="Z7" s="367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73" t="s">
        <v>2023</v>
      </c>
      <c r="Q8" s="3674"/>
      <c r="R8" s="627" t="s">
        <v>25</v>
      </c>
      <c r="S8" s="628">
        <f t="shared" si="0"/>
        <v>0</v>
      </c>
      <c r="T8" s="627" t="s">
        <v>25</v>
      </c>
      <c r="U8" s="628">
        <f t="shared" si="1"/>
        <v>0</v>
      </c>
      <c r="V8" s="627" t="s">
        <v>25</v>
      </c>
      <c r="W8" s="628">
        <f t="shared" si="2"/>
        <v>0</v>
      </c>
      <c r="X8" s="629"/>
      <c r="Y8" s="3673" t="s">
        <v>2023</v>
      </c>
      <c r="Z8" s="367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65" t="s">
        <v>2026</v>
      </c>
      <c r="Q9" s="1255" t="str">
        <f t="shared" ref="Q9:Q14" si="6">B9</f>
        <v>用途</v>
      </c>
      <c r="R9" s="627" t="s">
        <v>25</v>
      </c>
      <c r="S9" s="628">
        <f t="shared" si="0"/>
        <v>100</v>
      </c>
      <c r="T9" s="627" t="s">
        <v>25</v>
      </c>
      <c r="U9" s="628">
        <f t="shared" si="1"/>
        <v>100</v>
      </c>
      <c r="V9" s="627" t="s">
        <v>25</v>
      </c>
      <c r="W9" s="628">
        <f t="shared" si="2"/>
        <v>100</v>
      </c>
      <c r="X9" s="629"/>
      <c r="Y9" s="368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65"/>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65"/>
      <c r="Q11" s="1255">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65"/>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65"/>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82" t="s">
        <v>2031</v>
      </c>
      <c r="Q14" s="1262" t="str">
        <f t="shared" si="6"/>
        <v>交通便捷度</v>
      </c>
      <c r="R14" s="631" t="s">
        <v>25</v>
      </c>
      <c r="S14" s="632">
        <f t="shared" si="0"/>
        <v>100</v>
      </c>
      <c r="T14" s="631" t="s">
        <v>25</v>
      </c>
      <c r="U14" s="632">
        <f t="shared" si="1"/>
        <v>100</v>
      </c>
      <c r="V14" s="631" t="s">
        <v>25</v>
      </c>
      <c r="W14" s="632">
        <f t="shared" si="2"/>
        <v>100</v>
      </c>
      <c r="X14" s="1263"/>
      <c r="Y14" s="368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83"/>
      <c r="Q15" s="1262"/>
      <c r="R15" s="631"/>
      <c r="S15" s="632"/>
      <c r="T15" s="631"/>
      <c r="U15" s="632"/>
      <c r="V15" s="631"/>
      <c r="W15" s="632"/>
      <c r="X15" s="1263"/>
      <c r="Y15" s="368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83"/>
      <c r="Q16" s="1262" t="str">
        <f>B16</f>
        <v>公共配套设施</v>
      </c>
      <c r="R16" s="631" t="s">
        <v>25</v>
      </c>
      <c r="S16" s="632">
        <f>F16</f>
        <v>100</v>
      </c>
      <c r="T16" s="631" t="s">
        <v>25</v>
      </c>
      <c r="U16" s="632">
        <f>H16</f>
        <v>100</v>
      </c>
      <c r="V16" s="631" t="s">
        <v>25</v>
      </c>
      <c r="W16" s="632">
        <f>J16</f>
        <v>100</v>
      </c>
      <c r="X16" s="1263"/>
      <c r="Y16" s="368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83"/>
      <c r="Q17" s="1262"/>
      <c r="R17" s="631"/>
      <c r="S17" s="632"/>
      <c r="T17" s="631"/>
      <c r="U17" s="632"/>
      <c r="V17" s="631"/>
      <c r="W17" s="632"/>
      <c r="X17" s="1263"/>
      <c r="Y17" s="368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83"/>
      <c r="Q18" s="1262" t="str">
        <f>B18</f>
        <v>基础设施水平</v>
      </c>
      <c r="R18" s="631" t="s">
        <v>25</v>
      </c>
      <c r="S18" s="632">
        <f>F18</f>
        <v>100</v>
      </c>
      <c r="T18" s="631" t="s">
        <v>25</v>
      </c>
      <c r="U18" s="632">
        <f>H18</f>
        <v>100</v>
      </c>
      <c r="V18" s="631" t="s">
        <v>25</v>
      </c>
      <c r="W18" s="632">
        <f>J18</f>
        <v>100</v>
      </c>
      <c r="X18" s="1263"/>
      <c r="Y18" s="368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83"/>
      <c r="Q19" s="1262"/>
      <c r="R19" s="631"/>
      <c r="S19" s="632"/>
      <c r="T19" s="631"/>
      <c r="U19" s="632"/>
      <c r="V19" s="631"/>
      <c r="W19" s="632"/>
      <c r="X19" s="1263"/>
      <c r="Y19" s="368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83"/>
      <c r="Q20" s="1262" t="str">
        <f>B20</f>
        <v>自然及人文环境</v>
      </c>
      <c r="R20" s="631" t="s">
        <v>25</v>
      </c>
      <c r="S20" s="632">
        <f>F20</f>
        <v>100</v>
      </c>
      <c r="T20" s="631" t="s">
        <v>25</v>
      </c>
      <c r="U20" s="632">
        <f>H20</f>
        <v>100</v>
      </c>
      <c r="V20" s="631" t="s">
        <v>25</v>
      </c>
      <c r="W20" s="632">
        <f>J20</f>
        <v>100</v>
      </c>
      <c r="X20" s="1263"/>
      <c r="Y20" s="368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83"/>
      <c r="Q21" s="1262"/>
      <c r="R21" s="631"/>
      <c r="S21" s="632"/>
      <c r="T21" s="631"/>
      <c r="U21" s="632"/>
      <c r="V21" s="631"/>
      <c r="W21" s="632"/>
      <c r="X21" s="1263"/>
      <c r="Y21" s="368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83"/>
      <c r="Q22" s="1262" t="str">
        <f>B22</f>
        <v>楼层</v>
      </c>
      <c r="R22" s="631" t="s">
        <v>25</v>
      </c>
      <c r="S22" s="632">
        <f>F22</f>
        <v>100</v>
      </c>
      <c r="T22" s="631" t="s">
        <v>25</v>
      </c>
      <c r="U22" s="632">
        <f>H22</f>
        <v>100</v>
      </c>
      <c r="V22" s="631" t="s">
        <v>25</v>
      </c>
      <c r="W22" s="632">
        <f>J22</f>
        <v>100</v>
      </c>
      <c r="X22" s="1263"/>
      <c r="Y22" s="368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83"/>
      <c r="Q23" s="1262">
        <f>B23</f>
        <v>111</v>
      </c>
      <c r="R23" s="631" t="s">
        <v>25</v>
      </c>
      <c r="S23" s="632">
        <f>F23</f>
        <v>100</v>
      </c>
      <c r="T23" s="631" t="s">
        <v>25</v>
      </c>
      <c r="U23" s="632">
        <f>H23</f>
        <v>100</v>
      </c>
      <c r="V23" s="631" t="s">
        <v>25</v>
      </c>
      <c r="W23" s="632">
        <f>J23</f>
        <v>100</v>
      </c>
      <c r="X23" s="1263"/>
      <c r="Y23" s="368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83"/>
      <c r="Q24" s="1262">
        <f t="shared" ref="Q24:Q36" si="11">B24</f>
        <v>111</v>
      </c>
      <c r="R24" s="631" t="s">
        <v>25</v>
      </c>
      <c r="S24" s="632">
        <f>F24</f>
        <v>100</v>
      </c>
      <c r="T24" s="631" t="s">
        <v>25</v>
      </c>
      <c r="U24" s="632">
        <f>H24</f>
        <v>100</v>
      </c>
      <c r="V24" s="631" t="s">
        <v>25</v>
      </c>
      <c r="W24" s="632">
        <f>J24</f>
        <v>100</v>
      </c>
      <c r="X24" s="1263"/>
      <c r="Y24" s="368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83"/>
      <c r="Q25" s="1255">
        <f t="shared" si="11"/>
        <v>111</v>
      </c>
      <c r="R25" s="627" t="s">
        <v>25</v>
      </c>
      <c r="S25" s="628">
        <f>F25</f>
        <v>100</v>
      </c>
      <c r="T25" s="627" t="s">
        <v>25</v>
      </c>
      <c r="U25" s="628">
        <f>H25</f>
        <v>100</v>
      </c>
      <c r="V25" s="627" t="s">
        <v>25</v>
      </c>
      <c r="W25" s="628">
        <f>J25</f>
        <v>100</v>
      </c>
      <c r="X25" s="629"/>
      <c r="Y25" s="368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70"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1"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71"/>
      <c r="Q27" s="633" t="str">
        <f t="shared" si="11"/>
        <v>项目停车位配比</v>
      </c>
      <c r="R27" s="634" t="s">
        <v>25</v>
      </c>
      <c r="S27" s="635">
        <f t="shared" si="12"/>
        <v>100</v>
      </c>
      <c r="T27" s="634" t="s">
        <v>25</v>
      </c>
      <c r="U27" s="635">
        <f t="shared" si="13"/>
        <v>100</v>
      </c>
      <c r="V27" s="634" t="s">
        <v>25</v>
      </c>
      <c r="W27" s="635">
        <f t="shared" si="14"/>
        <v>100</v>
      </c>
      <c r="X27" s="636"/>
      <c r="Y27" s="3671"/>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71"/>
      <c r="Q28" s="1262" t="str">
        <f t="shared" si="11"/>
        <v>公共部分装修</v>
      </c>
      <c r="R28" s="631" t="s">
        <v>25</v>
      </c>
      <c r="S28" s="632">
        <f t="shared" si="12"/>
        <v>100</v>
      </c>
      <c r="T28" s="631" t="s">
        <v>25</v>
      </c>
      <c r="U28" s="632">
        <f t="shared" si="13"/>
        <v>100</v>
      </c>
      <c r="V28" s="631" t="s">
        <v>25</v>
      </c>
      <c r="W28" s="632">
        <f t="shared" si="14"/>
        <v>100</v>
      </c>
      <c r="X28" s="1263"/>
      <c r="Y28" s="3671"/>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71"/>
      <c r="Q29" s="1262" t="str">
        <f t="shared" si="11"/>
        <v>成新率</v>
      </c>
      <c r="R29" s="631" t="s">
        <v>25</v>
      </c>
      <c r="S29" s="632" t="e">
        <f t="shared" si="12"/>
        <v>#N/A</v>
      </c>
      <c r="T29" s="631" t="s">
        <v>25</v>
      </c>
      <c r="U29" s="632" t="e">
        <f t="shared" si="13"/>
        <v>#N/A</v>
      </c>
      <c r="V29" s="631" t="s">
        <v>25</v>
      </c>
      <c r="W29" s="632" t="e">
        <f t="shared" si="14"/>
        <v>#N/A</v>
      </c>
      <c r="X29" s="1263"/>
      <c r="Y29" s="3671"/>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71"/>
      <c r="Q30" s="1262" t="str">
        <f t="shared" si="11"/>
        <v>物业等级</v>
      </c>
      <c r="R30" s="631" t="s">
        <v>25</v>
      </c>
      <c r="S30" s="632">
        <f t="shared" si="12"/>
        <v>100</v>
      </c>
      <c r="T30" s="631" t="s">
        <v>25</v>
      </c>
      <c r="U30" s="632">
        <f t="shared" si="13"/>
        <v>100</v>
      </c>
      <c r="V30" s="631" t="s">
        <v>25</v>
      </c>
      <c r="W30" s="632">
        <f t="shared" si="14"/>
        <v>100</v>
      </c>
      <c r="X30" s="1263"/>
      <c r="Y30" s="3671"/>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71"/>
      <c r="Q31" s="1255" t="str">
        <f t="shared" si="11"/>
        <v>停车位面积</v>
      </c>
      <c r="R31" s="627" t="s">
        <v>25</v>
      </c>
      <c r="S31" s="628" t="e">
        <f t="shared" si="12"/>
        <v>#N/A</v>
      </c>
      <c r="T31" s="627" t="s">
        <v>25</v>
      </c>
      <c r="U31" s="628" t="e">
        <f t="shared" si="13"/>
        <v>#N/A</v>
      </c>
      <c r="V31" s="627" t="s">
        <v>25</v>
      </c>
      <c r="W31" s="628" t="e">
        <f t="shared" si="14"/>
        <v>#N/A</v>
      </c>
      <c r="X31" s="629"/>
      <c r="Y31" s="3671"/>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71" t="s">
        <v>2037</v>
      </c>
      <c r="Q32" s="1262" t="str">
        <f t="shared" si="11"/>
        <v>车位类型</v>
      </c>
      <c r="R32" s="631" t="s">
        <v>25</v>
      </c>
      <c r="S32" s="632">
        <f t="shared" si="12"/>
        <v>100</v>
      </c>
      <c r="T32" s="631" t="s">
        <v>25</v>
      </c>
      <c r="U32" s="632">
        <f t="shared" si="13"/>
        <v>100</v>
      </c>
      <c r="V32" s="631" t="s">
        <v>25</v>
      </c>
      <c r="W32" s="632">
        <f t="shared" si="14"/>
        <v>100</v>
      </c>
      <c r="X32" s="1263"/>
      <c r="Y32" s="3671"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71"/>
      <c r="Q33" s="1262" t="str">
        <f t="shared" si="11"/>
        <v>是否直接入户</v>
      </c>
      <c r="R33" s="631" t="s">
        <v>25</v>
      </c>
      <c r="S33" s="632">
        <f t="shared" si="12"/>
        <v>100</v>
      </c>
      <c r="T33" s="631" t="s">
        <v>25</v>
      </c>
      <c r="U33" s="632">
        <f t="shared" si="13"/>
        <v>100</v>
      </c>
      <c r="V33" s="631" t="s">
        <v>25</v>
      </c>
      <c r="W33" s="632">
        <f t="shared" si="14"/>
        <v>100</v>
      </c>
      <c r="X33" s="1263"/>
      <c r="Y33" s="3671"/>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71"/>
      <c r="Q34" s="1262">
        <f t="shared" si="11"/>
        <v>111</v>
      </c>
      <c r="R34" s="631" t="s">
        <v>25</v>
      </c>
      <c r="S34" s="632">
        <f t="shared" si="12"/>
        <v>100</v>
      </c>
      <c r="T34" s="631" t="s">
        <v>25</v>
      </c>
      <c r="U34" s="632">
        <f t="shared" si="13"/>
        <v>100</v>
      </c>
      <c r="V34" s="631" t="s">
        <v>25</v>
      </c>
      <c r="W34" s="632">
        <f t="shared" si="14"/>
        <v>100</v>
      </c>
      <c r="X34" s="1263"/>
      <c r="Y34" s="3671"/>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71"/>
      <c r="Q35" s="633">
        <f t="shared" si="11"/>
        <v>111</v>
      </c>
      <c r="R35" s="634" t="s">
        <v>25</v>
      </c>
      <c r="S35" s="635">
        <f t="shared" si="12"/>
        <v>100</v>
      </c>
      <c r="T35" s="634" t="s">
        <v>25</v>
      </c>
      <c r="U35" s="635">
        <f t="shared" si="13"/>
        <v>100</v>
      </c>
      <c r="V35" s="634" t="s">
        <v>25</v>
      </c>
      <c r="W35" s="635">
        <f t="shared" si="14"/>
        <v>100</v>
      </c>
      <c r="X35" s="636"/>
      <c r="Y35" s="3671"/>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71"/>
      <c r="Q36" s="1262">
        <f t="shared" si="11"/>
        <v>111</v>
      </c>
      <c r="R36" s="631" t="s">
        <v>25</v>
      </c>
      <c r="S36" s="632">
        <f t="shared" si="12"/>
        <v>100</v>
      </c>
      <c r="T36" s="631" t="s">
        <v>25</v>
      </c>
      <c r="U36" s="632">
        <f t="shared" si="13"/>
        <v>100</v>
      </c>
      <c r="V36" s="631" t="s">
        <v>25</v>
      </c>
      <c r="W36" s="632">
        <f t="shared" si="14"/>
        <v>100</v>
      </c>
      <c r="X36" s="1263"/>
      <c r="Y36" s="3671"/>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65" t="str">
        <f>A37</f>
        <v>成交单价</v>
      </c>
      <c r="Q37" s="3665"/>
      <c r="R37" s="3666">
        <f>E37</f>
        <v>0</v>
      </c>
      <c r="S37" s="3666"/>
      <c r="T37" s="3666">
        <f>G37</f>
        <v>0</v>
      </c>
      <c r="U37" s="3666"/>
      <c r="V37" s="3666">
        <f>I37</f>
        <v>0</v>
      </c>
      <c r="W37" s="3666"/>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65" t="str">
        <f>A38</f>
        <v>比较价值</v>
      </c>
      <c r="Q38" s="3665"/>
      <c r="R38" s="3666" t="e">
        <f>IF(E1="售价",ROUND(PRODUCT(R37,AA7:AA36),0),ROUND(PRODUCT(R37,AA7:AA36),1))</f>
        <v>#DIV/0!</v>
      </c>
      <c r="S38" s="3666"/>
      <c r="T38" s="3666" t="e">
        <f>IF(E1="售价",ROUND(PRODUCT(T37,AB7:AB36),0),ROUND(PRODUCT(T37,AB7:AB36),1))</f>
        <v>#DIV/0!</v>
      </c>
      <c r="U38" s="3666"/>
      <c r="V38" s="3666" t="e">
        <f>IF(E1="售价",ROUND(PRODUCT(V37,AC7:AC36),0),ROUND(PRODUCT(V37,AC7:AC36),1))</f>
        <v>#DIV/0!</v>
      </c>
      <c r="W38" s="3666"/>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667" t="str">
        <f>A39</f>
        <v>估价对象XX用房的比较价值（楼面单价，元/平方米）</v>
      </c>
      <c r="Q39" s="3668"/>
      <c r="R39" s="3669" t="e">
        <f>IF(E1="售价",ROUND(IF(D38="简单平均",AVERAGE(R38:W38),R38*F38+T38*H38+V38*J38),0),ROUND(IF(D38="简单平均",AVERAGE(R38:V38),R38*F38+T38*H38+V38*J38),1))</f>
        <v>#DIV/0!</v>
      </c>
      <c r="S39" s="3669"/>
      <c r="T39" s="3669"/>
      <c r="U39" s="3669"/>
      <c r="V39" s="3669"/>
      <c r="W39" s="3669"/>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353.61</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8" t="s">
        <v>2007</v>
      </c>
      <c r="D4" s="3689"/>
      <c r="E4" s="3690" t="s">
        <v>2008</v>
      </c>
      <c r="F4" s="3691"/>
      <c r="G4" s="3688" t="s">
        <v>2009</v>
      </c>
      <c r="H4" s="3689"/>
      <c r="I4" s="3688" t="s">
        <v>2010</v>
      </c>
      <c r="J4" s="3689"/>
      <c r="K4" s="496" t="s">
        <v>2011</v>
      </c>
      <c r="L4" s="2937"/>
      <c r="M4" s="2938"/>
      <c r="N4" s="2938"/>
      <c r="O4" s="2938"/>
      <c r="P4" s="3692" t="s">
        <v>2012</v>
      </c>
      <c r="Q4" s="3693"/>
      <c r="R4" s="3675" t="s">
        <v>2008</v>
      </c>
      <c r="S4" s="3676"/>
      <c r="T4" s="3675" t="s">
        <v>2009</v>
      </c>
      <c r="U4" s="3676"/>
      <c r="V4" s="3698" t="s">
        <v>2010</v>
      </c>
      <c r="W4" s="3698"/>
      <c r="X4" s="1263"/>
      <c r="Y4" s="3675" t="s">
        <v>2012</v>
      </c>
      <c r="Z4" s="3676"/>
      <c r="AA4" s="3685" t="s">
        <v>2008</v>
      </c>
      <c r="AB4" s="3686" t="s">
        <v>2009</v>
      </c>
      <c r="AC4" s="3685" t="s">
        <v>2010</v>
      </c>
    </row>
    <row r="5" spans="1:29" ht="15">
      <c r="A5" s="297"/>
      <c r="B5" s="298"/>
      <c r="C5" s="3701" t="s">
        <v>2013</v>
      </c>
      <c r="D5" s="3702"/>
      <c r="E5" s="3699" t="s">
        <v>2014</v>
      </c>
      <c r="F5" s="3700"/>
      <c r="G5" s="3701" t="s">
        <v>2015</v>
      </c>
      <c r="H5" s="3702"/>
      <c r="I5" s="3701" t="s">
        <v>2016</v>
      </c>
      <c r="J5" s="3702"/>
      <c r="K5" s="496"/>
      <c r="L5" s="2937"/>
      <c r="M5" s="2938"/>
      <c r="N5" s="2938"/>
      <c r="O5" s="2938"/>
      <c r="P5" s="3694"/>
      <c r="Q5" s="3695"/>
      <c r="R5" s="3677"/>
      <c r="S5" s="3678"/>
      <c r="T5" s="3677"/>
      <c r="U5" s="3678"/>
      <c r="V5" s="3698"/>
      <c r="W5" s="3698"/>
      <c r="X5" s="1263"/>
      <c r="Y5" s="3677"/>
      <c r="Z5" s="3678"/>
      <c r="AA5" s="3686"/>
      <c r="AB5" s="3686"/>
      <c r="AC5" s="3686"/>
    </row>
    <row r="6" spans="1:29" ht="15.75" thickBot="1">
      <c r="A6" s="299"/>
      <c r="B6" s="300"/>
      <c r="C6" s="3703" t="s">
        <v>2017</v>
      </c>
      <c r="D6" s="3704"/>
      <c r="E6" s="3705" t="s">
        <v>2017</v>
      </c>
      <c r="F6" s="3706"/>
      <c r="G6" s="3703" t="s">
        <v>2017</v>
      </c>
      <c r="H6" s="3704"/>
      <c r="I6" s="3703" t="s">
        <v>2017</v>
      </c>
      <c r="J6" s="3704"/>
      <c r="K6" s="496" t="s">
        <v>2018</v>
      </c>
      <c r="L6" s="2937"/>
      <c r="M6" s="2938"/>
      <c r="N6" s="2938"/>
      <c r="O6" s="2938"/>
      <c r="P6" s="3696"/>
      <c r="Q6" s="3697"/>
      <c r="R6" s="3677"/>
      <c r="S6" s="3678"/>
      <c r="T6" s="3679"/>
      <c r="U6" s="3680"/>
      <c r="V6" s="3698"/>
      <c r="W6" s="3698"/>
      <c r="X6" s="1263"/>
      <c r="Y6" s="3679"/>
      <c r="Z6" s="3680"/>
      <c r="AA6" s="3687"/>
      <c r="AB6" s="3687"/>
      <c r="AC6" s="3687"/>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73" t="s">
        <v>2020</v>
      </c>
      <c r="Q7" s="3681"/>
      <c r="R7" s="627" t="s">
        <v>25</v>
      </c>
      <c r="S7" s="628">
        <f t="shared" ref="S7:S14" si="0">F7</f>
        <v>0</v>
      </c>
      <c r="T7" s="627" t="s">
        <v>25</v>
      </c>
      <c r="U7" s="628">
        <f t="shared" ref="U7:U14" si="1">H7</f>
        <v>0</v>
      </c>
      <c r="V7" s="627" t="s">
        <v>25</v>
      </c>
      <c r="W7" s="628">
        <f t="shared" ref="W7:W14" si="2">J7</f>
        <v>0</v>
      </c>
      <c r="X7" s="629"/>
      <c r="Y7" s="3673" t="s">
        <v>2020</v>
      </c>
      <c r="Z7" s="367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73" t="s">
        <v>2023</v>
      </c>
      <c r="Q8" s="3674"/>
      <c r="R8" s="627" t="s">
        <v>25</v>
      </c>
      <c r="S8" s="628">
        <f t="shared" si="0"/>
        <v>0</v>
      </c>
      <c r="T8" s="627" t="s">
        <v>25</v>
      </c>
      <c r="U8" s="628">
        <f t="shared" si="1"/>
        <v>0</v>
      </c>
      <c r="V8" s="627" t="s">
        <v>25</v>
      </c>
      <c r="W8" s="628">
        <f t="shared" si="2"/>
        <v>0</v>
      </c>
      <c r="X8" s="629"/>
      <c r="Y8" s="3673" t="s">
        <v>2023</v>
      </c>
      <c r="Z8" s="367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65" t="s">
        <v>2026</v>
      </c>
      <c r="Q9" s="1255" t="str">
        <f t="shared" ref="Q9:Q14" si="6">B9</f>
        <v>用途</v>
      </c>
      <c r="R9" s="627" t="s">
        <v>25</v>
      </c>
      <c r="S9" s="628">
        <f t="shared" si="0"/>
        <v>100</v>
      </c>
      <c r="T9" s="627" t="s">
        <v>25</v>
      </c>
      <c r="U9" s="628">
        <f t="shared" si="1"/>
        <v>100</v>
      </c>
      <c r="V9" s="627" t="s">
        <v>25</v>
      </c>
      <c r="W9" s="628">
        <f t="shared" si="2"/>
        <v>100</v>
      </c>
      <c r="X9" s="629"/>
      <c r="Y9" s="368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65"/>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65"/>
      <c r="Q11" s="1255">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65"/>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65"/>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82" t="s">
        <v>2031</v>
      </c>
      <c r="Q14" s="1262" t="str">
        <f t="shared" si="6"/>
        <v>交通便捷度</v>
      </c>
      <c r="R14" s="631" t="s">
        <v>25</v>
      </c>
      <c r="S14" s="632">
        <f t="shared" si="0"/>
        <v>100</v>
      </c>
      <c r="T14" s="631" t="s">
        <v>25</v>
      </c>
      <c r="U14" s="632">
        <f t="shared" si="1"/>
        <v>100</v>
      </c>
      <c r="V14" s="631" t="s">
        <v>25</v>
      </c>
      <c r="W14" s="632">
        <f t="shared" si="2"/>
        <v>100</v>
      </c>
      <c r="X14" s="1263"/>
      <c r="Y14" s="368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83"/>
      <c r="Q15" s="1262"/>
      <c r="R15" s="631"/>
      <c r="S15" s="632"/>
      <c r="T15" s="631"/>
      <c r="U15" s="632"/>
      <c r="V15" s="631"/>
      <c r="W15" s="632"/>
      <c r="X15" s="1263"/>
      <c r="Y15" s="368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83"/>
      <c r="Q16" s="1262" t="str">
        <f>B16</f>
        <v>公共配套设施</v>
      </c>
      <c r="R16" s="631" t="s">
        <v>25</v>
      </c>
      <c r="S16" s="632">
        <f>F16</f>
        <v>100</v>
      </c>
      <c r="T16" s="631" t="s">
        <v>25</v>
      </c>
      <c r="U16" s="632">
        <f>H16</f>
        <v>100</v>
      </c>
      <c r="V16" s="631" t="s">
        <v>25</v>
      </c>
      <c r="W16" s="632">
        <f>J16</f>
        <v>100</v>
      </c>
      <c r="X16" s="1263"/>
      <c r="Y16" s="368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83"/>
      <c r="Q17" s="1262"/>
      <c r="R17" s="631"/>
      <c r="S17" s="632"/>
      <c r="T17" s="631"/>
      <c r="U17" s="632"/>
      <c r="V17" s="631"/>
      <c r="W17" s="632"/>
      <c r="X17" s="1263"/>
      <c r="Y17" s="368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83"/>
      <c r="Q18" s="1262" t="str">
        <f>B18</f>
        <v>基础设施水平</v>
      </c>
      <c r="R18" s="631" t="s">
        <v>25</v>
      </c>
      <c r="S18" s="632">
        <f>F18</f>
        <v>100</v>
      </c>
      <c r="T18" s="631" t="s">
        <v>25</v>
      </c>
      <c r="U18" s="632">
        <f>H18</f>
        <v>100</v>
      </c>
      <c r="V18" s="631" t="s">
        <v>25</v>
      </c>
      <c r="W18" s="632">
        <f>J18</f>
        <v>100</v>
      </c>
      <c r="X18" s="1263"/>
      <c r="Y18" s="368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83"/>
      <c r="Q19" s="1262"/>
      <c r="R19" s="631"/>
      <c r="S19" s="632"/>
      <c r="T19" s="631"/>
      <c r="U19" s="632"/>
      <c r="V19" s="631"/>
      <c r="W19" s="632"/>
      <c r="X19" s="1263"/>
      <c r="Y19" s="368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83"/>
      <c r="Q20" s="1262" t="str">
        <f>B20</f>
        <v>自然及人文环境</v>
      </c>
      <c r="R20" s="631" t="s">
        <v>25</v>
      </c>
      <c r="S20" s="632">
        <f>F20</f>
        <v>100</v>
      </c>
      <c r="T20" s="631" t="s">
        <v>25</v>
      </c>
      <c r="U20" s="632">
        <f>H20</f>
        <v>100</v>
      </c>
      <c r="V20" s="631" t="s">
        <v>25</v>
      </c>
      <c r="W20" s="632">
        <f>J20</f>
        <v>100</v>
      </c>
      <c r="X20" s="1263"/>
      <c r="Y20" s="368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83"/>
      <c r="Q21" s="1262"/>
      <c r="R21" s="631"/>
      <c r="S21" s="632"/>
      <c r="T21" s="631"/>
      <c r="U21" s="632"/>
      <c r="V21" s="631"/>
      <c r="W21" s="632"/>
      <c r="X21" s="1263"/>
      <c r="Y21" s="368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83"/>
      <c r="Q22" s="1262" t="str">
        <f>B22</f>
        <v>楼层</v>
      </c>
      <c r="R22" s="631" t="s">
        <v>25</v>
      </c>
      <c r="S22" s="632">
        <f>F22</f>
        <v>100</v>
      </c>
      <c r="T22" s="631" t="s">
        <v>25</v>
      </c>
      <c r="U22" s="632">
        <f>H22</f>
        <v>100</v>
      </c>
      <c r="V22" s="631" t="s">
        <v>25</v>
      </c>
      <c r="W22" s="632">
        <f>J22</f>
        <v>100</v>
      </c>
      <c r="X22" s="1263"/>
      <c r="Y22" s="368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83"/>
      <c r="Q23" s="1262">
        <f>B23</f>
        <v>111</v>
      </c>
      <c r="R23" s="631" t="s">
        <v>25</v>
      </c>
      <c r="S23" s="632">
        <f>F23</f>
        <v>100</v>
      </c>
      <c r="T23" s="631" t="s">
        <v>25</v>
      </c>
      <c r="U23" s="632">
        <f>H23</f>
        <v>100</v>
      </c>
      <c r="V23" s="631" t="s">
        <v>25</v>
      </c>
      <c r="W23" s="632">
        <f>J23</f>
        <v>100</v>
      </c>
      <c r="X23" s="1263"/>
      <c r="Y23" s="368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83"/>
      <c r="Q24" s="1262">
        <f t="shared" ref="Q24:Q34" si="11">B24</f>
        <v>111</v>
      </c>
      <c r="R24" s="631" t="s">
        <v>25</v>
      </c>
      <c r="S24" s="632">
        <f>F24</f>
        <v>100</v>
      </c>
      <c r="T24" s="631" t="s">
        <v>25</v>
      </c>
      <c r="U24" s="632">
        <f>H24</f>
        <v>100</v>
      </c>
      <c r="V24" s="631" t="s">
        <v>25</v>
      </c>
      <c r="W24" s="632">
        <f>J24</f>
        <v>100</v>
      </c>
      <c r="X24" s="1263"/>
      <c r="Y24" s="368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83"/>
      <c r="Q25" s="1255">
        <f t="shared" si="11"/>
        <v>111</v>
      </c>
      <c r="R25" s="627" t="s">
        <v>25</v>
      </c>
      <c r="S25" s="628">
        <f>F25</f>
        <v>100</v>
      </c>
      <c r="T25" s="627" t="s">
        <v>25</v>
      </c>
      <c r="U25" s="628">
        <f>H25</f>
        <v>100</v>
      </c>
      <c r="V25" s="627" t="s">
        <v>25</v>
      </c>
      <c r="W25" s="628">
        <f>J25</f>
        <v>100</v>
      </c>
      <c r="X25" s="629"/>
      <c r="Y25" s="368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670"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1"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71"/>
      <c r="Q27" s="633" t="str">
        <f t="shared" si="11"/>
        <v>成新率</v>
      </c>
      <c r="R27" s="634" t="s">
        <v>25</v>
      </c>
      <c r="S27" s="635" t="e">
        <f t="shared" si="12"/>
        <v>#N/A</v>
      </c>
      <c r="T27" s="634" t="s">
        <v>25</v>
      </c>
      <c r="U27" s="635" t="e">
        <f t="shared" si="13"/>
        <v>#N/A</v>
      </c>
      <c r="V27" s="634" t="s">
        <v>25</v>
      </c>
      <c r="W27" s="635" t="e">
        <f t="shared" si="14"/>
        <v>#N/A</v>
      </c>
      <c r="X27" s="636"/>
      <c r="Y27" s="3671"/>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71"/>
      <c r="Q28" s="1262" t="str">
        <f t="shared" si="11"/>
        <v>物业等级</v>
      </c>
      <c r="R28" s="631" t="s">
        <v>25</v>
      </c>
      <c r="S28" s="632">
        <f t="shared" si="12"/>
        <v>100</v>
      </c>
      <c r="T28" s="631" t="s">
        <v>25</v>
      </c>
      <c r="U28" s="632">
        <f t="shared" si="13"/>
        <v>100</v>
      </c>
      <c r="V28" s="631" t="s">
        <v>25</v>
      </c>
      <c r="W28" s="632">
        <f t="shared" si="14"/>
        <v>100</v>
      </c>
      <c r="X28" s="1263"/>
      <c r="Y28" s="3671"/>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71"/>
      <c r="Q29" s="1262" t="str">
        <f t="shared" si="11"/>
        <v>有无电梯</v>
      </c>
      <c r="R29" s="631" t="s">
        <v>25</v>
      </c>
      <c r="S29" s="632">
        <f t="shared" si="12"/>
        <v>100</v>
      </c>
      <c r="T29" s="631" t="s">
        <v>25</v>
      </c>
      <c r="U29" s="632">
        <f t="shared" si="13"/>
        <v>100</v>
      </c>
      <c r="V29" s="631" t="s">
        <v>25</v>
      </c>
      <c r="W29" s="632">
        <f t="shared" si="14"/>
        <v>100</v>
      </c>
      <c r="X29" s="1263"/>
      <c r="Y29" s="3671"/>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71"/>
      <c r="Q30" s="1262" t="str">
        <f t="shared" si="11"/>
        <v>建筑面积</v>
      </c>
      <c r="R30" s="631" t="s">
        <v>25</v>
      </c>
      <c r="S30" s="632" t="e">
        <f t="shared" si="12"/>
        <v>#N/A</v>
      </c>
      <c r="T30" s="631" t="s">
        <v>25</v>
      </c>
      <c r="U30" s="632" t="e">
        <f t="shared" si="13"/>
        <v>#N/A</v>
      </c>
      <c r="V30" s="631" t="s">
        <v>25</v>
      </c>
      <c r="W30" s="632" t="e">
        <f t="shared" si="14"/>
        <v>#N/A</v>
      </c>
      <c r="X30" s="1263"/>
      <c r="Y30" s="3671"/>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71"/>
      <c r="Q31" s="1255" t="str">
        <f t="shared" si="11"/>
        <v>是否封闭</v>
      </c>
      <c r="R31" s="627" t="s">
        <v>25</v>
      </c>
      <c r="S31" s="628">
        <f t="shared" si="12"/>
        <v>100</v>
      </c>
      <c r="T31" s="627" t="s">
        <v>25</v>
      </c>
      <c r="U31" s="628">
        <f t="shared" si="13"/>
        <v>100</v>
      </c>
      <c r="V31" s="627" t="s">
        <v>25</v>
      </c>
      <c r="W31" s="628">
        <f t="shared" si="14"/>
        <v>100</v>
      </c>
      <c r="X31" s="629"/>
      <c r="Y31" s="3671"/>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71" t="s">
        <v>2037</v>
      </c>
      <c r="Q32" s="1262">
        <f t="shared" si="11"/>
        <v>111</v>
      </c>
      <c r="R32" s="631" t="s">
        <v>25</v>
      </c>
      <c r="S32" s="632">
        <f t="shared" si="12"/>
        <v>100</v>
      </c>
      <c r="T32" s="631" t="s">
        <v>25</v>
      </c>
      <c r="U32" s="632">
        <f t="shared" si="13"/>
        <v>100</v>
      </c>
      <c r="V32" s="631" t="s">
        <v>25</v>
      </c>
      <c r="W32" s="632">
        <f t="shared" si="14"/>
        <v>100</v>
      </c>
      <c r="X32" s="1263"/>
      <c r="Y32" s="3671"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71"/>
      <c r="Q33" s="1262">
        <f t="shared" si="11"/>
        <v>111</v>
      </c>
      <c r="R33" s="631" t="s">
        <v>25</v>
      </c>
      <c r="S33" s="632">
        <f t="shared" si="12"/>
        <v>100</v>
      </c>
      <c r="T33" s="631" t="s">
        <v>25</v>
      </c>
      <c r="U33" s="632">
        <f t="shared" si="13"/>
        <v>100</v>
      </c>
      <c r="V33" s="631" t="s">
        <v>25</v>
      </c>
      <c r="W33" s="632">
        <f t="shared" si="14"/>
        <v>100</v>
      </c>
      <c r="X33" s="1263"/>
      <c r="Y33" s="3671"/>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671"/>
      <c r="Q34" s="1262">
        <f t="shared" si="11"/>
        <v>111</v>
      </c>
      <c r="R34" s="631" t="s">
        <v>25</v>
      </c>
      <c r="S34" s="632">
        <f t="shared" si="12"/>
        <v>100</v>
      </c>
      <c r="T34" s="631" t="s">
        <v>25</v>
      </c>
      <c r="U34" s="632">
        <f t="shared" si="13"/>
        <v>100</v>
      </c>
      <c r="V34" s="631" t="s">
        <v>25</v>
      </c>
      <c r="W34" s="632">
        <f t="shared" si="14"/>
        <v>100</v>
      </c>
      <c r="X34" s="1263"/>
      <c r="Y34" s="3671"/>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65" t="str">
        <f>A35</f>
        <v>成交单价（元/平方米）</v>
      </c>
      <c r="Q35" s="3665"/>
      <c r="R35" s="3666">
        <f>E35</f>
        <v>0</v>
      </c>
      <c r="S35" s="3666"/>
      <c r="T35" s="3666">
        <f>G35</f>
        <v>0</v>
      </c>
      <c r="U35" s="3666"/>
      <c r="V35" s="3666">
        <f>I35</f>
        <v>0</v>
      </c>
      <c r="W35" s="3666"/>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65" t="str">
        <f>A36</f>
        <v>比较价值（元/平方米）</v>
      </c>
      <c r="Q36" s="3665"/>
      <c r="R36" s="3666" t="e">
        <f>IF(E1="售价",ROUND(PRODUCT(R35,AA7:AA34),0),ROUND(PRODUCT(R35,AA7:AA34),1))</f>
        <v>#DIV/0!</v>
      </c>
      <c r="S36" s="3666"/>
      <c r="T36" s="3666" t="e">
        <f>IF(E1="售价",ROUND(PRODUCT(T35,AB7:AB34),0),ROUND(PRODUCT(T35,AB7:AB34),1))</f>
        <v>#DIV/0!</v>
      </c>
      <c r="U36" s="3666"/>
      <c r="V36" s="3666" t="e">
        <f>IF(E1="售价",ROUND(PRODUCT(V35,AC7:AC34),0),ROUND(PRODUCT(V35,AC7:AC34),1))</f>
        <v>#DIV/0!</v>
      </c>
      <c r="W36" s="3666"/>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667" t="str">
        <f>A37</f>
        <v>估价对象XX用房的比较价值（楼面单价，元/平方米）</v>
      </c>
      <c r="Q37" s="3668"/>
      <c r="R37" s="3669" t="e">
        <f>IF(E1="售价",ROUND(IF(D36="简单平均",AVERAGE(R36:W36),R36*F36+T36*H36+V36*J36),0),ROUND(IF(D36="简单平均",AVERAGE(R36:V36),R36*F36+T36*H36+V36*J36),1))</f>
        <v>#DIV/0!</v>
      </c>
      <c r="S37" s="3669"/>
      <c r="T37" s="3669"/>
      <c r="U37" s="3669"/>
      <c r="V37" s="3669"/>
      <c r="W37" s="3669"/>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610" t="s">
        <v>2007</v>
      </c>
      <c r="D4" s="3611"/>
      <c r="E4" s="3612" t="s">
        <v>2008</v>
      </c>
      <c r="F4" s="3613"/>
      <c r="G4" s="3610" t="s">
        <v>2009</v>
      </c>
      <c r="H4" s="3611"/>
      <c r="I4" s="3610" t="s">
        <v>2010</v>
      </c>
      <c r="J4" s="3611"/>
      <c r="K4" s="1892" t="s">
        <v>2011</v>
      </c>
      <c r="L4" s="2909"/>
      <c r="M4" s="2910"/>
      <c r="N4" s="2910"/>
      <c r="O4" s="2910"/>
      <c r="P4" s="3614" t="s">
        <v>2012</v>
      </c>
      <c r="Q4" s="3615"/>
      <c r="R4" s="3598" t="s">
        <v>2008</v>
      </c>
      <c r="S4" s="3599"/>
      <c r="T4" s="3598" t="s">
        <v>2009</v>
      </c>
      <c r="U4" s="3599"/>
      <c r="V4" s="3620" t="s">
        <v>2010</v>
      </c>
      <c r="W4" s="3620"/>
      <c r="X4" s="1594"/>
      <c r="Y4" s="3598" t="s">
        <v>2012</v>
      </c>
      <c r="Z4" s="3599"/>
      <c r="AA4" s="3607" t="s">
        <v>2008</v>
      </c>
      <c r="AB4" s="3608" t="s">
        <v>2009</v>
      </c>
      <c r="AC4" s="3607" t="s">
        <v>2010</v>
      </c>
    </row>
    <row r="5" spans="1:30" ht="15">
      <c r="A5" s="1596"/>
      <c r="B5" s="1597"/>
      <c r="C5" s="3627" t="s">
        <v>2013</v>
      </c>
      <c r="D5" s="3624"/>
      <c r="E5" s="3621" t="s">
        <v>2014</v>
      </c>
      <c r="F5" s="3622"/>
      <c r="G5" s="3627" t="s">
        <v>2015</v>
      </c>
      <c r="H5" s="3624"/>
      <c r="I5" s="3627" t="s">
        <v>2016</v>
      </c>
      <c r="J5" s="3624"/>
      <c r="K5" s="1892"/>
      <c r="L5" s="2909"/>
      <c r="M5" s="2910"/>
      <c r="N5" s="2910"/>
      <c r="O5" s="2910"/>
      <c r="P5" s="3616"/>
      <c r="Q5" s="3617"/>
      <c r="R5" s="3600"/>
      <c r="S5" s="3601"/>
      <c r="T5" s="3600"/>
      <c r="U5" s="3601"/>
      <c r="V5" s="3620"/>
      <c r="W5" s="3620"/>
      <c r="X5" s="1594"/>
      <c r="Y5" s="3600"/>
      <c r="Z5" s="3601"/>
      <c r="AA5" s="3608"/>
      <c r="AB5" s="3608"/>
      <c r="AC5" s="3608"/>
    </row>
    <row r="6" spans="1:30" ht="15.75" thickBot="1">
      <c r="A6" s="1599"/>
      <c r="B6" s="1600"/>
      <c r="C6" s="3625" t="s">
        <v>2017</v>
      </c>
      <c r="D6" s="3626"/>
      <c r="E6" s="3628" t="s">
        <v>2017</v>
      </c>
      <c r="F6" s="3629"/>
      <c r="G6" s="3625" t="s">
        <v>2017</v>
      </c>
      <c r="H6" s="3626"/>
      <c r="I6" s="3625" t="s">
        <v>2017</v>
      </c>
      <c r="J6" s="3626"/>
      <c r="K6" s="1892" t="s">
        <v>2018</v>
      </c>
      <c r="L6" s="2909"/>
      <c r="M6" s="2910"/>
      <c r="N6" s="2910"/>
      <c r="O6" s="2910"/>
      <c r="P6" s="3618"/>
      <c r="Q6" s="3619"/>
      <c r="R6" s="3600"/>
      <c r="S6" s="3601"/>
      <c r="T6" s="3602"/>
      <c r="U6" s="3603"/>
      <c r="V6" s="3620"/>
      <c r="W6" s="3620"/>
      <c r="X6" s="1594"/>
      <c r="Y6" s="3602"/>
      <c r="Z6" s="3603"/>
      <c r="AA6" s="3609"/>
      <c r="AB6" s="3609"/>
      <c r="AC6" s="3609"/>
    </row>
    <row r="7" spans="1:30" s="1613" customFormat="1" ht="15.75" thickBot="1">
      <c r="A7" s="1601" t="s">
        <v>2019</v>
      </c>
      <c r="B7" s="1602"/>
      <c r="C7" s="1603">
        <f>'数据-取费表'!B2</f>
        <v>44725</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96" t="s">
        <v>2020</v>
      </c>
      <c r="Q7" s="3604"/>
      <c r="R7" s="1609" t="s">
        <v>25</v>
      </c>
      <c r="S7" s="1610">
        <f t="shared" ref="S7:S15" si="0">F7</f>
        <v>0</v>
      </c>
      <c r="T7" s="1609" t="s">
        <v>25</v>
      </c>
      <c r="U7" s="1610">
        <f t="shared" ref="U7:U15" si="1">H7</f>
        <v>0</v>
      </c>
      <c r="V7" s="1609" t="s">
        <v>25</v>
      </c>
      <c r="W7" s="1610">
        <f t="shared" ref="W7:W15" si="2">J7</f>
        <v>0</v>
      </c>
      <c r="X7" s="1611"/>
      <c r="Y7" s="3596" t="s">
        <v>2020</v>
      </c>
      <c r="Z7" s="359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96" t="s">
        <v>2023</v>
      </c>
      <c r="Q8" s="3597"/>
      <c r="R8" s="1609" t="s">
        <v>25</v>
      </c>
      <c r="S8" s="1610">
        <f t="shared" si="0"/>
        <v>0</v>
      </c>
      <c r="T8" s="1609" t="s">
        <v>25</v>
      </c>
      <c r="U8" s="1610">
        <f t="shared" si="1"/>
        <v>0</v>
      </c>
      <c r="V8" s="1609" t="s">
        <v>25</v>
      </c>
      <c r="W8" s="1610">
        <f t="shared" si="2"/>
        <v>0</v>
      </c>
      <c r="X8" s="1611"/>
      <c r="Y8" s="3596" t="s">
        <v>2023</v>
      </c>
      <c r="Z8" s="3597"/>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88" t="s">
        <v>2026</v>
      </c>
      <c r="Q9" s="1563" t="str">
        <f t="shared" ref="Q9:Q15" si="6">B9</f>
        <v>用途</v>
      </c>
      <c r="R9" s="1609" t="s">
        <v>25</v>
      </c>
      <c r="S9" s="1610">
        <f t="shared" si="0"/>
        <v>100</v>
      </c>
      <c r="T9" s="1609" t="s">
        <v>25</v>
      </c>
      <c r="U9" s="1610">
        <f t="shared" si="1"/>
        <v>100</v>
      </c>
      <c r="V9" s="1609" t="s">
        <v>25</v>
      </c>
      <c r="W9" s="1610">
        <f t="shared" si="2"/>
        <v>100</v>
      </c>
      <c r="X9" s="1611"/>
      <c r="Y9" s="348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107</v>
      </c>
      <c r="G10" s="1686"/>
      <c r="H10" s="1626">
        <f>ROUND(100/'数据-取费表'!B14,0)</f>
        <v>107</v>
      </c>
      <c r="I10" s="1686"/>
      <c r="J10" s="1626">
        <f>ROUND(100/'数据-取费表'!B14,0)</f>
        <v>107</v>
      </c>
      <c r="K10" s="1896"/>
      <c r="L10" s="2911"/>
      <c r="M10" s="2912"/>
      <c r="N10" s="2912"/>
      <c r="O10" s="2957"/>
      <c r="P10" s="3588"/>
      <c r="Q10" s="1563" t="str">
        <f t="shared" si="6"/>
        <v>土地使用年限（年）</v>
      </c>
      <c r="R10" s="1609" t="s">
        <v>25</v>
      </c>
      <c r="S10" s="1610">
        <f t="shared" si="0"/>
        <v>107</v>
      </c>
      <c r="T10" s="1609" t="s">
        <v>25</v>
      </c>
      <c r="U10" s="1610">
        <f t="shared" si="1"/>
        <v>107</v>
      </c>
      <c r="V10" s="1609" t="s">
        <v>25</v>
      </c>
      <c r="W10" s="1610">
        <f t="shared" si="2"/>
        <v>107</v>
      </c>
      <c r="X10" s="1611"/>
      <c r="Y10" s="3481"/>
      <c r="Z10" s="1622" t="str">
        <f t="shared" si="7"/>
        <v>土地使用年限（年）</v>
      </c>
      <c r="AA10" s="1612">
        <f t="shared" si="3"/>
        <v>0.93457943925233644</v>
      </c>
      <c r="AB10" s="1612">
        <f t="shared" si="4"/>
        <v>0.93457943925233644</v>
      </c>
      <c r="AC10" s="1612">
        <f t="shared" si="5"/>
        <v>0.93457943925233644</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88"/>
      <c r="Q11" s="1563" t="str">
        <f t="shared" si="6"/>
        <v>容积率</v>
      </c>
      <c r="R11" s="1609" t="s">
        <v>25</v>
      </c>
      <c r="S11" s="1610" t="e">
        <f t="shared" si="0"/>
        <v>#N/A</v>
      </c>
      <c r="T11" s="1609" t="s">
        <v>25</v>
      </c>
      <c r="U11" s="1610" t="e">
        <f t="shared" si="1"/>
        <v>#N/A</v>
      </c>
      <c r="V11" s="1609" t="s">
        <v>25</v>
      </c>
      <c r="W11" s="1610" t="e">
        <f t="shared" si="2"/>
        <v>#N/A</v>
      </c>
      <c r="X11" s="1611"/>
      <c r="Y11" s="348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88"/>
      <c r="Q12" s="1563" t="str">
        <f t="shared" si="6"/>
        <v>配建</v>
      </c>
      <c r="R12" s="1609" t="s">
        <v>25</v>
      </c>
      <c r="S12" s="1610">
        <f t="shared" si="0"/>
        <v>100</v>
      </c>
      <c r="T12" s="1609" t="s">
        <v>25</v>
      </c>
      <c r="U12" s="1610">
        <f t="shared" si="1"/>
        <v>100</v>
      </c>
      <c r="V12" s="1609" t="s">
        <v>25</v>
      </c>
      <c r="W12" s="1610">
        <f t="shared" si="2"/>
        <v>100</v>
      </c>
      <c r="X12" s="1611"/>
      <c r="Y12" s="3481"/>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88"/>
      <c r="Q13" s="1563">
        <f t="shared" si="6"/>
        <v>111</v>
      </c>
      <c r="R13" s="1609" t="s">
        <v>25</v>
      </c>
      <c r="S13" s="1610">
        <f t="shared" si="0"/>
        <v>100</v>
      </c>
      <c r="T13" s="1609" t="s">
        <v>25</v>
      </c>
      <c r="U13" s="1610">
        <f t="shared" si="1"/>
        <v>100</v>
      </c>
      <c r="V13" s="1609" t="s">
        <v>25</v>
      </c>
      <c r="W13" s="1610">
        <f t="shared" si="2"/>
        <v>100</v>
      </c>
      <c r="X13" s="1611"/>
      <c r="Y13" s="3481"/>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88"/>
      <c r="Q14" s="1563">
        <f t="shared" si="6"/>
        <v>111</v>
      </c>
      <c r="R14" s="1609" t="s">
        <v>25</v>
      </c>
      <c r="S14" s="1610">
        <f t="shared" si="0"/>
        <v>100</v>
      </c>
      <c r="T14" s="1609" t="s">
        <v>25</v>
      </c>
      <c r="U14" s="1610">
        <f t="shared" si="1"/>
        <v>100</v>
      </c>
      <c r="V14" s="1609" t="s">
        <v>25</v>
      </c>
      <c r="W14" s="1610">
        <f t="shared" si="2"/>
        <v>100</v>
      </c>
      <c r="X14" s="1611"/>
      <c r="Y14" s="3481"/>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605" t="s">
        <v>2031</v>
      </c>
      <c r="Q15" s="1544" t="str">
        <f t="shared" si="6"/>
        <v>居住社区成熟度</v>
      </c>
      <c r="R15" s="1654" t="s">
        <v>25</v>
      </c>
      <c r="S15" s="1655">
        <f t="shared" si="0"/>
        <v>100</v>
      </c>
      <c r="T15" s="1654" t="s">
        <v>25</v>
      </c>
      <c r="U15" s="1655">
        <f t="shared" si="1"/>
        <v>100</v>
      </c>
      <c r="V15" s="1654" t="s">
        <v>25</v>
      </c>
      <c r="W15" s="1655">
        <f t="shared" si="2"/>
        <v>100</v>
      </c>
      <c r="X15" s="1594"/>
      <c r="Y15" s="3605"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606"/>
      <c r="Q16" s="1544"/>
      <c r="R16" s="1654"/>
      <c r="S16" s="1655"/>
      <c r="T16" s="1654"/>
      <c r="U16" s="1655"/>
      <c r="V16" s="1654"/>
      <c r="W16" s="1655"/>
      <c r="X16" s="1594"/>
      <c r="Y16" s="3606"/>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606"/>
      <c r="Q17" s="1544" t="str">
        <f>B17</f>
        <v>商业繁华度</v>
      </c>
      <c r="R17" s="1654" t="s">
        <v>25</v>
      </c>
      <c r="S17" s="1655">
        <f>F17</f>
        <v>100</v>
      </c>
      <c r="T17" s="1654" t="s">
        <v>25</v>
      </c>
      <c r="U17" s="1655">
        <f>H17</f>
        <v>100</v>
      </c>
      <c r="V17" s="1654" t="s">
        <v>25</v>
      </c>
      <c r="W17" s="1655">
        <f>J17</f>
        <v>100</v>
      </c>
      <c r="X17" s="1594"/>
      <c r="Y17" s="3606"/>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606"/>
      <c r="Q18" s="1544"/>
      <c r="R18" s="1654"/>
      <c r="S18" s="1655"/>
      <c r="T18" s="1654"/>
      <c r="U18" s="1655"/>
      <c r="V18" s="1654"/>
      <c r="W18" s="1655"/>
      <c r="X18" s="1594"/>
      <c r="Y18" s="3606"/>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606"/>
      <c r="Q19" s="1544" t="str">
        <f>B19</f>
        <v>办公集聚程度</v>
      </c>
      <c r="R19" s="1654" t="s">
        <v>25</v>
      </c>
      <c r="S19" s="1655">
        <f>F19</f>
        <v>100</v>
      </c>
      <c r="T19" s="1654" t="s">
        <v>25</v>
      </c>
      <c r="U19" s="1655">
        <f>H19</f>
        <v>100</v>
      </c>
      <c r="V19" s="1654" t="s">
        <v>25</v>
      </c>
      <c r="W19" s="1655">
        <f>J19</f>
        <v>100</v>
      </c>
      <c r="X19" s="1594"/>
      <c r="Y19" s="3606"/>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606"/>
      <c r="Q20" s="1544"/>
      <c r="R20" s="1654"/>
      <c r="S20" s="1655"/>
      <c r="T20" s="1654"/>
      <c r="U20" s="1655"/>
      <c r="V20" s="1654"/>
      <c r="W20" s="1655"/>
      <c r="X20" s="1594"/>
      <c r="Y20" s="3606"/>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606"/>
      <c r="Q21" s="1544" t="str">
        <f>B21</f>
        <v>交通便捷度</v>
      </c>
      <c r="R21" s="1654" t="s">
        <v>25</v>
      </c>
      <c r="S21" s="1655">
        <f>F21</f>
        <v>100</v>
      </c>
      <c r="T21" s="1654" t="s">
        <v>25</v>
      </c>
      <c r="U21" s="1655">
        <f>H21</f>
        <v>100</v>
      </c>
      <c r="V21" s="1654" t="s">
        <v>25</v>
      </c>
      <c r="W21" s="1655">
        <f>J21</f>
        <v>100</v>
      </c>
      <c r="X21" s="1594"/>
      <c r="Y21" s="3606"/>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606"/>
      <c r="Q22" s="1544"/>
      <c r="R22" s="1654"/>
      <c r="S22" s="1655"/>
      <c r="T22" s="1654"/>
      <c r="U22" s="1655"/>
      <c r="V22" s="1654"/>
      <c r="W22" s="1655"/>
      <c r="X22" s="1594"/>
      <c r="Y22" s="3606"/>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606"/>
      <c r="Q23" s="1544" t="str">
        <f t="shared" ref="Q23:Q37" si="8">B23</f>
        <v>区域土地利用方向</v>
      </c>
      <c r="R23" s="1654" t="s">
        <v>25</v>
      </c>
      <c r="S23" s="1655">
        <f>F23</f>
        <v>100</v>
      </c>
      <c r="T23" s="1654" t="s">
        <v>25</v>
      </c>
      <c r="U23" s="1655">
        <f>H23</f>
        <v>100</v>
      </c>
      <c r="V23" s="1654" t="s">
        <v>25</v>
      </c>
      <c r="W23" s="1655">
        <f>J23</f>
        <v>100</v>
      </c>
      <c r="X23" s="1594"/>
      <c r="Y23" s="3606"/>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606"/>
      <c r="Q24" s="1544"/>
      <c r="R24" s="1654"/>
      <c r="S24" s="1655"/>
      <c r="T24" s="1654"/>
      <c r="U24" s="1655"/>
      <c r="V24" s="1654"/>
      <c r="W24" s="1655"/>
      <c r="X24" s="1594"/>
      <c r="Y24" s="3606"/>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606"/>
      <c r="Q25" s="1544" t="str">
        <f t="shared" si="8"/>
        <v>自然及人文环境状况</v>
      </c>
      <c r="R25" s="1654" t="s">
        <v>25</v>
      </c>
      <c r="S25" s="1655">
        <f>F25</f>
        <v>100</v>
      </c>
      <c r="T25" s="1654" t="s">
        <v>25</v>
      </c>
      <c r="U25" s="1655">
        <f>H25</f>
        <v>100</v>
      </c>
      <c r="V25" s="1654" t="s">
        <v>25</v>
      </c>
      <c r="W25" s="1655">
        <f>J25</f>
        <v>100</v>
      </c>
      <c r="X25" s="1594"/>
      <c r="Y25" s="3606"/>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606"/>
      <c r="Q26" s="1544"/>
      <c r="R26" s="1654"/>
      <c r="S26" s="1655"/>
      <c r="T26" s="1654"/>
      <c r="U26" s="1655"/>
      <c r="V26" s="1654"/>
      <c r="W26" s="1655"/>
      <c r="X26" s="1594"/>
      <c r="Y26" s="3606"/>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606"/>
      <c r="Q27" s="1563" t="str">
        <f t="shared" ref="Q27" si="9">B27</f>
        <v>公共配套设施</v>
      </c>
      <c r="R27" s="1609" t="s">
        <v>25</v>
      </c>
      <c r="S27" s="1610">
        <f>F27</f>
        <v>100</v>
      </c>
      <c r="T27" s="1609" t="s">
        <v>25</v>
      </c>
      <c r="U27" s="1610">
        <f>H27</f>
        <v>100</v>
      </c>
      <c r="V27" s="1609" t="s">
        <v>25</v>
      </c>
      <c r="W27" s="1610">
        <f>J27</f>
        <v>100</v>
      </c>
      <c r="X27" s="1594"/>
      <c r="Y27" s="3606"/>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606"/>
      <c r="Q28" s="1544"/>
      <c r="R28" s="1654"/>
      <c r="S28" s="1655"/>
      <c r="T28" s="1654"/>
      <c r="U28" s="1655"/>
      <c r="V28" s="1654"/>
      <c r="W28" s="1655"/>
      <c r="X28" s="1594"/>
      <c r="Y28" s="3606"/>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606"/>
      <c r="Q29" s="1563" t="str">
        <f t="shared" si="8"/>
        <v>基础设施水平</v>
      </c>
      <c r="R29" s="1609" t="s">
        <v>25</v>
      </c>
      <c r="S29" s="1610">
        <f>F29</f>
        <v>100</v>
      </c>
      <c r="T29" s="1609" t="s">
        <v>25</v>
      </c>
      <c r="U29" s="1610">
        <f>H29</f>
        <v>100</v>
      </c>
      <c r="V29" s="1609" t="s">
        <v>25</v>
      </c>
      <c r="W29" s="1610">
        <f>J29</f>
        <v>100</v>
      </c>
      <c r="X29" s="1611"/>
      <c r="Y29" s="3606"/>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606"/>
      <c r="Q30" s="1563"/>
      <c r="R30" s="1609"/>
      <c r="S30" s="1610"/>
      <c r="T30" s="1609"/>
      <c r="U30" s="1610"/>
      <c r="V30" s="1609"/>
      <c r="W30" s="1610"/>
      <c r="X30" s="1611"/>
      <c r="Y30" s="3606"/>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60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6"/>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606"/>
      <c r="Q32" s="1544" t="str">
        <f t="shared" si="8"/>
        <v>毗邻道路的类型与等级</v>
      </c>
      <c r="R32" s="1654" t="s">
        <v>25</v>
      </c>
      <c r="S32" s="1655">
        <f t="shared" si="10"/>
        <v>100</v>
      </c>
      <c r="T32" s="1654" t="s">
        <v>25</v>
      </c>
      <c r="U32" s="1655">
        <f t="shared" si="11"/>
        <v>100</v>
      </c>
      <c r="V32" s="1654" t="s">
        <v>25</v>
      </c>
      <c r="W32" s="1655">
        <f t="shared" si="12"/>
        <v>100</v>
      </c>
      <c r="X32" s="1594"/>
      <c r="Y32" s="3606"/>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606"/>
      <c r="Q33" s="1544"/>
      <c r="R33" s="1654"/>
      <c r="S33" s="1655"/>
      <c r="T33" s="1654"/>
      <c r="U33" s="1655"/>
      <c r="V33" s="1654"/>
      <c r="W33" s="1655"/>
      <c r="X33" s="1594"/>
      <c r="Y33" s="3606"/>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606"/>
      <c r="Q34" s="1544" t="str">
        <f t="shared" si="8"/>
        <v>土地级别</v>
      </c>
      <c r="R34" s="1654" t="s">
        <v>25</v>
      </c>
      <c r="S34" s="1655">
        <f t="shared" si="10"/>
        <v>100</v>
      </c>
      <c r="T34" s="1654" t="s">
        <v>25</v>
      </c>
      <c r="U34" s="1655">
        <f t="shared" si="11"/>
        <v>100</v>
      </c>
      <c r="V34" s="1654" t="s">
        <v>25</v>
      </c>
      <c r="W34" s="1655">
        <f t="shared" si="12"/>
        <v>100</v>
      </c>
      <c r="X34" s="1594"/>
      <c r="Y34" s="3606"/>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606"/>
      <c r="Q35" s="1544">
        <f t="shared" si="8"/>
        <v>111</v>
      </c>
      <c r="R35" s="1654" t="s">
        <v>25</v>
      </c>
      <c r="S35" s="1655">
        <f t="shared" si="10"/>
        <v>100</v>
      </c>
      <c r="T35" s="1654" t="s">
        <v>25</v>
      </c>
      <c r="U35" s="1655">
        <f t="shared" si="11"/>
        <v>100</v>
      </c>
      <c r="V35" s="1654" t="s">
        <v>25</v>
      </c>
      <c r="W35" s="1655">
        <f t="shared" si="12"/>
        <v>100</v>
      </c>
      <c r="X35" s="1594"/>
      <c r="Y35" s="3606"/>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593" t="s">
        <v>2037</v>
      </c>
      <c r="Q36" s="1544">
        <f t="shared" si="8"/>
        <v>111</v>
      </c>
      <c r="R36" s="1654" t="s">
        <v>25</v>
      </c>
      <c r="S36" s="1655">
        <f t="shared" si="10"/>
        <v>100</v>
      </c>
      <c r="T36" s="1654" t="s">
        <v>25</v>
      </c>
      <c r="U36" s="1655">
        <f t="shared" si="11"/>
        <v>100</v>
      </c>
      <c r="V36" s="1654" t="s">
        <v>25</v>
      </c>
      <c r="W36" s="1655">
        <f t="shared" si="12"/>
        <v>100</v>
      </c>
      <c r="X36" s="1594"/>
      <c r="Y36" s="3594"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594"/>
      <c r="Q37" s="1544">
        <f t="shared" si="8"/>
        <v>111</v>
      </c>
      <c r="R37" s="1696" t="s">
        <v>25</v>
      </c>
      <c r="S37" s="1697">
        <f t="shared" si="10"/>
        <v>100</v>
      </c>
      <c r="T37" s="1696" t="s">
        <v>25</v>
      </c>
      <c r="U37" s="1697">
        <f t="shared" si="11"/>
        <v>100</v>
      </c>
      <c r="V37" s="1696" t="s">
        <v>25</v>
      </c>
      <c r="W37" s="1697">
        <f t="shared" si="12"/>
        <v>100</v>
      </c>
      <c r="X37" s="1698"/>
      <c r="Y37" s="3594"/>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594"/>
      <c r="Q38" s="1544" t="str">
        <f>B38</f>
        <v>宗地面积</v>
      </c>
      <c r="R38" s="1654" t="s">
        <v>25</v>
      </c>
      <c r="S38" s="1655" t="e">
        <f t="shared" si="10"/>
        <v>#N/A</v>
      </c>
      <c r="T38" s="1654" t="s">
        <v>25</v>
      </c>
      <c r="U38" s="1655" t="e">
        <f t="shared" si="11"/>
        <v>#N/A</v>
      </c>
      <c r="V38" s="1654" t="s">
        <v>25</v>
      </c>
      <c r="W38" s="1655" t="e">
        <f t="shared" si="12"/>
        <v>#N/A</v>
      </c>
      <c r="X38" s="1594"/>
      <c r="Y38" s="3594"/>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594"/>
      <c r="Q39" s="1544" t="str">
        <f t="shared" ref="Q39:Q45" si="14">B39</f>
        <v>宗地形状</v>
      </c>
      <c r="R39" s="1654" t="s">
        <v>25</v>
      </c>
      <c r="S39" s="1655">
        <f t="shared" si="10"/>
        <v>100</v>
      </c>
      <c r="T39" s="1654" t="s">
        <v>25</v>
      </c>
      <c r="U39" s="1655">
        <f t="shared" si="11"/>
        <v>100</v>
      </c>
      <c r="V39" s="1654" t="s">
        <v>25</v>
      </c>
      <c r="W39" s="1655">
        <f t="shared" si="12"/>
        <v>100</v>
      </c>
      <c r="X39" s="1594"/>
      <c r="Y39" s="3594"/>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594"/>
      <c r="Q40" s="1544" t="str">
        <f t="shared" si="14"/>
        <v>临街宽度及深度</v>
      </c>
      <c r="R40" s="1654" t="s">
        <v>25</v>
      </c>
      <c r="S40" s="1655">
        <f t="shared" si="10"/>
        <v>100</v>
      </c>
      <c r="T40" s="1654" t="s">
        <v>25</v>
      </c>
      <c r="U40" s="1655">
        <f t="shared" si="11"/>
        <v>100</v>
      </c>
      <c r="V40" s="1654" t="s">
        <v>25</v>
      </c>
      <c r="W40" s="1655">
        <f t="shared" si="12"/>
        <v>100</v>
      </c>
      <c r="X40" s="1594"/>
      <c r="Y40" s="3594"/>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594"/>
      <c r="Q41" s="1544" t="str">
        <f t="shared" si="14"/>
        <v>宗地开发程度</v>
      </c>
      <c r="R41" s="1609" t="s">
        <v>25</v>
      </c>
      <c r="S41" s="1610">
        <f t="shared" si="10"/>
        <v>100</v>
      </c>
      <c r="T41" s="1609" t="s">
        <v>25</v>
      </c>
      <c r="U41" s="1610">
        <f t="shared" si="11"/>
        <v>100</v>
      </c>
      <c r="V41" s="1609" t="s">
        <v>25</v>
      </c>
      <c r="W41" s="1610">
        <f t="shared" si="12"/>
        <v>100</v>
      </c>
      <c r="X41" s="1611"/>
      <c r="Y41" s="3594"/>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594" t="s">
        <v>2037</v>
      </c>
      <c r="Q42" s="1544" t="str">
        <f t="shared" si="14"/>
        <v>工程地质条件</v>
      </c>
      <c r="R42" s="1654" t="s">
        <v>25</v>
      </c>
      <c r="S42" s="1655">
        <f t="shared" si="10"/>
        <v>100</v>
      </c>
      <c r="T42" s="1654" t="s">
        <v>25</v>
      </c>
      <c r="U42" s="1655">
        <f t="shared" si="11"/>
        <v>100</v>
      </c>
      <c r="V42" s="1654" t="s">
        <v>25</v>
      </c>
      <c r="W42" s="1655">
        <f t="shared" si="12"/>
        <v>100</v>
      </c>
      <c r="X42" s="1594"/>
      <c r="Y42" s="3594"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594"/>
      <c r="Q43" s="1544">
        <f t="shared" si="14"/>
        <v>111</v>
      </c>
      <c r="R43" s="1654" t="s">
        <v>25</v>
      </c>
      <c r="S43" s="1655">
        <f t="shared" si="10"/>
        <v>100</v>
      </c>
      <c r="T43" s="1654" t="s">
        <v>25</v>
      </c>
      <c r="U43" s="1655">
        <f t="shared" si="11"/>
        <v>100</v>
      </c>
      <c r="V43" s="1654" t="s">
        <v>25</v>
      </c>
      <c r="W43" s="1655">
        <f t="shared" si="12"/>
        <v>100</v>
      </c>
      <c r="X43" s="1594"/>
      <c r="Y43" s="3594"/>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594"/>
      <c r="Q44" s="1544">
        <f t="shared" si="14"/>
        <v>111</v>
      </c>
      <c r="R44" s="1654" t="s">
        <v>25</v>
      </c>
      <c r="S44" s="1655">
        <f t="shared" si="10"/>
        <v>100</v>
      </c>
      <c r="T44" s="1654" t="s">
        <v>25</v>
      </c>
      <c r="U44" s="1655">
        <f t="shared" si="11"/>
        <v>100</v>
      </c>
      <c r="V44" s="1654" t="s">
        <v>25</v>
      </c>
      <c r="W44" s="1655">
        <f t="shared" si="12"/>
        <v>100</v>
      </c>
      <c r="X44" s="1594"/>
      <c r="Y44" s="3594"/>
      <c r="Z44" s="1656">
        <f t="shared" si="13"/>
        <v>111</v>
      </c>
      <c r="AA44" s="1657">
        <f t="shared" si="3"/>
        <v>1</v>
      </c>
      <c r="AB44" s="1657">
        <f t="shared" si="4"/>
        <v>1</v>
      </c>
      <c r="AC44" s="1657">
        <f t="shared" si="5"/>
        <v>1</v>
      </c>
    </row>
    <row r="45" spans="1:29" s="1700" customFormat="1" ht="15.75" thickBot="1">
      <c r="A45" s="1693"/>
      <c r="B45" s="1930">
        <v>111</v>
      </c>
      <c r="C45" s="1931"/>
      <c r="D45" s="3057">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594"/>
      <c r="Q45" s="1544">
        <f t="shared" si="14"/>
        <v>111</v>
      </c>
      <c r="R45" s="1696" t="s">
        <v>25</v>
      </c>
      <c r="S45" s="1697">
        <f t="shared" si="10"/>
        <v>100</v>
      </c>
      <c r="T45" s="1696" t="s">
        <v>25</v>
      </c>
      <c r="U45" s="1697">
        <f t="shared" si="11"/>
        <v>100</v>
      </c>
      <c r="V45" s="1696" t="s">
        <v>25</v>
      </c>
      <c r="W45" s="1697">
        <f t="shared" si="12"/>
        <v>100</v>
      </c>
      <c r="X45" s="1698"/>
      <c r="Y45" s="3594"/>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88" t="str">
        <f>A46</f>
        <v>成交单价</v>
      </c>
      <c r="Q46" s="3588"/>
      <c r="R46" s="3620">
        <f>E46</f>
        <v>0</v>
      </c>
      <c r="S46" s="3620"/>
      <c r="T46" s="3620">
        <f>G46</f>
        <v>0</v>
      </c>
      <c r="U46" s="3620"/>
      <c r="V46" s="3620">
        <f>I46</f>
        <v>0</v>
      </c>
      <c r="W46" s="3620"/>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88" t="str">
        <f>A47</f>
        <v>比较价值（元/平方米）</v>
      </c>
      <c r="Q47" s="3588"/>
      <c r="R47" s="3707" t="e">
        <f>ROUND(PRODUCT(R46,AA7:AA45),0)</f>
        <v>#DIV/0!</v>
      </c>
      <c r="S47" s="3707"/>
      <c r="T47" s="3707" t="e">
        <f>ROUND(PRODUCT(T46,AB7:AB45),0)</f>
        <v>#DIV/0!</v>
      </c>
      <c r="U47" s="3707"/>
      <c r="V47" s="3707" t="e">
        <f>ROUND(PRODUCT(V46,AC7:AC45),0)</f>
        <v>#DIV/0!</v>
      </c>
      <c r="W47" s="3707"/>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590" t="str">
        <f>A48</f>
        <v>估价对象XX用房的比较价值（楼面单价，元/平方米）</v>
      </c>
      <c r="Q48" s="3591"/>
      <c r="R48" s="3708" t="e">
        <f>ROUND(IF(D47="简单平均",AVERAGE(R47:W47),R47*F47+T47*H47+V47*J47),0)</f>
        <v>#DIV/0!</v>
      </c>
      <c r="S48" s="3708"/>
      <c r="T48" s="3708"/>
      <c r="U48" s="3708"/>
      <c r="V48" s="3708"/>
      <c r="W48" s="3708"/>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2022-6-1</v>
      </c>
      <c r="D67" s="1967">
        <f>EDATE(C67,-3)</f>
        <v>44621</v>
      </c>
      <c r="E67" s="1967">
        <f t="shared" ref="E67:O67" si="18">EDATE(D67,-3)</f>
        <v>44531</v>
      </c>
      <c r="F67" s="1967">
        <f t="shared" si="18"/>
        <v>44440</v>
      </c>
      <c r="G67" s="1967">
        <f t="shared" si="18"/>
        <v>44348</v>
      </c>
      <c r="H67" s="1967">
        <f t="shared" si="18"/>
        <v>44256</v>
      </c>
      <c r="I67" s="1967">
        <f t="shared" si="18"/>
        <v>44166</v>
      </c>
      <c r="J67" s="1967">
        <f t="shared" si="18"/>
        <v>44075</v>
      </c>
      <c r="K67" s="1967">
        <f t="shared" si="18"/>
        <v>43983</v>
      </c>
      <c r="L67" s="1967">
        <f t="shared" si="18"/>
        <v>43891</v>
      </c>
      <c r="M67" s="1967">
        <f t="shared" si="18"/>
        <v>43800</v>
      </c>
      <c r="N67" s="1967">
        <f t="shared" si="18"/>
        <v>43709</v>
      </c>
      <c r="O67" s="1967">
        <f t="shared" si="18"/>
        <v>43617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88" t="s">
        <v>2007</v>
      </c>
      <c r="D4" s="3689"/>
      <c r="E4" s="3690" t="s">
        <v>2008</v>
      </c>
      <c r="F4" s="3691"/>
      <c r="G4" s="3688" t="s">
        <v>2009</v>
      </c>
      <c r="H4" s="3689"/>
      <c r="I4" s="3688" t="s">
        <v>2010</v>
      </c>
      <c r="J4" s="3689"/>
      <c r="K4" s="496" t="s">
        <v>2011</v>
      </c>
      <c r="L4" s="2937"/>
      <c r="M4" s="2938"/>
      <c r="N4" s="2938"/>
      <c r="O4" s="2938"/>
      <c r="P4" s="3692" t="s">
        <v>2012</v>
      </c>
      <c r="Q4" s="3693"/>
      <c r="R4" s="3675" t="s">
        <v>2008</v>
      </c>
      <c r="S4" s="3676"/>
      <c r="T4" s="3675" t="s">
        <v>2009</v>
      </c>
      <c r="U4" s="3676"/>
      <c r="V4" s="3698" t="s">
        <v>2010</v>
      </c>
      <c r="W4" s="3698"/>
      <c r="X4" s="1263"/>
      <c r="Y4" s="3675" t="s">
        <v>2012</v>
      </c>
      <c r="Z4" s="3676"/>
      <c r="AA4" s="3685" t="s">
        <v>2008</v>
      </c>
      <c r="AB4" s="3686" t="s">
        <v>2009</v>
      </c>
      <c r="AC4" s="3685" t="s">
        <v>2010</v>
      </c>
    </row>
    <row r="5" spans="1:29" ht="15">
      <c r="A5" s="297"/>
      <c r="B5" s="298"/>
      <c r="C5" s="3701" t="s">
        <v>2013</v>
      </c>
      <c r="D5" s="3702"/>
      <c r="E5" s="3699" t="s">
        <v>2014</v>
      </c>
      <c r="F5" s="3700"/>
      <c r="G5" s="3701" t="s">
        <v>2015</v>
      </c>
      <c r="H5" s="3702"/>
      <c r="I5" s="3701" t="s">
        <v>2016</v>
      </c>
      <c r="J5" s="3702"/>
      <c r="K5" s="496"/>
      <c r="L5" s="2937"/>
      <c r="M5" s="2938"/>
      <c r="N5" s="2938"/>
      <c r="O5" s="2938"/>
      <c r="P5" s="3694"/>
      <c r="Q5" s="3695"/>
      <c r="R5" s="3677"/>
      <c r="S5" s="3678"/>
      <c r="T5" s="3677"/>
      <c r="U5" s="3678"/>
      <c r="V5" s="3698"/>
      <c r="W5" s="3698"/>
      <c r="X5" s="1263"/>
      <c r="Y5" s="3677"/>
      <c r="Z5" s="3678"/>
      <c r="AA5" s="3686"/>
      <c r="AB5" s="3686"/>
      <c r="AC5" s="3686"/>
    </row>
    <row r="6" spans="1:29" ht="15.75" thickBot="1">
      <c r="A6" s="299"/>
      <c r="B6" s="300"/>
      <c r="C6" s="3703" t="s">
        <v>2017</v>
      </c>
      <c r="D6" s="3704"/>
      <c r="E6" s="3705" t="s">
        <v>2017</v>
      </c>
      <c r="F6" s="3706"/>
      <c r="G6" s="3703" t="s">
        <v>2017</v>
      </c>
      <c r="H6" s="3704"/>
      <c r="I6" s="3703" t="s">
        <v>2017</v>
      </c>
      <c r="J6" s="3704"/>
      <c r="K6" s="496" t="s">
        <v>2018</v>
      </c>
      <c r="L6" s="2937"/>
      <c r="M6" s="2938"/>
      <c r="N6" s="2938"/>
      <c r="O6" s="2938"/>
      <c r="P6" s="3696"/>
      <c r="Q6" s="3697"/>
      <c r="R6" s="3677"/>
      <c r="S6" s="3678"/>
      <c r="T6" s="3679"/>
      <c r="U6" s="3680"/>
      <c r="V6" s="3698"/>
      <c r="W6" s="3698"/>
      <c r="X6" s="1263"/>
      <c r="Y6" s="3679"/>
      <c r="Z6" s="3680"/>
      <c r="AA6" s="3687"/>
      <c r="AB6" s="3687"/>
      <c r="AC6" s="3687"/>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73" t="s">
        <v>2020</v>
      </c>
      <c r="Q7" s="3681"/>
      <c r="R7" s="627" t="s">
        <v>25</v>
      </c>
      <c r="S7" s="628">
        <f t="shared" ref="S7:S15" si="0">F7</f>
        <v>0</v>
      </c>
      <c r="T7" s="627" t="s">
        <v>25</v>
      </c>
      <c r="U7" s="628">
        <f t="shared" ref="U7:U15" si="1">H7</f>
        <v>0</v>
      </c>
      <c r="V7" s="627" t="s">
        <v>25</v>
      </c>
      <c r="W7" s="628">
        <f t="shared" ref="W7:W15" si="2">J7</f>
        <v>0</v>
      </c>
      <c r="X7" s="629"/>
      <c r="Y7" s="3673" t="s">
        <v>2020</v>
      </c>
      <c r="Z7" s="367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73" t="s">
        <v>2023</v>
      </c>
      <c r="Q8" s="3674"/>
      <c r="R8" s="627" t="s">
        <v>25</v>
      </c>
      <c r="S8" s="628">
        <f t="shared" si="0"/>
        <v>0</v>
      </c>
      <c r="T8" s="627" t="s">
        <v>25</v>
      </c>
      <c r="U8" s="628">
        <f t="shared" si="1"/>
        <v>0</v>
      </c>
      <c r="V8" s="627" t="s">
        <v>25</v>
      </c>
      <c r="W8" s="628">
        <f t="shared" si="2"/>
        <v>0</v>
      </c>
      <c r="X8" s="629"/>
      <c r="Y8" s="3673" t="s">
        <v>2023</v>
      </c>
      <c r="Z8" s="367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65" t="s">
        <v>2026</v>
      </c>
      <c r="Q9" s="1255" t="str">
        <f t="shared" ref="Q9:Q15" si="6">B9</f>
        <v>用途</v>
      </c>
      <c r="R9" s="627" t="s">
        <v>25</v>
      </c>
      <c r="S9" s="628">
        <f t="shared" si="0"/>
        <v>100</v>
      </c>
      <c r="T9" s="627" t="s">
        <v>25</v>
      </c>
      <c r="U9" s="628">
        <f t="shared" si="1"/>
        <v>100</v>
      </c>
      <c r="V9" s="627" t="s">
        <v>25</v>
      </c>
      <c r="W9" s="628">
        <f t="shared" si="2"/>
        <v>100</v>
      </c>
      <c r="X9" s="629"/>
      <c r="Y9" s="368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107</v>
      </c>
      <c r="G10" s="322"/>
      <c r="H10" s="29">
        <f>ROUND(100/'数据-取费表'!B14,0)</f>
        <v>107</v>
      </c>
      <c r="I10" s="322"/>
      <c r="J10" s="29">
        <f>ROUND(100/'数据-取费表'!B14,0)</f>
        <v>107</v>
      </c>
      <c r="K10" s="553"/>
      <c r="L10" s="2942"/>
      <c r="M10" s="2943"/>
      <c r="N10" s="2943"/>
      <c r="O10" s="2944"/>
      <c r="P10" s="3665"/>
      <c r="Q10" s="1255" t="str">
        <f t="shared" si="6"/>
        <v>土地使用年限（年）</v>
      </c>
      <c r="R10" s="627" t="s">
        <v>25</v>
      </c>
      <c r="S10" s="628">
        <f t="shared" si="0"/>
        <v>107</v>
      </c>
      <c r="T10" s="627" t="s">
        <v>25</v>
      </c>
      <c r="U10" s="628">
        <f t="shared" si="1"/>
        <v>107</v>
      </c>
      <c r="V10" s="627" t="s">
        <v>25</v>
      </c>
      <c r="W10" s="628">
        <f t="shared" si="2"/>
        <v>107</v>
      </c>
      <c r="X10" s="629"/>
      <c r="Y10" s="3684"/>
      <c r="Z10" s="19" t="str">
        <f t="shared" si="7"/>
        <v>土地使用年限（年）</v>
      </c>
      <c r="AA10" s="630">
        <f t="shared" si="3"/>
        <v>0.93457943925233644</v>
      </c>
      <c r="AB10" s="630">
        <f t="shared" si="4"/>
        <v>0.93457943925233644</v>
      </c>
      <c r="AC10" s="630">
        <f t="shared" si="5"/>
        <v>0.93457943925233644</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65"/>
      <c r="Q11" s="1255"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65"/>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65"/>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65"/>
      <c r="Q14" s="1255">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82" t="s">
        <v>2031</v>
      </c>
      <c r="Q15" s="1262" t="str">
        <f t="shared" si="6"/>
        <v>产业集聚程度</v>
      </c>
      <c r="R15" s="631" t="s">
        <v>25</v>
      </c>
      <c r="S15" s="632">
        <f t="shared" si="0"/>
        <v>100</v>
      </c>
      <c r="T15" s="631" t="s">
        <v>25</v>
      </c>
      <c r="U15" s="632">
        <f t="shared" si="1"/>
        <v>100</v>
      </c>
      <c r="V15" s="631" t="s">
        <v>25</v>
      </c>
      <c r="W15" s="632">
        <f t="shared" si="2"/>
        <v>100</v>
      </c>
      <c r="X15" s="1263"/>
      <c r="Y15" s="368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83"/>
      <c r="Q16" s="1262"/>
      <c r="R16" s="631"/>
      <c r="S16" s="632"/>
      <c r="T16" s="631"/>
      <c r="U16" s="632"/>
      <c r="V16" s="631"/>
      <c r="W16" s="632"/>
      <c r="X16" s="1263"/>
      <c r="Y16" s="368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83"/>
      <c r="Q17" s="1262" t="str">
        <f>B17</f>
        <v>交通便捷度</v>
      </c>
      <c r="R17" s="631" t="s">
        <v>25</v>
      </c>
      <c r="S17" s="632">
        <f>F17</f>
        <v>100</v>
      </c>
      <c r="T17" s="631" t="s">
        <v>25</v>
      </c>
      <c r="U17" s="632">
        <f>H17</f>
        <v>100</v>
      </c>
      <c r="V17" s="631" t="s">
        <v>25</v>
      </c>
      <c r="W17" s="632">
        <f>J17</f>
        <v>100</v>
      </c>
      <c r="X17" s="1263"/>
      <c r="Y17" s="368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83"/>
      <c r="Q18" s="1262"/>
      <c r="R18" s="631"/>
      <c r="S18" s="632"/>
      <c r="T18" s="631"/>
      <c r="U18" s="632"/>
      <c r="V18" s="631"/>
      <c r="W18" s="632"/>
      <c r="X18" s="1263"/>
      <c r="Y18" s="368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83"/>
      <c r="Q19" s="1262" t="str">
        <f t="shared" ref="Q19:Q33" si="8">B19</f>
        <v>区域土地利用方向</v>
      </c>
      <c r="R19" s="631" t="s">
        <v>25</v>
      </c>
      <c r="S19" s="632">
        <f>F19</f>
        <v>100</v>
      </c>
      <c r="T19" s="631" t="s">
        <v>25</v>
      </c>
      <c r="U19" s="632">
        <f>H19</f>
        <v>100</v>
      </c>
      <c r="V19" s="631" t="s">
        <v>25</v>
      </c>
      <c r="W19" s="632">
        <f>J19</f>
        <v>100</v>
      </c>
      <c r="X19" s="1263"/>
      <c r="Y19" s="368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83"/>
      <c r="Q20" s="1262"/>
      <c r="R20" s="631"/>
      <c r="S20" s="632"/>
      <c r="T20" s="631"/>
      <c r="U20" s="632"/>
      <c r="V20" s="631"/>
      <c r="W20" s="632"/>
      <c r="X20" s="1263"/>
      <c r="Y20" s="368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83"/>
      <c r="Q21" s="1262" t="str">
        <f t="shared" si="8"/>
        <v>环境状况</v>
      </c>
      <c r="R21" s="631" t="s">
        <v>25</v>
      </c>
      <c r="S21" s="632">
        <f>F21</f>
        <v>100</v>
      </c>
      <c r="T21" s="631" t="s">
        <v>25</v>
      </c>
      <c r="U21" s="632">
        <f>H21</f>
        <v>100</v>
      </c>
      <c r="V21" s="631" t="s">
        <v>25</v>
      </c>
      <c r="W21" s="632">
        <f>J21</f>
        <v>100</v>
      </c>
      <c r="X21" s="1263"/>
      <c r="Y21" s="368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83"/>
      <c r="Q22" s="1262"/>
      <c r="R22" s="631"/>
      <c r="S22" s="632"/>
      <c r="T22" s="631"/>
      <c r="U22" s="632"/>
      <c r="V22" s="631"/>
      <c r="W22" s="632"/>
      <c r="X22" s="1263"/>
      <c r="Y22" s="368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83"/>
      <c r="Q23" s="1255" t="str">
        <f t="shared" si="8"/>
        <v>公共配套设施</v>
      </c>
      <c r="R23" s="627" t="s">
        <v>25</v>
      </c>
      <c r="S23" s="628">
        <f>F23</f>
        <v>100</v>
      </c>
      <c r="T23" s="627" t="s">
        <v>25</v>
      </c>
      <c r="U23" s="628">
        <f>H23</f>
        <v>100</v>
      </c>
      <c r="V23" s="627" t="s">
        <v>25</v>
      </c>
      <c r="W23" s="628">
        <f>J23</f>
        <v>100</v>
      </c>
      <c r="X23" s="629"/>
      <c r="Y23" s="368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83"/>
      <c r="Q24" s="1255"/>
      <c r="R24" s="627"/>
      <c r="S24" s="628"/>
      <c r="T24" s="627"/>
      <c r="U24" s="628"/>
      <c r="V24" s="627"/>
      <c r="W24" s="628"/>
      <c r="X24" s="629"/>
      <c r="Y24" s="368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83"/>
      <c r="Q25" s="1255" t="str">
        <f t="shared" ref="Q25" si="9">B25</f>
        <v>基础设施水平</v>
      </c>
      <c r="R25" s="627" t="s">
        <v>25</v>
      </c>
      <c r="S25" s="628">
        <f>F25</f>
        <v>100</v>
      </c>
      <c r="T25" s="627" t="s">
        <v>25</v>
      </c>
      <c r="U25" s="628">
        <f>H25</f>
        <v>100</v>
      </c>
      <c r="V25" s="627" t="s">
        <v>25</v>
      </c>
      <c r="W25" s="628">
        <f>J25</f>
        <v>100</v>
      </c>
      <c r="X25" s="629"/>
      <c r="Y25" s="368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83"/>
      <c r="Q26" s="1255"/>
      <c r="R26" s="627"/>
      <c r="S26" s="628"/>
      <c r="T26" s="627"/>
      <c r="U26" s="628"/>
      <c r="V26" s="627"/>
      <c r="W26" s="628"/>
      <c r="X26" s="629"/>
      <c r="Y26" s="368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8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83"/>
      <c r="Q28" s="1262" t="str">
        <f t="shared" si="8"/>
        <v>毗邻道路的类型与等级</v>
      </c>
      <c r="R28" s="631" t="s">
        <v>25</v>
      </c>
      <c r="S28" s="632">
        <f t="shared" si="10"/>
        <v>100</v>
      </c>
      <c r="T28" s="631" t="s">
        <v>25</v>
      </c>
      <c r="U28" s="632">
        <f t="shared" si="11"/>
        <v>100</v>
      </c>
      <c r="V28" s="631" t="s">
        <v>25</v>
      </c>
      <c r="W28" s="632">
        <f t="shared" si="12"/>
        <v>100</v>
      </c>
      <c r="X28" s="1263"/>
      <c r="Y28" s="368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83"/>
      <c r="Q29" s="1262"/>
      <c r="R29" s="631"/>
      <c r="S29" s="632"/>
      <c r="T29" s="631"/>
      <c r="U29" s="632"/>
      <c r="V29" s="631"/>
      <c r="W29" s="632"/>
      <c r="X29" s="1263"/>
      <c r="Y29" s="368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83"/>
      <c r="Q30" s="1262" t="str">
        <f t="shared" si="8"/>
        <v>土地级别</v>
      </c>
      <c r="R30" s="631" t="s">
        <v>25</v>
      </c>
      <c r="S30" s="632">
        <f t="shared" si="10"/>
        <v>100</v>
      </c>
      <c r="T30" s="631" t="s">
        <v>25</v>
      </c>
      <c r="U30" s="632">
        <f t="shared" si="11"/>
        <v>100</v>
      </c>
      <c r="V30" s="631" t="s">
        <v>25</v>
      </c>
      <c r="W30" s="632">
        <f t="shared" si="12"/>
        <v>100</v>
      </c>
      <c r="X30" s="1263"/>
      <c r="Y30" s="368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83"/>
      <c r="Q31" s="1262">
        <f t="shared" si="8"/>
        <v>111</v>
      </c>
      <c r="R31" s="631" t="s">
        <v>25</v>
      </c>
      <c r="S31" s="632">
        <f t="shared" si="10"/>
        <v>100</v>
      </c>
      <c r="T31" s="631" t="s">
        <v>25</v>
      </c>
      <c r="U31" s="632">
        <f t="shared" si="11"/>
        <v>100</v>
      </c>
      <c r="V31" s="631" t="s">
        <v>25</v>
      </c>
      <c r="W31" s="632">
        <f t="shared" si="12"/>
        <v>100</v>
      </c>
      <c r="X31" s="1263"/>
      <c r="Y31" s="368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70" t="s">
        <v>2037</v>
      </c>
      <c r="Q32" s="1262">
        <f t="shared" si="8"/>
        <v>111</v>
      </c>
      <c r="R32" s="631" t="s">
        <v>25</v>
      </c>
      <c r="S32" s="632">
        <f t="shared" si="10"/>
        <v>100</v>
      </c>
      <c r="T32" s="631" t="s">
        <v>25</v>
      </c>
      <c r="U32" s="632">
        <f t="shared" si="11"/>
        <v>100</v>
      </c>
      <c r="V32" s="631" t="s">
        <v>25</v>
      </c>
      <c r="W32" s="632">
        <f t="shared" si="12"/>
        <v>100</v>
      </c>
      <c r="X32" s="1263"/>
      <c r="Y32" s="3671"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71"/>
      <c r="Q33" s="1262">
        <f t="shared" si="8"/>
        <v>111</v>
      </c>
      <c r="R33" s="634" t="s">
        <v>25</v>
      </c>
      <c r="S33" s="635">
        <f t="shared" si="10"/>
        <v>100</v>
      </c>
      <c r="T33" s="634" t="s">
        <v>25</v>
      </c>
      <c r="U33" s="635">
        <f t="shared" si="11"/>
        <v>100</v>
      </c>
      <c r="V33" s="634" t="s">
        <v>25</v>
      </c>
      <c r="W33" s="635">
        <f t="shared" si="12"/>
        <v>100</v>
      </c>
      <c r="X33" s="636"/>
      <c r="Y33" s="3671"/>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71"/>
      <c r="Q34" s="1262" t="str">
        <f>B34</f>
        <v>宗地面积</v>
      </c>
      <c r="R34" s="631" t="s">
        <v>25</v>
      </c>
      <c r="S34" s="632" t="e">
        <f t="shared" si="10"/>
        <v>#N/A</v>
      </c>
      <c r="T34" s="631" t="s">
        <v>25</v>
      </c>
      <c r="U34" s="632" t="e">
        <f t="shared" si="11"/>
        <v>#N/A</v>
      </c>
      <c r="V34" s="631" t="s">
        <v>25</v>
      </c>
      <c r="W34" s="632" t="e">
        <f t="shared" si="12"/>
        <v>#N/A</v>
      </c>
      <c r="X34" s="1263"/>
      <c r="Y34" s="3671"/>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671"/>
      <c r="Q35" s="1262" t="str">
        <f t="shared" ref="Q35:Q40" si="14">B35</f>
        <v>宗地形状</v>
      </c>
      <c r="R35" s="631" t="s">
        <v>25</v>
      </c>
      <c r="S35" s="632">
        <f t="shared" si="10"/>
        <v>100</v>
      </c>
      <c r="T35" s="631" t="s">
        <v>25</v>
      </c>
      <c r="U35" s="632">
        <f t="shared" si="11"/>
        <v>100</v>
      </c>
      <c r="V35" s="631" t="s">
        <v>25</v>
      </c>
      <c r="W35" s="632">
        <f t="shared" si="12"/>
        <v>100</v>
      </c>
      <c r="X35" s="1263"/>
      <c r="Y35" s="3671"/>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671"/>
      <c r="Q36" s="1262" t="str">
        <f t="shared" si="14"/>
        <v>宗地开发程度</v>
      </c>
      <c r="R36" s="627" t="s">
        <v>25</v>
      </c>
      <c r="S36" s="628">
        <f t="shared" si="10"/>
        <v>100</v>
      </c>
      <c r="T36" s="627" t="s">
        <v>25</v>
      </c>
      <c r="U36" s="628">
        <f t="shared" si="11"/>
        <v>100</v>
      </c>
      <c r="V36" s="627" t="s">
        <v>25</v>
      </c>
      <c r="W36" s="628">
        <f t="shared" si="12"/>
        <v>100</v>
      </c>
      <c r="X36" s="629"/>
      <c r="Y36" s="3671"/>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671" t="s">
        <v>2037</v>
      </c>
      <c r="Q37" s="1262" t="str">
        <f t="shared" si="14"/>
        <v>工程地质条件</v>
      </c>
      <c r="R37" s="631" t="s">
        <v>25</v>
      </c>
      <c r="S37" s="632">
        <f t="shared" si="10"/>
        <v>100</v>
      </c>
      <c r="T37" s="631" t="s">
        <v>25</v>
      </c>
      <c r="U37" s="632">
        <f t="shared" si="11"/>
        <v>100</v>
      </c>
      <c r="V37" s="631" t="s">
        <v>25</v>
      </c>
      <c r="W37" s="632">
        <f t="shared" si="12"/>
        <v>100</v>
      </c>
      <c r="X37" s="1263"/>
      <c r="Y37" s="3671"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71"/>
      <c r="Q38" s="1262">
        <f t="shared" si="14"/>
        <v>111</v>
      </c>
      <c r="R38" s="631" t="s">
        <v>25</v>
      </c>
      <c r="S38" s="632">
        <f t="shared" si="10"/>
        <v>100</v>
      </c>
      <c r="T38" s="631" t="s">
        <v>25</v>
      </c>
      <c r="U38" s="632">
        <f t="shared" si="11"/>
        <v>100</v>
      </c>
      <c r="V38" s="631" t="s">
        <v>25</v>
      </c>
      <c r="W38" s="632">
        <f t="shared" si="12"/>
        <v>100</v>
      </c>
      <c r="X38" s="1263"/>
      <c r="Y38" s="3671"/>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71"/>
      <c r="Q39" s="1262">
        <f t="shared" si="14"/>
        <v>111</v>
      </c>
      <c r="R39" s="631" t="s">
        <v>25</v>
      </c>
      <c r="S39" s="632">
        <f t="shared" si="10"/>
        <v>100</v>
      </c>
      <c r="T39" s="631" t="s">
        <v>25</v>
      </c>
      <c r="U39" s="632">
        <f t="shared" si="11"/>
        <v>100</v>
      </c>
      <c r="V39" s="631" t="s">
        <v>25</v>
      </c>
      <c r="W39" s="632">
        <f t="shared" si="12"/>
        <v>100</v>
      </c>
      <c r="X39" s="1263"/>
      <c r="Y39" s="3671"/>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71"/>
      <c r="Q40" s="1262">
        <f t="shared" si="14"/>
        <v>111</v>
      </c>
      <c r="R40" s="634" t="s">
        <v>25</v>
      </c>
      <c r="S40" s="635">
        <f t="shared" si="10"/>
        <v>100</v>
      </c>
      <c r="T40" s="634" t="s">
        <v>25</v>
      </c>
      <c r="U40" s="635">
        <f t="shared" si="11"/>
        <v>100</v>
      </c>
      <c r="V40" s="634" t="s">
        <v>25</v>
      </c>
      <c r="W40" s="635">
        <f t="shared" si="12"/>
        <v>100</v>
      </c>
      <c r="X40" s="636"/>
      <c r="Y40" s="3671"/>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65" t="str">
        <f>A41</f>
        <v>成交单价</v>
      </c>
      <c r="Q41" s="3665"/>
      <c r="R41" s="3698">
        <f>E41</f>
        <v>0</v>
      </c>
      <c r="S41" s="3698"/>
      <c r="T41" s="3698">
        <f>G41</f>
        <v>0</v>
      </c>
      <c r="U41" s="3698"/>
      <c r="V41" s="3698">
        <f>I41</f>
        <v>0</v>
      </c>
      <c r="W41" s="3698"/>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65" t="str">
        <f>A42</f>
        <v>比较价值（元/平方米）</v>
      </c>
      <c r="Q42" s="3665"/>
      <c r="R42" s="3710" t="e">
        <f>ROUND(PRODUCT(R41,AA7:AA40),0)</f>
        <v>#DIV/0!</v>
      </c>
      <c r="S42" s="3710"/>
      <c r="T42" s="3710" t="e">
        <f>ROUND(PRODUCT(T41,AB7:AB40),0)</f>
        <v>#DIV/0!</v>
      </c>
      <c r="U42" s="3710"/>
      <c r="V42" s="3710" t="e">
        <f>ROUND(PRODUCT(V41,AC7:AC40),0)</f>
        <v>#DIV/0!</v>
      </c>
      <c r="W42" s="3710"/>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667" t="str">
        <f>A43</f>
        <v>估价对象XX用房的比较价值（楼面单价，元/平方米）</v>
      </c>
      <c r="Q43" s="3668"/>
      <c r="R43" s="3709" t="e">
        <f>ROUND(IF(D42="简单平均",AVERAGE(R42:W42),R42*F42+T42*H42+V42*J42),0)</f>
        <v>#DIV/0!</v>
      </c>
      <c r="S43" s="3709"/>
      <c r="T43" s="3709"/>
      <c r="U43" s="3709"/>
      <c r="V43" s="3709"/>
      <c r="W43" s="3709"/>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估价对象为北京市房地产，为XX所有。根据《》[]，估价对象建筑面积为353.61平方米。根据《》[]，估价对象（分摊）出让国有建设用地使用权面积为平方米。估价对象用途为。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353.61</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3"/>
      <c r="B4" s="3714"/>
      <c r="C4" s="3714"/>
      <c r="D4" s="3715"/>
      <c r="E4" s="3715"/>
      <c r="F4" s="3715"/>
      <c r="G4" s="3715"/>
      <c r="H4" s="3715"/>
      <c r="I4" s="3715"/>
      <c r="J4" s="3716"/>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17"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18"/>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711" t="s">
        <v>2292</v>
      </c>
      <c r="X8" s="3712"/>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18"/>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712"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18"/>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712"/>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18"/>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712"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17">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712"/>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19"/>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712"/>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19"/>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0"/>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21">
        <f>IF(E2="办公",2,IF(E2="工业",2,IF(E2="住宅",3,IF(E2="商业",IF(C8="不临58条商业街",2,3)))))</f>
        <v>3</v>
      </c>
      <c r="B16" s="1559" t="s">
        <v>2338</v>
      </c>
      <c r="C16" s="1535">
        <f>ROUND(IF(F17="与级别开发程度一致",0,(G17-E17)/C17),0)</f>
        <v>0</v>
      </c>
      <c r="D16" s="3734" t="s">
        <v>2342</v>
      </c>
      <c r="E16" s="3735"/>
      <c r="F16" s="3734" t="s">
        <v>2339</v>
      </c>
      <c r="G16" s="3735"/>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22"/>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44725</v>
      </c>
      <c r="H19" s="2119" t="s">
        <v>2484</v>
      </c>
      <c r="I19" s="2120" t="str">
        <f>IF(H19="季度增幅（自定义）",SUMIF(N21:N24,E2,O21:O24),"")</f>
        <v/>
      </c>
      <c r="J19" s="2121"/>
      <c r="K19" s="2964"/>
      <c r="L19" s="2002" t="s">
        <v>2350</v>
      </c>
      <c r="M19" s="2122">
        <f>ROUND(SUMIF(地价!B2:F2,E2,地价!B41:F41),0)</f>
        <v>423</v>
      </c>
      <c r="N19" s="2123" t="s">
        <v>2351</v>
      </c>
      <c r="O19" s="2124">
        <f>ROUNDDOWN(DATEDIF(E19,G19,"M")/3,0)</f>
        <v>33</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0.94379999999999997</v>
      </c>
      <c r="D20" s="2128" t="s">
        <v>2354</v>
      </c>
      <c r="E20" s="3064">
        <f>存贷款利率!E21/100</f>
        <v>4.3499999999999997E-2</v>
      </c>
      <c r="F20" s="2128" t="s">
        <v>2343</v>
      </c>
      <c r="G20" s="3065">
        <f>SUMIF(M26:P26,E2,M28:P28)</f>
        <v>0.05</v>
      </c>
      <c r="H20" s="2128" t="s">
        <v>2355</v>
      </c>
      <c r="I20" s="2129">
        <f>'数据-取费表'!B13</f>
        <v>50</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1.01E-2</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1.01E-2</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1.78E-2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1.18E-2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1.6199999999999999E-2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353.61</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31"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32"/>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32"/>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33"/>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23" t="s">
        <v>2437</v>
      </c>
      <c r="B90" s="3723"/>
      <c r="C90" s="3723"/>
      <c r="D90" s="3723"/>
      <c r="E90" s="3723"/>
      <c r="F90" s="3723"/>
      <c r="G90" s="3723"/>
      <c r="H90" s="3723"/>
      <c r="I90" s="3723"/>
      <c r="J90" s="3723"/>
      <c r="K90" s="2232"/>
      <c r="L90" s="2232"/>
      <c r="M90" s="2232"/>
      <c r="N90" s="2232"/>
      <c r="Q90" s="2970"/>
      <c r="R90" s="2970"/>
      <c r="S90" s="2970"/>
      <c r="T90" s="2970"/>
      <c r="U90" s="2970"/>
      <c r="V90" s="2970"/>
      <c r="W90" s="2970"/>
    </row>
    <row r="91" spans="1:33">
      <c r="A91" s="3725" t="s">
        <v>2438</v>
      </c>
      <c r="B91" s="3725"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25"/>
      <c r="B92" s="3725"/>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26"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27"/>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27"/>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27"/>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27"/>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27"/>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27"/>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28"/>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26"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27"/>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27"/>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27"/>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27"/>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27"/>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27"/>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27"/>
      <c r="B108" s="3729"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28"/>
      <c r="B109" s="3730"/>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24" t="s">
        <v>2445</v>
      </c>
      <c r="B110" s="3724"/>
      <c r="C110" s="3724"/>
      <c r="D110" s="3724"/>
      <c r="E110" s="3724"/>
      <c r="F110" s="3724"/>
      <c r="G110" s="3724"/>
      <c r="H110" s="3724"/>
      <c r="I110" s="3724"/>
      <c r="J110" s="3724"/>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6" t="s">
        <v>597</v>
      </c>
      <c r="B1" s="3736"/>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6" t="s">
        <v>105</v>
      </c>
      <c r="B1" s="3736"/>
      <c r="C1" s="3736"/>
      <c r="D1" s="3736"/>
      <c r="E1" s="3736"/>
      <c r="F1" s="3736"/>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7" t="s">
        <v>118</v>
      </c>
      <c r="B2" s="3737"/>
      <c r="C2" s="3737"/>
      <c r="D2" s="3737"/>
      <c r="E2" s="3737"/>
      <c r="F2" s="3737"/>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8"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9"/>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7"/>
  </cols>
  <sheetData>
    <row r="1" spans="1:13" ht="19.5" customHeight="1" thickBot="1">
      <c r="A1" s="3303" t="s">
        <v>502</v>
      </c>
      <c r="B1" s="3304" t="s">
        <v>106</v>
      </c>
      <c r="C1" s="3304" t="s">
        <v>107</v>
      </c>
      <c r="D1" s="3304" t="s">
        <v>108</v>
      </c>
      <c r="E1" s="3304" t="s">
        <v>109</v>
      </c>
      <c r="F1" s="3304" t="s">
        <v>110</v>
      </c>
      <c r="G1" s="3304" t="s">
        <v>111</v>
      </c>
      <c r="H1" s="3304" t="s">
        <v>112</v>
      </c>
      <c r="I1" s="3304" t="s">
        <v>113</v>
      </c>
      <c r="J1" s="3304" t="s">
        <v>114</v>
      </c>
      <c r="K1" s="3304" t="s">
        <v>115</v>
      </c>
      <c r="L1" s="3304" t="s">
        <v>116</v>
      </c>
      <c r="M1" s="3305" t="s">
        <v>117</v>
      </c>
    </row>
    <row r="2" spans="1:13" ht="19.5" customHeight="1">
      <c r="A2" s="3257" t="s">
        <v>2803</v>
      </c>
      <c r="B2" s="3258">
        <v>3.5</v>
      </c>
      <c r="C2" s="3258">
        <v>3.5</v>
      </c>
      <c r="D2" s="3259">
        <v>2.5</v>
      </c>
      <c r="E2" s="3259">
        <v>2.5</v>
      </c>
      <c r="F2" s="3259">
        <v>2.5</v>
      </c>
      <c r="G2" s="3259">
        <v>2.5</v>
      </c>
      <c r="H2" s="3259">
        <v>2.5</v>
      </c>
      <c r="I2" s="3258">
        <v>2</v>
      </c>
      <c r="J2" s="3258">
        <v>2</v>
      </c>
      <c r="K2" s="3258">
        <v>2</v>
      </c>
      <c r="L2" s="3258">
        <v>2</v>
      </c>
      <c r="M2" s="3260">
        <v>2</v>
      </c>
    </row>
    <row r="3" spans="1:13" ht="19.5" customHeight="1">
      <c r="A3" s="3261" t="s">
        <v>2804</v>
      </c>
      <c r="B3" s="3262">
        <v>3.5</v>
      </c>
      <c r="C3" s="3262">
        <v>3.5</v>
      </c>
      <c r="D3" s="3263">
        <v>2.5</v>
      </c>
      <c r="E3" s="3263">
        <v>2.5</v>
      </c>
      <c r="F3" s="3263">
        <v>2.5</v>
      </c>
      <c r="G3" s="3263">
        <v>2.5</v>
      </c>
      <c r="H3" s="3263">
        <v>2.5</v>
      </c>
      <c r="I3" s="3262">
        <v>2</v>
      </c>
      <c r="J3" s="3262">
        <v>2</v>
      </c>
      <c r="K3" s="3262">
        <v>2</v>
      </c>
      <c r="L3" s="3262">
        <v>2</v>
      </c>
      <c r="M3" s="3264">
        <v>2</v>
      </c>
    </row>
    <row r="4" spans="1:13" ht="19.5" customHeight="1">
      <c r="A4" s="3261" t="s">
        <v>2805</v>
      </c>
      <c r="B4" s="3263">
        <v>2.5</v>
      </c>
      <c r="C4" s="3263">
        <v>2.5</v>
      </c>
      <c r="D4" s="3263">
        <v>2.5</v>
      </c>
      <c r="E4" s="3263">
        <v>2.5</v>
      </c>
      <c r="F4" s="3263">
        <v>2.5</v>
      </c>
      <c r="G4" s="3263">
        <v>2.5</v>
      </c>
      <c r="H4" s="3263">
        <v>2.5</v>
      </c>
      <c r="I4" s="3262">
        <v>1.5</v>
      </c>
      <c r="J4" s="3262">
        <v>1.5</v>
      </c>
      <c r="K4" s="3262">
        <v>1.5</v>
      </c>
      <c r="L4" s="3262">
        <v>1.5</v>
      </c>
      <c r="M4" s="3264">
        <v>1.5</v>
      </c>
    </row>
    <row r="5" spans="1:13" ht="19.5" customHeight="1">
      <c r="A5" s="3265" t="s">
        <v>2806</v>
      </c>
      <c r="B5" s="3262">
        <v>1.5</v>
      </c>
      <c r="C5" s="3262">
        <v>1.5</v>
      </c>
      <c r="D5" s="3262">
        <v>1.5</v>
      </c>
      <c r="E5" s="3262">
        <v>1.5</v>
      </c>
      <c r="F5" s="3262">
        <v>1.5</v>
      </c>
      <c r="G5" s="3262">
        <v>1.2</v>
      </c>
      <c r="H5" s="3262">
        <v>1.2</v>
      </c>
      <c r="I5" s="3262">
        <v>1</v>
      </c>
      <c r="J5" s="3262">
        <v>1</v>
      </c>
      <c r="K5" s="3262">
        <v>1</v>
      </c>
      <c r="L5" s="3262">
        <v>1</v>
      </c>
      <c r="M5" s="3264">
        <v>1</v>
      </c>
    </row>
    <row r="6" spans="1:13" ht="19.5" customHeight="1">
      <c r="A6" s="3266" t="s">
        <v>2807</v>
      </c>
      <c r="B6" s="3267">
        <v>2.5</v>
      </c>
      <c r="C6" s="3267">
        <v>2.5</v>
      </c>
      <c r="D6" s="3267">
        <v>2</v>
      </c>
      <c r="E6" s="3267">
        <v>2</v>
      </c>
      <c r="F6" s="3267">
        <v>2</v>
      </c>
      <c r="G6" s="3267">
        <v>2</v>
      </c>
      <c r="H6" s="3267">
        <v>2</v>
      </c>
      <c r="I6" s="3268">
        <v>1.5</v>
      </c>
      <c r="J6" s="3268">
        <v>1.5</v>
      </c>
      <c r="K6" s="3268">
        <v>1.5</v>
      </c>
      <c r="L6" s="3268">
        <v>1.5</v>
      </c>
      <c r="M6" s="3269">
        <v>1.5</v>
      </c>
    </row>
    <row r="7" spans="1:13" ht="19.5" customHeight="1" thickBot="1">
      <c r="A7" s="3270" t="s">
        <v>2808</v>
      </c>
      <c r="B7" s="3271">
        <v>2.5</v>
      </c>
      <c r="C7" s="3271">
        <v>2.5</v>
      </c>
      <c r="D7" s="3271">
        <v>2</v>
      </c>
      <c r="E7" s="3271">
        <v>2</v>
      </c>
      <c r="F7" s="3271">
        <v>2</v>
      </c>
      <c r="G7" s="3271">
        <v>2</v>
      </c>
      <c r="H7" s="3271">
        <v>2</v>
      </c>
      <c r="I7" s="3272">
        <v>1.5</v>
      </c>
      <c r="J7" s="3272">
        <v>1.5</v>
      </c>
      <c r="K7" s="3272">
        <v>1.5</v>
      </c>
      <c r="L7" s="3272">
        <v>1.5</v>
      </c>
      <c r="M7" s="3273">
        <v>1.5</v>
      </c>
    </row>
    <row r="8" spans="1:13" ht="19.5" customHeight="1">
      <c r="A8" s="3296" t="s">
        <v>503</v>
      </c>
      <c r="B8" s="3274">
        <v>80</v>
      </c>
      <c r="C8" s="3274">
        <v>80</v>
      </c>
      <c r="D8" s="3274">
        <v>70</v>
      </c>
      <c r="E8" s="3274">
        <v>70</v>
      </c>
      <c r="F8" s="3274">
        <v>70</v>
      </c>
      <c r="G8" s="3274">
        <v>70</v>
      </c>
      <c r="H8" s="3274">
        <v>70</v>
      </c>
      <c r="I8" s="3274">
        <v>60</v>
      </c>
      <c r="J8" s="3274">
        <v>60</v>
      </c>
      <c r="K8" s="3274">
        <v>60</v>
      </c>
      <c r="L8" s="3274">
        <v>60</v>
      </c>
      <c r="M8" s="3275">
        <v>60</v>
      </c>
    </row>
    <row r="9" spans="1:13" ht="19.5" customHeight="1">
      <c r="A9" s="3298" t="s">
        <v>504</v>
      </c>
      <c r="B9" s="3276">
        <v>70</v>
      </c>
      <c r="C9" s="3276">
        <v>70</v>
      </c>
      <c r="D9" s="3276">
        <v>60</v>
      </c>
      <c r="E9" s="3276">
        <v>60</v>
      </c>
      <c r="F9" s="3276">
        <v>60</v>
      </c>
      <c r="G9" s="3276">
        <v>60</v>
      </c>
      <c r="H9" s="3276">
        <v>60</v>
      </c>
      <c r="I9" s="3276">
        <v>50</v>
      </c>
      <c r="J9" s="3276">
        <v>50</v>
      </c>
      <c r="K9" s="3276">
        <v>50</v>
      </c>
      <c r="L9" s="3276">
        <v>50</v>
      </c>
      <c r="M9" s="3277">
        <v>50</v>
      </c>
    </row>
    <row r="10" spans="1:13" ht="19.5" customHeight="1">
      <c r="A10" s="3298" t="s">
        <v>505</v>
      </c>
      <c r="B10" s="3276">
        <v>20</v>
      </c>
      <c r="C10" s="3276">
        <v>20</v>
      </c>
      <c r="D10" s="3276">
        <v>15</v>
      </c>
      <c r="E10" s="3276">
        <v>15</v>
      </c>
      <c r="F10" s="3276">
        <v>15</v>
      </c>
      <c r="G10" s="3276">
        <v>15</v>
      </c>
      <c r="H10" s="3276">
        <v>15</v>
      </c>
      <c r="I10" s="3276">
        <v>10</v>
      </c>
      <c r="J10" s="3276">
        <v>10</v>
      </c>
      <c r="K10" s="3276">
        <v>10</v>
      </c>
      <c r="L10" s="3276">
        <v>10</v>
      </c>
      <c r="M10" s="3277">
        <v>10</v>
      </c>
    </row>
    <row r="11" spans="1:13" ht="19.5" customHeight="1">
      <c r="A11" s="3298" t="s">
        <v>506</v>
      </c>
      <c r="B11" s="3276">
        <v>30</v>
      </c>
      <c r="C11" s="3276">
        <v>30</v>
      </c>
      <c r="D11" s="3276">
        <v>25</v>
      </c>
      <c r="E11" s="3276">
        <v>25</v>
      </c>
      <c r="F11" s="3276">
        <v>25</v>
      </c>
      <c r="G11" s="3276">
        <v>25</v>
      </c>
      <c r="H11" s="3276">
        <v>25</v>
      </c>
      <c r="I11" s="3276">
        <v>20</v>
      </c>
      <c r="J11" s="3276">
        <v>20</v>
      </c>
      <c r="K11" s="3276">
        <v>20</v>
      </c>
      <c r="L11" s="3276">
        <v>20</v>
      </c>
      <c r="M11" s="3277">
        <v>20</v>
      </c>
    </row>
    <row r="12" spans="1:13" ht="19.5" customHeight="1">
      <c r="A12" s="3298" t="s">
        <v>507</v>
      </c>
      <c r="B12" s="3276">
        <v>45</v>
      </c>
      <c r="C12" s="3276">
        <v>45</v>
      </c>
      <c r="D12" s="3276">
        <v>40</v>
      </c>
      <c r="E12" s="3276">
        <v>40</v>
      </c>
      <c r="F12" s="3276">
        <v>40</v>
      </c>
      <c r="G12" s="3276">
        <v>40</v>
      </c>
      <c r="H12" s="3276">
        <v>40</v>
      </c>
      <c r="I12" s="3276">
        <v>35</v>
      </c>
      <c r="J12" s="3276">
        <v>35</v>
      </c>
      <c r="K12" s="3276">
        <v>35</v>
      </c>
      <c r="L12" s="3276">
        <v>35</v>
      </c>
      <c r="M12" s="3277">
        <v>35</v>
      </c>
    </row>
    <row r="13" spans="1:13" ht="19.5" customHeight="1">
      <c r="A13" s="3298" t="s">
        <v>508</v>
      </c>
      <c r="B13" s="3276">
        <v>60</v>
      </c>
      <c r="C13" s="3276">
        <v>60</v>
      </c>
      <c r="D13" s="3276">
        <v>50</v>
      </c>
      <c r="E13" s="3276">
        <v>50</v>
      </c>
      <c r="F13" s="3276">
        <v>50</v>
      </c>
      <c r="G13" s="3276">
        <v>50</v>
      </c>
      <c r="H13" s="3276">
        <v>50</v>
      </c>
      <c r="I13" s="3276">
        <v>40</v>
      </c>
      <c r="J13" s="3276">
        <v>40</v>
      </c>
      <c r="K13" s="3276">
        <v>40</v>
      </c>
      <c r="L13" s="3276">
        <v>40</v>
      </c>
      <c r="M13" s="3277">
        <v>40</v>
      </c>
    </row>
    <row r="14" spans="1:13" ht="19.5" customHeight="1">
      <c r="A14" s="3298" t="s">
        <v>509</v>
      </c>
      <c r="B14" s="3276">
        <v>50</v>
      </c>
      <c r="C14" s="3276">
        <v>50</v>
      </c>
      <c r="D14" s="3276">
        <v>40</v>
      </c>
      <c r="E14" s="3276">
        <v>40</v>
      </c>
      <c r="F14" s="3276">
        <v>40</v>
      </c>
      <c r="G14" s="3276">
        <v>40</v>
      </c>
      <c r="H14" s="3276">
        <v>40</v>
      </c>
      <c r="I14" s="3276">
        <v>30</v>
      </c>
      <c r="J14" s="3276">
        <v>30</v>
      </c>
      <c r="K14" s="3276">
        <v>30</v>
      </c>
      <c r="L14" s="3276">
        <v>30</v>
      </c>
      <c r="M14" s="3277">
        <v>30</v>
      </c>
    </row>
    <row r="15" spans="1:13" ht="19.5" customHeight="1">
      <c r="A15" s="3299" t="s">
        <v>510</v>
      </c>
      <c r="B15" s="3278">
        <v>20</v>
      </c>
      <c r="C15" s="3278">
        <v>20</v>
      </c>
      <c r="D15" s="3278">
        <v>15</v>
      </c>
      <c r="E15" s="3278">
        <v>15</v>
      </c>
      <c r="F15" s="3278">
        <v>15</v>
      </c>
      <c r="G15" s="3278">
        <v>15</v>
      </c>
      <c r="H15" s="3278">
        <v>15</v>
      </c>
      <c r="I15" s="3278">
        <v>10</v>
      </c>
      <c r="J15" s="3278">
        <v>10</v>
      </c>
      <c r="K15" s="3278">
        <v>10</v>
      </c>
      <c r="L15" s="3278">
        <v>10</v>
      </c>
      <c r="M15" s="3279">
        <v>10</v>
      </c>
    </row>
    <row r="16" spans="1:13" ht="19.5" customHeight="1">
      <c r="A16" s="3276" t="s">
        <v>511</v>
      </c>
      <c r="B16" s="3300">
        <v>0</v>
      </c>
      <c r="C16" s="3300">
        <v>0</v>
      </c>
      <c r="D16" s="3300">
        <v>0</v>
      </c>
      <c r="E16" s="3300">
        <v>0</v>
      </c>
      <c r="F16" s="3300">
        <v>0</v>
      </c>
      <c r="G16" s="3300">
        <v>0</v>
      </c>
      <c r="H16" s="3300">
        <v>0</v>
      </c>
      <c r="I16" s="3300">
        <v>0</v>
      </c>
      <c r="J16" s="3300">
        <v>0</v>
      </c>
      <c r="K16" s="3300">
        <v>0</v>
      </c>
      <c r="L16" s="3300">
        <v>0</v>
      </c>
      <c r="M16" s="3300">
        <v>0</v>
      </c>
    </row>
    <row r="17" spans="1:13" ht="19.5" customHeight="1">
      <c r="A17" s="3276" t="s">
        <v>2478</v>
      </c>
      <c r="B17" s="3300">
        <f>SUM(B8:B15)</f>
        <v>375</v>
      </c>
      <c r="C17" s="3300">
        <f t="shared" ref="C17:H17" si="0">SUM(C8:C15)</f>
        <v>375</v>
      </c>
      <c r="D17" s="3300">
        <f t="shared" si="0"/>
        <v>315</v>
      </c>
      <c r="E17" s="3300">
        <f t="shared" si="0"/>
        <v>315</v>
      </c>
      <c r="F17" s="3300">
        <f t="shared" si="0"/>
        <v>315</v>
      </c>
      <c r="G17" s="3300">
        <f t="shared" si="0"/>
        <v>315</v>
      </c>
      <c r="H17" s="3300">
        <f t="shared" si="0"/>
        <v>315</v>
      </c>
      <c r="I17" s="3300">
        <f>SUM(I8:I12,I15)</f>
        <v>185</v>
      </c>
      <c r="J17" s="3300">
        <f t="shared" ref="J17:M17" si="1">SUM(J8:J12,J15)</f>
        <v>185</v>
      </c>
      <c r="K17" s="3300">
        <f t="shared" si="1"/>
        <v>185</v>
      </c>
      <c r="L17" s="3300">
        <f t="shared" si="1"/>
        <v>185</v>
      </c>
      <c r="M17" s="3300">
        <f t="shared" si="1"/>
        <v>185</v>
      </c>
    </row>
    <row r="18" spans="1:13" ht="19.5" customHeight="1">
      <c r="A18" s="3306" t="s">
        <v>512</v>
      </c>
      <c r="B18" s="3306"/>
      <c r="C18" s="3307"/>
      <c r="D18" s="3307"/>
      <c r="E18" s="3306"/>
      <c r="F18" s="3307"/>
      <c r="G18" s="3307"/>
    </row>
    <row r="19" spans="1:13" ht="19.5" customHeight="1" thickBot="1">
      <c r="A19" s="3278" t="s">
        <v>2809</v>
      </c>
      <c r="B19" s="3281" t="s">
        <v>2810</v>
      </c>
      <c r="C19" s="3308" t="s">
        <v>561</v>
      </c>
      <c r="D19" s="3280"/>
      <c r="E19" s="3276" t="s">
        <v>3027</v>
      </c>
      <c r="F19" s="3309"/>
      <c r="G19" s="3309"/>
    </row>
    <row r="20" spans="1:13" ht="19.5" customHeight="1">
      <c r="A20" s="3743" t="s">
        <v>2803</v>
      </c>
      <c r="B20" s="3746" t="s">
        <v>2811</v>
      </c>
      <c r="C20" s="3282" t="s">
        <v>2812</v>
      </c>
      <c r="D20" s="3283"/>
      <c r="E20" s="3284">
        <v>1</v>
      </c>
      <c r="F20" s="3285" t="s">
        <v>2813</v>
      </c>
      <c r="G20" s="3285"/>
    </row>
    <row r="21" spans="1:13" ht="19.5" customHeight="1">
      <c r="A21" s="3744"/>
      <c r="B21" s="3741"/>
      <c r="C21" s="740" t="s">
        <v>2814</v>
      </c>
      <c r="D21" s="741"/>
      <c r="E21" s="3286">
        <v>1</v>
      </c>
      <c r="F21" s="3285" t="s">
        <v>2815</v>
      </c>
      <c r="G21" s="3285"/>
    </row>
    <row r="22" spans="1:13" ht="19.5" customHeight="1">
      <c r="A22" s="3744"/>
      <c r="B22" s="3741"/>
      <c r="C22" s="740" t="s">
        <v>2816</v>
      </c>
      <c r="D22" s="741"/>
      <c r="E22" s="3286">
        <v>0.9</v>
      </c>
      <c r="F22" s="3285" t="s">
        <v>2817</v>
      </c>
      <c r="G22" s="3285"/>
    </row>
    <row r="23" spans="1:13" ht="19.5" customHeight="1">
      <c r="A23" s="3744"/>
      <c r="B23" s="3741"/>
      <c r="C23" s="740" t="s">
        <v>2818</v>
      </c>
      <c r="D23" s="741"/>
      <c r="E23" s="3286">
        <v>0.9</v>
      </c>
      <c r="F23" s="3285" t="s">
        <v>2819</v>
      </c>
      <c r="G23" s="3285"/>
    </row>
    <row r="24" spans="1:13" ht="19.5" customHeight="1">
      <c r="A24" s="3744"/>
      <c r="B24" s="3741"/>
      <c r="C24" s="740" t="s">
        <v>2820</v>
      </c>
      <c r="D24" s="741"/>
      <c r="E24" s="3286">
        <v>0.8</v>
      </c>
      <c r="F24" s="3285" t="s">
        <v>2821</v>
      </c>
      <c r="G24" s="3285"/>
    </row>
    <row r="25" spans="1:13" ht="19.5" customHeight="1" thickBot="1">
      <c r="A25" s="3745"/>
      <c r="B25" s="3747"/>
      <c r="C25" s="3287" t="s">
        <v>2822</v>
      </c>
      <c r="D25" s="3288"/>
      <c r="E25" s="3289">
        <v>0.8</v>
      </c>
      <c r="F25" s="3285" t="s">
        <v>2823</v>
      </c>
      <c r="G25" s="3285"/>
    </row>
    <row r="26" spans="1:13" ht="19.5" customHeight="1" thickBot="1">
      <c r="A26" s="3290" t="s">
        <v>2804</v>
      </c>
      <c r="B26" s="3291" t="s">
        <v>2811</v>
      </c>
      <c r="C26" s="3292" t="s">
        <v>2824</v>
      </c>
      <c r="D26" s="3293"/>
      <c r="E26" s="3294">
        <v>1</v>
      </c>
      <c r="F26" s="3285" t="s">
        <v>2865</v>
      </c>
      <c r="G26" s="3285"/>
    </row>
    <row r="27" spans="1:13" ht="19.5" customHeight="1">
      <c r="A27" s="3748" t="s">
        <v>2808</v>
      </c>
      <c r="B27" s="3746" t="s">
        <v>2808</v>
      </c>
      <c r="C27" s="3282" t="s">
        <v>2825</v>
      </c>
      <c r="D27" s="3283"/>
      <c r="E27" s="3284">
        <v>1</v>
      </c>
      <c r="F27" s="3285" t="s">
        <v>2866</v>
      </c>
      <c r="G27" s="3285"/>
    </row>
    <row r="28" spans="1:13" ht="19.5" customHeight="1">
      <c r="A28" s="3749"/>
      <c r="B28" s="3741"/>
      <c r="C28" s="740" t="s">
        <v>2826</v>
      </c>
      <c r="D28" s="741"/>
      <c r="E28" s="3286">
        <v>1</v>
      </c>
      <c r="F28" s="3285" t="s">
        <v>2867</v>
      </c>
      <c r="G28" s="3285"/>
    </row>
    <row r="29" spans="1:13" ht="19.5" customHeight="1">
      <c r="A29" s="3749"/>
      <c r="B29" s="3741"/>
      <c r="C29" s="740" t="s">
        <v>2827</v>
      </c>
      <c r="D29" s="741"/>
      <c r="E29" s="3286">
        <v>0.8</v>
      </c>
      <c r="F29" s="3285" t="s">
        <v>2868</v>
      </c>
      <c r="G29" s="3285"/>
    </row>
    <row r="30" spans="1:13" ht="19.5" customHeight="1">
      <c r="A30" s="3749"/>
      <c r="B30" s="3741"/>
      <c r="C30" s="740" t="s">
        <v>2828</v>
      </c>
      <c r="D30" s="741"/>
      <c r="E30" s="3286">
        <v>0.8</v>
      </c>
      <c r="F30" s="3285" t="s">
        <v>2869</v>
      </c>
      <c r="G30" s="3285"/>
    </row>
    <row r="31" spans="1:13" ht="19.5" customHeight="1">
      <c r="A31" s="3749"/>
      <c r="B31" s="3741"/>
      <c r="C31" s="740" t="s">
        <v>2829</v>
      </c>
      <c r="D31" s="741"/>
      <c r="E31" s="3286">
        <v>0.8</v>
      </c>
      <c r="F31" s="3285" t="s">
        <v>2870</v>
      </c>
      <c r="G31" s="3285"/>
    </row>
    <row r="32" spans="1:13" ht="19.5" customHeight="1">
      <c r="A32" s="3749"/>
      <c r="B32" s="3741"/>
      <c r="C32" s="740" t="s">
        <v>2830</v>
      </c>
      <c r="D32" s="741"/>
      <c r="E32" s="3286">
        <v>0.7</v>
      </c>
      <c r="F32" s="3285" t="s">
        <v>2871</v>
      </c>
      <c r="G32" s="3285"/>
    </row>
    <row r="33" spans="1:7" ht="19.5" customHeight="1">
      <c r="A33" s="3749"/>
      <c r="B33" s="3741"/>
      <c r="C33" s="740" t="s">
        <v>2831</v>
      </c>
      <c r="D33" s="741"/>
      <c r="E33" s="3286">
        <v>0.8</v>
      </c>
      <c r="F33" s="3285" t="s">
        <v>2872</v>
      </c>
      <c r="G33" s="3285"/>
    </row>
    <row r="34" spans="1:7" ht="19.5" customHeight="1">
      <c r="A34" s="3749"/>
      <c r="B34" s="3741"/>
      <c r="C34" s="740" t="s">
        <v>2832</v>
      </c>
      <c r="D34" s="741"/>
      <c r="E34" s="3286">
        <v>0.6</v>
      </c>
      <c r="F34" s="3285" t="s">
        <v>2873</v>
      </c>
      <c r="G34" s="3285"/>
    </row>
    <row r="35" spans="1:7" ht="19.5" customHeight="1">
      <c r="A35" s="3749"/>
      <c r="B35" s="3741"/>
      <c r="C35" s="740" t="s">
        <v>2833</v>
      </c>
      <c r="D35" s="741"/>
      <c r="E35" s="3286">
        <v>0.2</v>
      </c>
      <c r="F35" s="3285" t="s">
        <v>2874</v>
      </c>
      <c r="G35" s="3285"/>
    </row>
    <row r="36" spans="1:7" ht="19.5" customHeight="1">
      <c r="A36" s="3749"/>
      <c r="B36" s="3741"/>
      <c r="C36" s="740" t="s">
        <v>2834</v>
      </c>
      <c r="D36" s="741"/>
      <c r="E36" s="3286">
        <v>0.2</v>
      </c>
      <c r="F36" s="3285" t="s">
        <v>2875</v>
      </c>
      <c r="G36" s="3285"/>
    </row>
    <row r="37" spans="1:7" ht="19.5" customHeight="1">
      <c r="A37" s="3749"/>
      <c r="B37" s="3740" t="s">
        <v>2835</v>
      </c>
      <c r="C37" s="740" t="s">
        <v>2836</v>
      </c>
      <c r="D37" s="741"/>
      <c r="E37" s="3286">
        <v>0.6</v>
      </c>
      <c r="F37" s="3285" t="s">
        <v>2876</v>
      </c>
      <c r="G37" s="3285"/>
    </row>
    <row r="38" spans="1:7" ht="19.5" customHeight="1">
      <c r="A38" s="3749"/>
      <c r="B38" s="3741"/>
      <c r="C38" s="740" t="s">
        <v>2837</v>
      </c>
      <c r="D38" s="741"/>
      <c r="E38" s="3286">
        <v>0.6</v>
      </c>
      <c r="F38" s="3285" t="s">
        <v>2877</v>
      </c>
      <c r="G38" s="3285"/>
    </row>
    <row r="39" spans="1:7" ht="19.5" customHeight="1" thickBot="1">
      <c r="A39" s="3750"/>
      <c r="B39" s="3747"/>
      <c r="C39" s="3287" t="s">
        <v>2838</v>
      </c>
      <c r="D39" s="3288"/>
      <c r="E39" s="3289">
        <v>0.6</v>
      </c>
      <c r="F39" s="3285" t="s">
        <v>2878</v>
      </c>
      <c r="G39" s="3285"/>
    </row>
    <row r="40" spans="1:7" ht="19.5" customHeight="1" thickBot="1">
      <c r="A40" s="3290" t="s">
        <v>2839</v>
      </c>
      <c r="B40" s="3291" t="s">
        <v>2839</v>
      </c>
      <c r="C40" s="3292" t="s">
        <v>2840</v>
      </c>
      <c r="D40" s="3293"/>
      <c r="E40" s="3294">
        <v>1</v>
      </c>
      <c r="F40" s="3285" t="s">
        <v>2879</v>
      </c>
      <c r="G40" s="3285"/>
    </row>
    <row r="41" spans="1:7" ht="19.5" customHeight="1">
      <c r="A41" s="3743" t="s">
        <v>2841</v>
      </c>
      <c r="B41" s="3746" t="s">
        <v>2842</v>
      </c>
      <c r="C41" s="3282" t="s">
        <v>2843</v>
      </c>
      <c r="D41" s="3283"/>
      <c r="E41" s="3284">
        <v>1</v>
      </c>
      <c r="F41" s="3285" t="s">
        <v>2844</v>
      </c>
      <c r="G41" s="3285"/>
    </row>
    <row r="42" spans="1:7" ht="19.5" customHeight="1">
      <c r="A42" s="3744"/>
      <c r="B42" s="3741"/>
      <c r="C42" s="740" t="s">
        <v>2845</v>
      </c>
      <c r="D42" s="741"/>
      <c r="E42" s="3286">
        <v>1</v>
      </c>
      <c r="F42" s="3285" t="s">
        <v>2846</v>
      </c>
      <c r="G42" s="3285"/>
    </row>
    <row r="43" spans="1:7" ht="19.5" customHeight="1">
      <c r="A43" s="3744"/>
      <c r="B43" s="3742"/>
      <c r="C43" s="740" t="s">
        <v>2847</v>
      </c>
      <c r="D43" s="741"/>
      <c r="E43" s="3286">
        <v>1.5</v>
      </c>
      <c r="F43" s="3285" t="s">
        <v>2848</v>
      </c>
      <c r="G43" s="3285"/>
    </row>
    <row r="44" spans="1:7" ht="19.5" customHeight="1">
      <c r="A44" s="3744"/>
      <c r="B44" s="3295" t="s">
        <v>2808</v>
      </c>
      <c r="C44" s="740" t="s">
        <v>2807</v>
      </c>
      <c r="D44" s="741"/>
      <c r="E44" s="3286">
        <v>2</v>
      </c>
      <c r="F44" s="3285" t="s">
        <v>2849</v>
      </c>
      <c r="G44" s="3285"/>
    </row>
    <row r="45" spans="1:7" ht="19.5" customHeight="1">
      <c r="A45" s="3744"/>
      <c r="B45" s="3740" t="s">
        <v>2850</v>
      </c>
      <c r="C45" s="740" t="s">
        <v>2851</v>
      </c>
      <c r="D45" s="741"/>
      <c r="E45" s="3286">
        <v>1</v>
      </c>
      <c r="F45" s="3285" t="s">
        <v>2852</v>
      </c>
      <c r="G45" s="3285"/>
    </row>
    <row r="46" spans="1:7" ht="19.5" customHeight="1">
      <c r="A46" s="3744"/>
      <c r="B46" s="3741"/>
      <c r="C46" s="740" t="s">
        <v>2853</v>
      </c>
      <c r="D46" s="741"/>
      <c r="E46" s="3286">
        <v>1</v>
      </c>
      <c r="F46" s="3285" t="s">
        <v>2854</v>
      </c>
      <c r="G46" s="3285"/>
    </row>
    <row r="47" spans="1:7" ht="19.5" customHeight="1">
      <c r="A47" s="3744"/>
      <c r="B47" s="3741"/>
      <c r="C47" s="740" t="s">
        <v>2855</v>
      </c>
      <c r="D47" s="741"/>
      <c r="E47" s="3286">
        <v>1</v>
      </c>
      <c r="F47" s="3285" t="s">
        <v>2856</v>
      </c>
      <c r="G47" s="3285"/>
    </row>
    <row r="48" spans="1:7" ht="19.5" customHeight="1">
      <c r="A48" s="3744"/>
      <c r="B48" s="3741"/>
      <c r="C48" s="740" t="s">
        <v>2857</v>
      </c>
      <c r="D48" s="741"/>
      <c r="E48" s="3286">
        <v>1</v>
      </c>
      <c r="F48" s="3285" t="s">
        <v>2858</v>
      </c>
      <c r="G48" s="3285"/>
    </row>
    <row r="49" spans="1:7" ht="19.5" customHeight="1">
      <c r="A49" s="3744"/>
      <c r="B49" s="3741"/>
      <c r="C49" s="740" t="s">
        <v>2859</v>
      </c>
      <c r="D49" s="741"/>
      <c r="E49" s="3286">
        <v>1</v>
      </c>
      <c r="F49" s="3285" t="s">
        <v>2860</v>
      </c>
      <c r="G49" s="3285"/>
    </row>
    <row r="50" spans="1:7" ht="19.5" customHeight="1">
      <c r="A50" s="3744"/>
      <c r="B50" s="3741"/>
      <c r="C50" s="740" t="s">
        <v>2861</v>
      </c>
      <c r="D50" s="741"/>
      <c r="E50" s="3286">
        <v>1</v>
      </c>
      <c r="F50" s="3285" t="s">
        <v>2862</v>
      </c>
      <c r="G50" s="3285"/>
    </row>
    <row r="51" spans="1:7" ht="19.5" customHeight="1" thickBot="1">
      <c r="A51" s="3745"/>
      <c r="B51" s="3747"/>
      <c r="C51" s="3287" t="s">
        <v>2863</v>
      </c>
      <c r="D51" s="3288"/>
      <c r="E51" s="3289">
        <v>1</v>
      </c>
      <c r="F51" s="3285" t="s">
        <v>2864</v>
      </c>
      <c r="G51" s="3285"/>
    </row>
    <row r="52" spans="1:7" ht="19.5" customHeight="1">
      <c r="A52" s="3310"/>
      <c r="B52" s="3310"/>
      <c r="C52" s="3310"/>
      <c r="D52" s="3310"/>
      <c r="E52" s="3310"/>
      <c r="F52" s="3311"/>
      <c r="G52" s="3311"/>
    </row>
    <row r="54" spans="1:7" ht="19.5" customHeight="1">
      <c r="A54" s="3312"/>
      <c r="B54" s="3276" t="s">
        <v>513</v>
      </c>
      <c r="C54" s="3276" t="s">
        <v>513</v>
      </c>
      <c r="D54" s="3276" t="s">
        <v>513</v>
      </c>
      <c r="E54" s="3278" t="s">
        <v>513</v>
      </c>
      <c r="F54" s="3278" t="s">
        <v>514</v>
      </c>
      <c r="G54" s="3278" t="s">
        <v>513</v>
      </c>
    </row>
    <row r="55" spans="1:7" ht="19.5" customHeight="1">
      <c r="A55" s="3313"/>
      <c r="B55" s="3278" t="s">
        <v>132</v>
      </c>
      <c r="C55" s="3278" t="s">
        <v>132</v>
      </c>
      <c r="D55" s="3278" t="s">
        <v>132</v>
      </c>
      <c r="E55" s="3276" t="s">
        <v>133</v>
      </c>
      <c r="F55" s="3276" t="s">
        <v>134</v>
      </c>
      <c r="G55" s="3276" t="s">
        <v>515</v>
      </c>
    </row>
    <row r="56" spans="1:7" ht="19.5" customHeight="1">
      <c r="A56" s="3314"/>
      <c r="B56" s="3276">
        <v>1</v>
      </c>
      <c r="C56" s="3276">
        <v>2</v>
      </c>
      <c r="D56" s="3276">
        <v>3</v>
      </c>
      <c r="E56" s="3280" t="s">
        <v>516</v>
      </c>
      <c r="F56" s="3280" t="s">
        <v>516</v>
      </c>
      <c r="G56" s="3280" t="s">
        <v>516</v>
      </c>
    </row>
    <row r="57" spans="1:7" ht="19.5" customHeight="1">
      <c r="A57" s="3302" t="s">
        <v>106</v>
      </c>
      <c r="B57" s="3276">
        <v>0.7</v>
      </c>
      <c r="C57" s="3276">
        <v>0.4</v>
      </c>
      <c r="D57" s="3276">
        <v>0.3</v>
      </c>
      <c r="E57" s="3280">
        <v>0.3</v>
      </c>
      <c r="F57" s="3276">
        <v>0.3</v>
      </c>
      <c r="G57" s="3276">
        <v>0.2</v>
      </c>
    </row>
    <row r="58" spans="1:7" ht="19.5" customHeight="1">
      <c r="A58" s="3302" t="s">
        <v>107</v>
      </c>
      <c r="B58" s="3276">
        <v>0.7</v>
      </c>
      <c r="C58" s="3276">
        <v>0.4</v>
      </c>
      <c r="D58" s="3276">
        <v>0.3</v>
      </c>
      <c r="E58" s="3276">
        <v>0.3</v>
      </c>
      <c r="F58" s="3276">
        <v>0.3</v>
      </c>
      <c r="G58" s="3276">
        <v>0.2</v>
      </c>
    </row>
    <row r="59" spans="1:7" ht="19.5" customHeight="1">
      <c r="A59" s="3302" t="s">
        <v>108</v>
      </c>
      <c r="B59" s="3276">
        <v>0.6</v>
      </c>
      <c r="C59" s="3276">
        <v>0.3</v>
      </c>
      <c r="D59" s="3276">
        <v>0.25</v>
      </c>
      <c r="E59" s="3276">
        <v>0.25</v>
      </c>
      <c r="F59" s="3276">
        <v>0.25</v>
      </c>
      <c r="G59" s="3276">
        <v>0.15</v>
      </c>
    </row>
    <row r="60" spans="1:7" ht="19.5" customHeight="1">
      <c r="A60" s="3302" t="s">
        <v>109</v>
      </c>
      <c r="B60" s="3276">
        <v>0.6</v>
      </c>
      <c r="C60" s="3276">
        <v>0.3</v>
      </c>
      <c r="D60" s="3276">
        <v>0.25</v>
      </c>
      <c r="E60" s="3276">
        <v>0.25</v>
      </c>
      <c r="F60" s="3276">
        <v>0.25</v>
      </c>
      <c r="G60" s="3276">
        <v>0.15</v>
      </c>
    </row>
    <row r="61" spans="1:7" ht="19.5" customHeight="1">
      <c r="A61" s="3302" t="s">
        <v>110</v>
      </c>
      <c r="B61" s="3276">
        <v>0.6</v>
      </c>
      <c r="C61" s="3276">
        <v>0.3</v>
      </c>
      <c r="D61" s="3276">
        <v>0.25</v>
      </c>
      <c r="E61" s="3276">
        <v>0.25</v>
      </c>
      <c r="F61" s="3276">
        <v>0.25</v>
      </c>
      <c r="G61" s="3276">
        <v>0.15</v>
      </c>
    </row>
    <row r="62" spans="1:7" ht="19.5" customHeight="1">
      <c r="A62" s="3302" t="s">
        <v>111</v>
      </c>
      <c r="B62" s="3276">
        <v>0.6</v>
      </c>
      <c r="C62" s="3276">
        <v>0.3</v>
      </c>
      <c r="D62" s="3276">
        <v>0.25</v>
      </c>
      <c r="E62" s="3276">
        <v>0.25</v>
      </c>
      <c r="F62" s="3276">
        <v>0.25</v>
      </c>
      <c r="G62" s="3276">
        <v>0.15</v>
      </c>
    </row>
    <row r="63" spans="1:7" ht="19.5" customHeight="1">
      <c r="A63" s="3302" t="s">
        <v>112</v>
      </c>
      <c r="B63" s="3276">
        <v>0.6</v>
      </c>
      <c r="C63" s="3276">
        <v>0.3</v>
      </c>
      <c r="D63" s="3276">
        <v>0.25</v>
      </c>
      <c r="E63" s="3276">
        <v>0.25</v>
      </c>
      <c r="F63" s="3276">
        <v>0.25</v>
      </c>
      <c r="G63" s="3276">
        <v>0.15</v>
      </c>
    </row>
    <row r="64" spans="1:7" ht="19.5" customHeight="1">
      <c r="A64" s="3302" t="s">
        <v>113</v>
      </c>
      <c r="B64" s="3276">
        <v>0.5</v>
      </c>
      <c r="C64" s="3276">
        <v>0.2</v>
      </c>
      <c r="D64" s="3276">
        <v>0.2</v>
      </c>
      <c r="E64" s="3276">
        <v>0.2</v>
      </c>
      <c r="F64" s="3276">
        <v>0.2</v>
      </c>
      <c r="G64" s="3276">
        <v>0.1</v>
      </c>
    </row>
    <row r="65" spans="1:7" ht="19.5" customHeight="1">
      <c r="A65" s="3302" t="s">
        <v>114</v>
      </c>
      <c r="B65" s="3276">
        <v>0.5</v>
      </c>
      <c r="C65" s="3276">
        <v>0.2</v>
      </c>
      <c r="D65" s="3276">
        <v>0.2</v>
      </c>
      <c r="E65" s="3276">
        <v>0.2</v>
      </c>
      <c r="F65" s="3276">
        <v>0.2</v>
      </c>
      <c r="G65" s="3276">
        <v>0.1</v>
      </c>
    </row>
    <row r="66" spans="1:7" ht="19.5" customHeight="1">
      <c r="A66" s="3302" t="s">
        <v>115</v>
      </c>
      <c r="B66" s="3276">
        <v>0.5</v>
      </c>
      <c r="C66" s="3276">
        <v>0.2</v>
      </c>
      <c r="D66" s="3276">
        <v>0.2</v>
      </c>
      <c r="E66" s="3276">
        <v>0.2</v>
      </c>
      <c r="F66" s="3276">
        <v>0.2</v>
      </c>
      <c r="G66" s="3276">
        <v>0.1</v>
      </c>
    </row>
    <row r="67" spans="1:7" ht="19.5" customHeight="1">
      <c r="A67" s="3302" t="s">
        <v>116</v>
      </c>
      <c r="B67" s="3276">
        <v>0.5</v>
      </c>
      <c r="C67" s="3276">
        <v>0.2</v>
      </c>
      <c r="D67" s="3276">
        <v>0.2</v>
      </c>
      <c r="E67" s="3276">
        <v>0.2</v>
      </c>
      <c r="F67" s="3276">
        <v>0.2</v>
      </c>
      <c r="G67" s="3276">
        <v>0.1</v>
      </c>
    </row>
    <row r="68" spans="1:7" ht="19.5" customHeight="1">
      <c r="A68" s="3302" t="s">
        <v>117</v>
      </c>
      <c r="B68" s="3276">
        <v>0.5</v>
      </c>
      <c r="C68" s="3276">
        <v>0.2</v>
      </c>
      <c r="D68" s="3276">
        <v>0.2</v>
      </c>
      <c r="E68" s="3276">
        <v>0.2</v>
      </c>
      <c r="F68" s="3276">
        <v>0.2</v>
      </c>
      <c r="G68" s="3276">
        <v>0.1</v>
      </c>
    </row>
    <row r="70" spans="1:7" ht="19.5" customHeight="1">
      <c r="A70" s="3315"/>
      <c r="B70" s="3306"/>
      <c r="C70" s="3306"/>
      <c r="D70" s="3306" t="s">
        <v>517</v>
      </c>
      <c r="E70" s="3306"/>
      <c r="F70" s="3306"/>
    </row>
    <row r="71" spans="1:7" ht="19.5" customHeight="1">
      <c r="A71" s="3295" t="s">
        <v>518</v>
      </c>
      <c r="B71" s="3295" t="s">
        <v>519</v>
      </c>
      <c r="C71" s="3295" t="s">
        <v>520</v>
      </c>
      <c r="D71" s="3295" t="s">
        <v>521</v>
      </c>
      <c r="E71" s="3295" t="s">
        <v>522</v>
      </c>
      <c r="F71" s="3295" t="s">
        <v>523</v>
      </c>
    </row>
    <row r="72" spans="1:7" ht="13.5">
      <c r="A72" s="3295"/>
      <c r="B72" s="3295"/>
      <c r="C72" s="3295" t="s">
        <v>2880</v>
      </c>
      <c r="D72" s="3295"/>
      <c r="E72" s="3301" t="s">
        <v>1</v>
      </c>
      <c r="F72" s="3295" t="s">
        <v>1</v>
      </c>
    </row>
    <row r="73" spans="1:7" ht="13.5">
      <c r="A73" s="3295">
        <v>1</v>
      </c>
      <c r="B73" s="3740" t="s">
        <v>2881</v>
      </c>
      <c r="C73" s="3276" t="s">
        <v>2882</v>
      </c>
      <c r="D73" s="3276" t="s">
        <v>2883</v>
      </c>
      <c r="E73" s="3301">
        <v>0.2</v>
      </c>
      <c r="F73" s="3295">
        <v>25</v>
      </c>
    </row>
    <row r="74" spans="1:7" ht="24">
      <c r="A74" s="3295">
        <v>2</v>
      </c>
      <c r="B74" s="3741"/>
      <c r="C74" s="3276" t="s">
        <v>2884</v>
      </c>
      <c r="D74" s="3276" t="s">
        <v>2885</v>
      </c>
      <c r="E74" s="3301">
        <v>0.2</v>
      </c>
      <c r="F74" s="3295">
        <v>25</v>
      </c>
    </row>
    <row r="75" spans="1:7" ht="24">
      <c r="A75" s="3295">
        <v>3</v>
      </c>
      <c r="B75" s="3741"/>
      <c r="C75" s="3276" t="s">
        <v>2886</v>
      </c>
      <c r="D75" s="3276" t="s">
        <v>2887</v>
      </c>
      <c r="E75" s="3301">
        <v>0.2</v>
      </c>
      <c r="F75" s="3295">
        <v>25</v>
      </c>
    </row>
    <row r="76" spans="1:7" ht="13.5">
      <c r="A76" s="3295">
        <v>4</v>
      </c>
      <c r="B76" s="3741"/>
      <c r="C76" s="3276" t="s">
        <v>2888</v>
      </c>
      <c r="D76" s="3276" t="s">
        <v>2889</v>
      </c>
      <c r="E76" s="3301">
        <v>0.15</v>
      </c>
      <c r="F76" s="3295">
        <v>20</v>
      </c>
    </row>
    <row r="77" spans="1:7" ht="24">
      <c r="A77" s="3295">
        <v>5</v>
      </c>
      <c r="B77" s="3741"/>
      <c r="C77" s="3276" t="s">
        <v>2890</v>
      </c>
      <c r="D77" s="3276" t="s">
        <v>2891</v>
      </c>
      <c r="E77" s="3301">
        <v>0.15</v>
      </c>
      <c r="F77" s="3295">
        <v>20</v>
      </c>
    </row>
    <row r="78" spans="1:7" ht="24">
      <c r="A78" s="3295">
        <v>6</v>
      </c>
      <c r="B78" s="3741"/>
      <c r="C78" s="3276" t="s">
        <v>2892</v>
      </c>
      <c r="D78" s="3276" t="s">
        <v>2893</v>
      </c>
      <c r="E78" s="3301">
        <v>0.15</v>
      </c>
      <c r="F78" s="3295">
        <v>20</v>
      </c>
    </row>
    <row r="79" spans="1:7" ht="24">
      <c r="A79" s="3295">
        <v>7</v>
      </c>
      <c r="B79" s="3741"/>
      <c r="C79" s="3276" t="s">
        <v>2894</v>
      </c>
      <c r="D79" s="3276" t="s">
        <v>2895</v>
      </c>
      <c r="E79" s="3301">
        <v>0.15</v>
      </c>
      <c r="F79" s="3295">
        <v>20</v>
      </c>
    </row>
    <row r="80" spans="1:7" ht="24">
      <c r="A80" s="3295">
        <v>8</v>
      </c>
      <c r="B80" s="3741"/>
      <c r="C80" s="3276" t="s">
        <v>2896</v>
      </c>
      <c r="D80" s="3276" t="s">
        <v>2897</v>
      </c>
      <c r="E80" s="3301">
        <v>0.1</v>
      </c>
      <c r="F80" s="3295">
        <v>15</v>
      </c>
    </row>
    <row r="81" spans="1:6" ht="24">
      <c r="A81" s="3295">
        <v>9</v>
      </c>
      <c r="B81" s="3741"/>
      <c r="C81" s="3276" t="s">
        <v>2898</v>
      </c>
      <c r="D81" s="3276" t="s">
        <v>2899</v>
      </c>
      <c r="E81" s="3301">
        <v>0.1</v>
      </c>
      <c r="F81" s="3295">
        <v>15</v>
      </c>
    </row>
    <row r="82" spans="1:6" ht="24">
      <c r="A82" s="3295">
        <v>10</v>
      </c>
      <c r="B82" s="3741"/>
      <c r="C82" s="3276" t="s">
        <v>2900</v>
      </c>
      <c r="D82" s="3276" t="s">
        <v>2901</v>
      </c>
      <c r="E82" s="3301">
        <v>0.1</v>
      </c>
      <c r="F82" s="3295">
        <v>15</v>
      </c>
    </row>
    <row r="83" spans="1:6" ht="24">
      <c r="A83" s="3295">
        <v>11</v>
      </c>
      <c r="B83" s="3741"/>
      <c r="C83" s="3276" t="s">
        <v>2902</v>
      </c>
      <c r="D83" s="3276" t="s">
        <v>2903</v>
      </c>
      <c r="E83" s="3301">
        <v>0.1</v>
      </c>
      <c r="F83" s="3295">
        <v>15</v>
      </c>
    </row>
    <row r="84" spans="1:6" ht="24">
      <c r="A84" s="3295">
        <v>12</v>
      </c>
      <c r="B84" s="3741"/>
      <c r="C84" s="3276" t="s">
        <v>2904</v>
      </c>
      <c r="D84" s="3276" t="s">
        <v>2905</v>
      </c>
      <c r="E84" s="3301">
        <v>0.1</v>
      </c>
      <c r="F84" s="3295">
        <v>15</v>
      </c>
    </row>
    <row r="85" spans="1:6" ht="13.5">
      <c r="A85" s="3295">
        <v>13</v>
      </c>
      <c r="B85" s="3741"/>
      <c r="C85" s="3276" t="s">
        <v>2906</v>
      </c>
      <c r="D85" s="3276" t="s">
        <v>2907</v>
      </c>
      <c r="E85" s="3301">
        <v>0.1</v>
      </c>
      <c r="F85" s="3295">
        <v>15</v>
      </c>
    </row>
    <row r="86" spans="1:6" ht="13.5">
      <c r="A86" s="3295">
        <v>14</v>
      </c>
      <c r="B86" s="3741"/>
      <c r="C86" s="3276" t="s">
        <v>2908</v>
      </c>
      <c r="D86" s="3276" t="s">
        <v>2909</v>
      </c>
      <c r="E86" s="3301">
        <v>0.1</v>
      </c>
      <c r="F86" s="3295">
        <v>15</v>
      </c>
    </row>
    <row r="87" spans="1:6" ht="13.5">
      <c r="A87" s="3295">
        <v>15</v>
      </c>
      <c r="B87" s="3741"/>
      <c r="C87" s="3276" t="s">
        <v>2910</v>
      </c>
      <c r="D87" s="3276" t="s">
        <v>2911</v>
      </c>
      <c r="E87" s="3301">
        <v>0.1</v>
      </c>
      <c r="F87" s="3295">
        <v>15</v>
      </c>
    </row>
    <row r="88" spans="1:6" ht="24">
      <c r="A88" s="3295">
        <v>16</v>
      </c>
      <c r="B88" s="3741"/>
      <c r="C88" s="3276" t="s">
        <v>2912</v>
      </c>
      <c r="D88" s="3276" t="s">
        <v>2913</v>
      </c>
      <c r="E88" s="3301">
        <v>0.1</v>
      </c>
      <c r="F88" s="3295">
        <v>15</v>
      </c>
    </row>
    <row r="89" spans="1:6" ht="24">
      <c r="A89" s="3295">
        <v>17</v>
      </c>
      <c r="B89" s="3742"/>
      <c r="C89" s="3276" t="s">
        <v>2914</v>
      </c>
      <c r="D89" s="3276" t="s">
        <v>2915</v>
      </c>
      <c r="E89" s="3301">
        <v>0.1</v>
      </c>
      <c r="F89" s="3295">
        <v>15</v>
      </c>
    </row>
    <row r="90" spans="1:6" ht="13.5">
      <c r="A90" s="3295">
        <v>18</v>
      </c>
      <c r="B90" s="3740" t="s">
        <v>2916</v>
      </c>
      <c r="C90" s="3276" t="s">
        <v>2917</v>
      </c>
      <c r="D90" s="3276" t="s">
        <v>2918</v>
      </c>
      <c r="E90" s="3301">
        <v>0.2</v>
      </c>
      <c r="F90" s="3295">
        <v>25</v>
      </c>
    </row>
    <row r="91" spans="1:6" ht="24">
      <c r="A91" s="3295">
        <v>19</v>
      </c>
      <c r="B91" s="3741"/>
      <c r="C91" s="3276" t="s">
        <v>2919</v>
      </c>
      <c r="D91" s="3276" t="s">
        <v>2920</v>
      </c>
      <c r="E91" s="3301">
        <v>0.2</v>
      </c>
      <c r="F91" s="3295">
        <v>25</v>
      </c>
    </row>
    <row r="92" spans="1:6" ht="13.5">
      <c r="A92" s="3295">
        <v>20</v>
      </c>
      <c r="B92" s="3741"/>
      <c r="C92" s="3276" t="s">
        <v>2921</v>
      </c>
      <c r="D92" s="3276" t="s">
        <v>2922</v>
      </c>
      <c r="E92" s="3301">
        <v>0.15</v>
      </c>
      <c r="F92" s="3295">
        <v>20</v>
      </c>
    </row>
    <row r="93" spans="1:6" ht="24">
      <c r="A93" s="3295">
        <v>21</v>
      </c>
      <c r="B93" s="3741"/>
      <c r="C93" s="3276" t="s">
        <v>2923</v>
      </c>
      <c r="D93" s="3276" t="s">
        <v>2924</v>
      </c>
      <c r="E93" s="3301">
        <v>0.15</v>
      </c>
      <c r="F93" s="3295">
        <v>20</v>
      </c>
    </row>
    <row r="94" spans="1:6" ht="24">
      <c r="A94" s="3295">
        <v>22</v>
      </c>
      <c r="B94" s="3741"/>
      <c r="C94" s="3276" t="s">
        <v>2925</v>
      </c>
      <c r="D94" s="3276" t="s">
        <v>2926</v>
      </c>
      <c r="E94" s="3301">
        <v>0.15</v>
      </c>
      <c r="F94" s="3295">
        <v>20</v>
      </c>
    </row>
    <row r="95" spans="1:6" ht="36">
      <c r="A95" s="3295">
        <v>23</v>
      </c>
      <c r="B95" s="3741"/>
      <c r="C95" s="3276" t="s">
        <v>2927</v>
      </c>
      <c r="D95" s="3276" t="s">
        <v>2928</v>
      </c>
      <c r="E95" s="3301">
        <v>0.15</v>
      </c>
      <c r="F95" s="3295">
        <v>20</v>
      </c>
    </row>
    <row r="96" spans="1:6" ht="13.5">
      <c r="A96" s="3295">
        <v>24</v>
      </c>
      <c r="B96" s="3741"/>
      <c r="C96" s="3276" t="s">
        <v>2929</v>
      </c>
      <c r="D96" s="3276" t="s">
        <v>2930</v>
      </c>
      <c r="E96" s="3301">
        <v>0.1</v>
      </c>
      <c r="F96" s="3295">
        <v>15</v>
      </c>
    </row>
    <row r="97" spans="1:6" ht="24">
      <c r="A97" s="3295">
        <v>25</v>
      </c>
      <c r="B97" s="3741"/>
      <c r="C97" s="3276" t="s">
        <v>2931</v>
      </c>
      <c r="D97" s="3276" t="s">
        <v>2932</v>
      </c>
      <c r="E97" s="3301">
        <v>0.1</v>
      </c>
      <c r="F97" s="3295">
        <v>15</v>
      </c>
    </row>
    <row r="98" spans="1:6" ht="24">
      <c r="A98" s="3295">
        <v>26</v>
      </c>
      <c r="B98" s="3741"/>
      <c r="C98" s="3276" t="s">
        <v>2933</v>
      </c>
      <c r="D98" s="3276" t="s">
        <v>2934</v>
      </c>
      <c r="E98" s="3301">
        <v>0.1</v>
      </c>
      <c r="F98" s="3295">
        <v>15</v>
      </c>
    </row>
    <row r="99" spans="1:6" ht="24">
      <c r="A99" s="3295">
        <v>27</v>
      </c>
      <c r="B99" s="3741"/>
      <c r="C99" s="3276" t="s">
        <v>2935</v>
      </c>
      <c r="D99" s="3276" t="s">
        <v>2936</v>
      </c>
      <c r="E99" s="3301">
        <v>0.1</v>
      </c>
      <c r="F99" s="3295">
        <v>15</v>
      </c>
    </row>
    <row r="100" spans="1:6" ht="24">
      <c r="A100" s="3295">
        <v>28</v>
      </c>
      <c r="B100" s="3741"/>
      <c r="C100" s="3276" t="s">
        <v>2937</v>
      </c>
      <c r="D100" s="3276" t="s">
        <v>2938</v>
      </c>
      <c r="E100" s="3301">
        <v>0.1</v>
      </c>
      <c r="F100" s="3295">
        <v>15</v>
      </c>
    </row>
    <row r="101" spans="1:6" ht="24">
      <c r="A101" s="3295">
        <v>29</v>
      </c>
      <c r="B101" s="3741"/>
      <c r="C101" s="3276" t="s">
        <v>2939</v>
      </c>
      <c r="D101" s="3276" t="s">
        <v>2940</v>
      </c>
      <c r="E101" s="3301">
        <v>0.1</v>
      </c>
      <c r="F101" s="3295">
        <v>15</v>
      </c>
    </row>
    <row r="102" spans="1:6" ht="24">
      <c r="A102" s="3295">
        <v>30</v>
      </c>
      <c r="B102" s="3741"/>
      <c r="C102" s="3276" t="s">
        <v>2941</v>
      </c>
      <c r="D102" s="3276" t="s">
        <v>2942</v>
      </c>
      <c r="E102" s="3301">
        <v>0.1</v>
      </c>
      <c r="F102" s="3295">
        <v>15</v>
      </c>
    </row>
    <row r="103" spans="1:6" ht="24">
      <c r="A103" s="3295">
        <v>31</v>
      </c>
      <c r="B103" s="3741"/>
      <c r="C103" s="3276" t="s">
        <v>2943</v>
      </c>
      <c r="D103" s="3276" t="s">
        <v>2944</v>
      </c>
      <c r="E103" s="3301">
        <v>0.1</v>
      </c>
      <c r="F103" s="3295">
        <v>15</v>
      </c>
    </row>
    <row r="104" spans="1:6" ht="24">
      <c r="A104" s="3295">
        <v>32</v>
      </c>
      <c r="B104" s="3741"/>
      <c r="C104" s="3276" t="s">
        <v>2945</v>
      </c>
      <c r="D104" s="3276" t="s">
        <v>2946</v>
      </c>
      <c r="E104" s="3301">
        <v>0.1</v>
      </c>
      <c r="F104" s="3295">
        <v>15</v>
      </c>
    </row>
    <row r="105" spans="1:6" ht="24">
      <c r="A105" s="3295">
        <v>33</v>
      </c>
      <c r="B105" s="3741"/>
      <c r="C105" s="3276" t="s">
        <v>2947</v>
      </c>
      <c r="D105" s="3276" t="s">
        <v>2948</v>
      </c>
      <c r="E105" s="3301">
        <v>0.1</v>
      </c>
      <c r="F105" s="3295">
        <v>15</v>
      </c>
    </row>
    <row r="106" spans="1:6" ht="24">
      <c r="A106" s="3295">
        <v>34</v>
      </c>
      <c r="B106" s="3742"/>
      <c r="C106" s="3276" t="s">
        <v>2949</v>
      </c>
      <c r="D106" s="3276" t="s">
        <v>2950</v>
      </c>
      <c r="E106" s="3301">
        <v>0.1</v>
      </c>
      <c r="F106" s="3295">
        <v>15</v>
      </c>
    </row>
    <row r="107" spans="1:6" ht="24">
      <c r="A107" s="3295">
        <v>35</v>
      </c>
      <c r="B107" s="3740" t="s">
        <v>2951</v>
      </c>
      <c r="C107" s="3295" t="s">
        <v>2952</v>
      </c>
      <c r="D107" s="3276" t="s">
        <v>2953</v>
      </c>
      <c r="E107" s="3301">
        <v>0.15</v>
      </c>
      <c r="F107" s="3295">
        <v>20</v>
      </c>
    </row>
    <row r="108" spans="1:6" ht="24">
      <c r="A108" s="3295">
        <v>36</v>
      </c>
      <c r="B108" s="3741"/>
      <c r="C108" s="3295" t="s">
        <v>2954</v>
      </c>
      <c r="D108" s="3276" t="s">
        <v>2955</v>
      </c>
      <c r="E108" s="3301">
        <v>0.15</v>
      </c>
      <c r="F108" s="3295">
        <v>20</v>
      </c>
    </row>
    <row r="109" spans="1:6" ht="24">
      <c r="A109" s="3295">
        <v>37</v>
      </c>
      <c r="B109" s="3741"/>
      <c r="C109" s="3295" t="s">
        <v>2956</v>
      </c>
      <c r="D109" s="3276" t="s">
        <v>2957</v>
      </c>
      <c r="E109" s="3301">
        <v>0.15</v>
      </c>
      <c r="F109" s="3295">
        <v>20</v>
      </c>
    </row>
    <row r="110" spans="1:6" ht="13.5">
      <c r="A110" s="3295">
        <v>38</v>
      </c>
      <c r="B110" s="3741"/>
      <c r="C110" s="3295" t="s">
        <v>2958</v>
      </c>
      <c r="D110" s="3276" t="s">
        <v>2959</v>
      </c>
      <c r="E110" s="3301">
        <v>0.1</v>
      </c>
      <c r="F110" s="3295">
        <v>15</v>
      </c>
    </row>
    <row r="111" spans="1:6" ht="24">
      <c r="A111" s="3295">
        <v>39</v>
      </c>
      <c r="B111" s="3741"/>
      <c r="C111" s="3295" t="s">
        <v>2960</v>
      </c>
      <c r="D111" s="3276" t="s">
        <v>2961</v>
      </c>
      <c r="E111" s="3301">
        <v>0.1</v>
      </c>
      <c r="F111" s="3295">
        <v>15</v>
      </c>
    </row>
    <row r="112" spans="1:6" ht="24">
      <c r="A112" s="3295">
        <v>40</v>
      </c>
      <c r="B112" s="3742"/>
      <c r="C112" s="3295" t="s">
        <v>2962</v>
      </c>
      <c r="D112" s="3276" t="s">
        <v>2963</v>
      </c>
      <c r="E112" s="3301">
        <v>0.1</v>
      </c>
      <c r="F112" s="3295">
        <v>15</v>
      </c>
    </row>
    <row r="113" spans="1:6" ht="24">
      <c r="A113" s="3295">
        <v>41</v>
      </c>
      <c r="B113" s="3751" t="s">
        <v>2964</v>
      </c>
      <c r="C113" s="3295" t="s">
        <v>2965</v>
      </c>
      <c r="D113" s="3276" t="s">
        <v>2966</v>
      </c>
      <c r="E113" s="3301">
        <v>0.1</v>
      </c>
      <c r="F113" s="3295">
        <v>15</v>
      </c>
    </row>
    <row r="114" spans="1:6" ht="13.5">
      <c r="A114" s="3295">
        <v>42</v>
      </c>
      <c r="B114" s="3751"/>
      <c r="C114" s="3295" t="s">
        <v>2967</v>
      </c>
      <c r="D114" s="3276" t="s">
        <v>2968</v>
      </c>
      <c r="E114" s="3301">
        <v>0.1</v>
      </c>
      <c r="F114" s="3295">
        <v>15</v>
      </c>
    </row>
    <row r="115" spans="1:6" ht="24">
      <c r="A115" s="3295">
        <v>43</v>
      </c>
      <c r="B115" s="3751"/>
      <c r="C115" s="3295" t="s">
        <v>2969</v>
      </c>
      <c r="D115" s="3276" t="s">
        <v>2970</v>
      </c>
      <c r="E115" s="3301">
        <v>0.1</v>
      </c>
      <c r="F115" s="3295">
        <v>15</v>
      </c>
    </row>
    <row r="116" spans="1:6" ht="24">
      <c r="A116" s="3295">
        <v>44</v>
      </c>
      <c r="B116" s="3740" t="s">
        <v>2971</v>
      </c>
      <c r="C116" s="3295" t="s">
        <v>2972</v>
      </c>
      <c r="D116" s="3276" t="s">
        <v>2973</v>
      </c>
      <c r="E116" s="3301">
        <v>0.1</v>
      </c>
      <c r="F116" s="3295">
        <v>15</v>
      </c>
    </row>
    <row r="117" spans="1:6" ht="24">
      <c r="A117" s="3295">
        <v>45</v>
      </c>
      <c r="B117" s="3742"/>
      <c r="C117" s="3276" t="s">
        <v>2974</v>
      </c>
      <c r="D117" s="3276" t="s">
        <v>2975</v>
      </c>
      <c r="E117" s="3301">
        <v>0.1</v>
      </c>
      <c r="F117" s="3295">
        <v>15</v>
      </c>
    </row>
    <row r="118" spans="1:6" ht="24">
      <c r="A118" s="3295">
        <v>46</v>
      </c>
      <c r="B118" s="3740" t="s">
        <v>2976</v>
      </c>
      <c r="C118" s="3295" t="s">
        <v>2977</v>
      </c>
      <c r="D118" s="3276" t="s">
        <v>2978</v>
      </c>
      <c r="E118" s="3301">
        <v>0.1</v>
      </c>
      <c r="F118" s="3295">
        <v>15</v>
      </c>
    </row>
    <row r="119" spans="1:6" ht="24">
      <c r="A119" s="3295">
        <v>47</v>
      </c>
      <c r="B119" s="3742"/>
      <c r="C119" s="3295" t="s">
        <v>2979</v>
      </c>
      <c r="D119" s="3276" t="s">
        <v>2980</v>
      </c>
      <c r="E119" s="3301">
        <v>0.1</v>
      </c>
      <c r="F119" s="3295">
        <v>15</v>
      </c>
    </row>
    <row r="120" spans="1:6" ht="24">
      <c r="A120" s="3295">
        <v>48</v>
      </c>
      <c r="B120" s="3740" t="s">
        <v>2981</v>
      </c>
      <c r="C120" s="3295" t="s">
        <v>2982</v>
      </c>
      <c r="D120" s="3276" t="s">
        <v>2983</v>
      </c>
      <c r="E120" s="3301">
        <v>0.1</v>
      </c>
      <c r="F120" s="3295">
        <v>15</v>
      </c>
    </row>
    <row r="121" spans="1:6" ht="13.5">
      <c r="A121" s="3295">
        <v>49</v>
      </c>
      <c r="B121" s="3742"/>
      <c r="C121" s="3295" t="s">
        <v>2984</v>
      </c>
      <c r="D121" s="3276" t="s">
        <v>2985</v>
      </c>
      <c r="E121" s="3301">
        <v>0.1</v>
      </c>
      <c r="F121" s="3295">
        <v>15</v>
      </c>
    </row>
    <row r="122" spans="1:6" ht="24">
      <c r="A122" s="3295">
        <v>50</v>
      </c>
      <c r="B122" s="3751" t="s">
        <v>2986</v>
      </c>
      <c r="C122" s="3295" t="s">
        <v>2987</v>
      </c>
      <c r="D122" s="3276" t="s">
        <v>2988</v>
      </c>
      <c r="E122" s="3301">
        <v>0.1</v>
      </c>
      <c r="F122" s="3295">
        <v>15</v>
      </c>
    </row>
    <row r="123" spans="1:6" ht="24">
      <c r="A123" s="3295">
        <v>51</v>
      </c>
      <c r="B123" s="3751"/>
      <c r="C123" s="3295" t="s">
        <v>2989</v>
      </c>
      <c r="D123" s="3276" t="s">
        <v>2990</v>
      </c>
      <c r="E123" s="3301">
        <v>0.1</v>
      </c>
      <c r="F123" s="3295">
        <v>15</v>
      </c>
    </row>
    <row r="124" spans="1:6" ht="24">
      <c r="A124" s="3295">
        <v>52</v>
      </c>
      <c r="B124" s="3751" t="s">
        <v>2991</v>
      </c>
      <c r="C124" s="3295" t="s">
        <v>2992</v>
      </c>
      <c r="D124" s="3276" t="s">
        <v>2993</v>
      </c>
      <c r="E124" s="3301">
        <v>0.1</v>
      </c>
      <c r="F124" s="3295">
        <v>15</v>
      </c>
    </row>
    <row r="125" spans="1:6" ht="24">
      <c r="A125" s="3295">
        <v>53</v>
      </c>
      <c r="B125" s="3751"/>
      <c r="C125" s="3295" t="s">
        <v>2994</v>
      </c>
      <c r="D125" s="3276" t="s">
        <v>2995</v>
      </c>
      <c r="E125" s="3301">
        <v>0.1</v>
      </c>
      <c r="F125" s="3295">
        <v>15</v>
      </c>
    </row>
    <row r="126" spans="1:6" ht="24">
      <c r="A126" s="3295">
        <v>54</v>
      </c>
      <c r="B126" s="3295" t="s">
        <v>2996</v>
      </c>
      <c r="C126" s="3295" t="s">
        <v>2997</v>
      </c>
      <c r="D126" s="3276" t="s">
        <v>2998</v>
      </c>
      <c r="E126" s="3301">
        <v>0.1</v>
      </c>
      <c r="F126" s="3295">
        <v>15</v>
      </c>
    </row>
    <row r="127" spans="1:6" ht="13.5">
      <c r="A127" s="3295">
        <v>55</v>
      </c>
      <c r="B127" s="3751" t="s">
        <v>2999</v>
      </c>
      <c r="C127" s="3295" t="s">
        <v>3000</v>
      </c>
      <c r="D127" s="3276" t="s">
        <v>3001</v>
      </c>
      <c r="E127" s="3301">
        <v>0.1</v>
      </c>
      <c r="F127" s="3295">
        <v>15</v>
      </c>
    </row>
    <row r="128" spans="1:6" ht="13.5">
      <c r="A128" s="3295">
        <v>56</v>
      </c>
      <c r="B128" s="3751"/>
      <c r="C128" s="3295" t="s">
        <v>3002</v>
      </c>
      <c r="D128" s="3276" t="s">
        <v>3003</v>
      </c>
      <c r="E128" s="3301">
        <v>0.1</v>
      </c>
      <c r="F128" s="3295">
        <v>15</v>
      </c>
    </row>
    <row r="129" spans="1:6" ht="24">
      <c r="A129" s="3295">
        <v>57</v>
      </c>
      <c r="B129" s="3751"/>
      <c r="C129" s="3295" t="s">
        <v>3004</v>
      </c>
      <c r="D129" s="3276" t="s">
        <v>3005</v>
      </c>
      <c r="E129" s="3301">
        <v>0.1</v>
      </c>
      <c r="F129" s="3295">
        <v>15</v>
      </c>
    </row>
    <row r="130" spans="1:6" ht="24">
      <c r="A130" s="3295">
        <v>58</v>
      </c>
      <c r="B130" s="3751" t="s">
        <v>3006</v>
      </c>
      <c r="C130" s="3295" t="s">
        <v>3007</v>
      </c>
      <c r="D130" s="3276" t="s">
        <v>3008</v>
      </c>
      <c r="E130" s="3301">
        <v>0.1</v>
      </c>
      <c r="F130" s="3295">
        <v>15</v>
      </c>
    </row>
    <row r="131" spans="1:6" ht="24">
      <c r="A131" s="3295">
        <v>59</v>
      </c>
      <c r="B131" s="3751"/>
      <c r="C131" s="3295" t="s">
        <v>3009</v>
      </c>
      <c r="D131" s="3276" t="s">
        <v>3010</v>
      </c>
      <c r="E131" s="3301">
        <v>0.1</v>
      </c>
      <c r="F131" s="3295">
        <v>15</v>
      </c>
    </row>
    <row r="132" spans="1:6" ht="24">
      <c r="A132" s="3295">
        <v>60</v>
      </c>
      <c r="B132" s="3740" t="s">
        <v>3011</v>
      </c>
      <c r="C132" s="3295" t="s">
        <v>3012</v>
      </c>
      <c r="D132" s="3276" t="s">
        <v>3013</v>
      </c>
      <c r="E132" s="3301">
        <v>0.1</v>
      </c>
      <c r="F132" s="3295">
        <v>15</v>
      </c>
    </row>
    <row r="133" spans="1:6" ht="24">
      <c r="A133" s="3295">
        <v>61</v>
      </c>
      <c r="B133" s="3742"/>
      <c r="C133" s="3295" t="s">
        <v>3014</v>
      </c>
      <c r="D133" s="3276" t="s">
        <v>3015</v>
      </c>
      <c r="E133" s="3301">
        <v>0.1</v>
      </c>
      <c r="F133" s="3295">
        <v>15</v>
      </c>
    </row>
    <row r="134" spans="1:6" ht="24">
      <c r="A134" s="3295">
        <v>62</v>
      </c>
      <c r="B134" s="3295" t="s">
        <v>3016</v>
      </c>
      <c r="C134" s="3295" t="s">
        <v>3017</v>
      </c>
      <c r="D134" s="3276" t="s">
        <v>3018</v>
      </c>
      <c r="E134" s="3301">
        <v>0.1</v>
      </c>
      <c r="F134" s="3295">
        <v>15</v>
      </c>
    </row>
    <row r="135" spans="1:6" ht="24">
      <c r="A135" s="3295">
        <v>63</v>
      </c>
      <c r="B135" s="3751" t="s">
        <v>3019</v>
      </c>
      <c r="C135" s="3295" t="s">
        <v>3020</v>
      </c>
      <c r="D135" s="3276" t="s">
        <v>3021</v>
      </c>
      <c r="E135" s="3301">
        <v>0.1</v>
      </c>
      <c r="F135" s="3295">
        <v>15</v>
      </c>
    </row>
    <row r="136" spans="1:6" ht="13.5">
      <c r="A136" s="3295">
        <v>64</v>
      </c>
      <c r="B136" s="3751"/>
      <c r="C136" s="3295" t="s">
        <v>3022</v>
      </c>
      <c r="D136" s="3276" t="s">
        <v>3023</v>
      </c>
      <c r="E136" s="3301">
        <v>0.1</v>
      </c>
      <c r="F136" s="3295">
        <v>15</v>
      </c>
    </row>
    <row r="137" spans="1:6" ht="24">
      <c r="A137" s="3295">
        <v>65</v>
      </c>
      <c r="B137" s="3295" t="s">
        <v>3024</v>
      </c>
      <c r="C137" s="3295" t="s">
        <v>3025</v>
      </c>
      <c r="D137" s="3276" t="s">
        <v>3026</v>
      </c>
      <c r="E137" s="3301">
        <v>0.1</v>
      </c>
      <c r="F137" s="3295">
        <v>15</v>
      </c>
    </row>
    <row r="138" spans="1:6" ht="13.5">
      <c r="A138" s="3295"/>
      <c r="B138" s="3295"/>
      <c r="C138" s="3295"/>
      <c r="D138" s="3295"/>
      <c r="E138" s="3301"/>
      <c r="F138" s="3295"/>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7" t="s">
        <v>782</v>
      </c>
      <c r="C1" s="3757"/>
      <c r="D1" s="3757"/>
      <c r="E1" s="3757"/>
      <c r="F1" s="3757"/>
      <c r="G1" s="3753" t="s">
        <v>783</v>
      </c>
      <c r="H1" s="3753"/>
      <c r="I1" s="3753"/>
      <c r="J1" s="3753"/>
      <c r="K1" s="3753"/>
      <c r="L1" s="3753"/>
      <c r="N1" s="3753" t="s">
        <v>784</v>
      </c>
      <c r="O1" s="3753"/>
      <c r="P1" s="3753"/>
      <c r="Q1" s="3753"/>
      <c r="S1" s="3753" t="s">
        <v>785</v>
      </c>
      <c r="T1" s="3753"/>
      <c r="U1" s="3753"/>
      <c r="V1" s="3753"/>
      <c r="X1" s="3752" t="s">
        <v>786</v>
      </c>
      <c r="Y1" s="3753"/>
      <c r="Z1" s="3753"/>
      <c r="AA1" s="3753"/>
      <c r="AB1" s="3753"/>
      <c r="AD1" s="3752" t="s">
        <v>787</v>
      </c>
      <c r="AE1" s="3753"/>
      <c r="AF1" s="3753"/>
      <c r="AG1" s="3753"/>
      <c r="AH1" s="3753"/>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6">
        <v>2023</v>
      </c>
      <c r="H5" s="2287">
        <v>1</v>
      </c>
      <c r="I5" s="3070">
        <v>0</v>
      </c>
      <c r="J5" s="3070">
        <v>0</v>
      </c>
      <c r="K5" s="3070">
        <v>0</v>
      </c>
      <c r="L5" s="3071">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6">
        <v>2022</v>
      </c>
      <c r="H6" s="2287">
        <v>4</v>
      </c>
      <c r="I6" s="3070">
        <v>0</v>
      </c>
      <c r="J6" s="3070">
        <v>0</v>
      </c>
      <c r="K6" s="3070">
        <v>0</v>
      </c>
      <c r="L6" s="3071">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6">
        <v>2022</v>
      </c>
      <c r="H7" s="2287">
        <v>3</v>
      </c>
      <c r="I7" s="3070">
        <v>0</v>
      </c>
      <c r="J7" s="3070">
        <v>0</v>
      </c>
      <c r="K7" s="3070">
        <v>0</v>
      </c>
      <c r="L7" s="3071">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6">
        <v>2022</v>
      </c>
      <c r="H8" s="2287">
        <v>2</v>
      </c>
      <c r="I8" s="3070">
        <v>0</v>
      </c>
      <c r="J8" s="3070">
        <v>0</v>
      </c>
      <c r="K8" s="3070">
        <v>0</v>
      </c>
      <c r="L8" s="3071">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6">
        <v>2022</v>
      </c>
      <c r="H9" s="2287">
        <v>1</v>
      </c>
      <c r="I9" s="3070">
        <v>0.89</v>
      </c>
      <c r="J9" s="3070">
        <v>0.44</v>
      </c>
      <c r="K9" s="3070">
        <v>0.96</v>
      </c>
      <c r="L9" s="3071">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5">
        <v>2021</v>
      </c>
      <c r="H10" s="2287">
        <v>4</v>
      </c>
      <c r="I10" s="3070">
        <v>1.03</v>
      </c>
      <c r="J10" s="3070">
        <v>0.24</v>
      </c>
      <c r="K10" s="3070">
        <v>1.17</v>
      </c>
      <c r="L10" s="3071">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2">
        <v>2021</v>
      </c>
      <c r="H11" s="2287">
        <v>3</v>
      </c>
      <c r="I11" s="3070">
        <v>0.47</v>
      </c>
      <c r="J11" s="3070">
        <v>0.41</v>
      </c>
      <c r="K11" s="3070">
        <v>0.48</v>
      </c>
      <c r="L11" s="3071">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69">
        <v>2021</v>
      </c>
      <c r="H12" s="2287">
        <v>2</v>
      </c>
      <c r="I12" s="3070">
        <v>0.92</v>
      </c>
      <c r="J12" s="3070">
        <v>0.72</v>
      </c>
      <c r="K12" s="3070">
        <v>0.95</v>
      </c>
      <c r="L12" s="3071">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68">
        <v>2021</v>
      </c>
      <c r="H13" s="2287">
        <v>1</v>
      </c>
      <c r="I13" s="3070">
        <v>0.97</v>
      </c>
      <c r="J13" s="3070">
        <v>0.16</v>
      </c>
      <c r="K13" s="3070">
        <v>1.1100000000000001</v>
      </c>
      <c r="L13" s="3071">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59">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58">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5">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5"/>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5"/>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62"/>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8">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5"/>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5"/>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62"/>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8">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5"/>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5"/>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6"/>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4">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5"/>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5"/>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6"/>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4">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5"/>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5"/>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6"/>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9">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0"/>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0"/>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61"/>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4">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5"/>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5"/>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6"/>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4">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5">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5">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6">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4">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5">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5">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6">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4">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5">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5">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6">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4">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5">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5">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6">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4">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5">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5">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6">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4">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5">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5">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6">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4">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5">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5">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6">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4">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5">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5">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6">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4">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5">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5">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6">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4">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5">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5">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6">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3"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2"/>
      <c r="AB18" s="3062"/>
      <c r="AC18" s="3062"/>
      <c r="AD18" s="3062"/>
      <c r="AE18" s="3062"/>
      <c r="AF18" s="3062"/>
      <c r="AG18" s="3062"/>
      <c r="AH18" s="3062"/>
      <c r="AI18" s="3062"/>
      <c r="AJ18" s="3062"/>
      <c r="AK18" s="3062"/>
      <c r="AL18" s="3062"/>
      <c r="AM18" s="3062"/>
      <c r="AN18" s="3062"/>
      <c r="AO18" s="3062"/>
      <c r="AP18" s="3062"/>
      <c r="AQ18" s="3062"/>
      <c r="AR18" s="3062"/>
      <c r="AS18" s="3062"/>
      <c r="AT18" s="3062"/>
      <c r="AU18" s="3062"/>
      <c r="AV18" s="3062"/>
      <c r="AW18" s="3062"/>
      <c r="AX18" s="3062"/>
      <c r="AY18" s="3062"/>
      <c r="AZ18" s="3062"/>
      <c r="BA18" s="3062"/>
      <c r="BB18" s="3062"/>
      <c r="BC18" s="3062"/>
      <c r="BD18" s="3062"/>
      <c r="BE18" s="3062"/>
      <c r="BF18" s="3062"/>
      <c r="BG18" s="3062"/>
      <c r="BH18" s="3062"/>
      <c r="BI18" s="3062"/>
      <c r="BJ18" s="3062"/>
      <c r="BK18" s="3062"/>
      <c r="BL18" s="3062"/>
      <c r="BM18" s="3062"/>
      <c r="BN18" s="3062"/>
      <c r="BO18" s="3062"/>
      <c r="BP18" s="3062"/>
      <c r="BQ18" s="3062"/>
      <c r="BR18" s="3062"/>
      <c r="BS18" s="3062"/>
      <c r="BT18" s="3062"/>
      <c r="BU18" s="3062"/>
      <c r="BV18" s="3062"/>
      <c r="BW18" s="3062"/>
      <c r="BX18" s="3062"/>
      <c r="BY18" s="3062"/>
      <c r="BZ18" s="3062"/>
      <c r="CA18" s="3062"/>
      <c r="CB18" s="3062"/>
      <c r="CC18" s="3062"/>
      <c r="CD18" s="3062"/>
      <c r="CE18" s="3062"/>
      <c r="CF18" s="3062"/>
      <c r="CG18" s="3062"/>
      <c r="CH18" s="3062"/>
      <c r="CI18" s="3062"/>
      <c r="CJ18" s="3062"/>
      <c r="CK18" s="3062"/>
      <c r="CL18" s="3062"/>
      <c r="CM18" s="3062"/>
      <c r="CN18" s="3062"/>
      <c r="CO18" s="3062"/>
      <c r="CP18" s="3062"/>
      <c r="CQ18" s="3062"/>
      <c r="CR18" s="3062"/>
      <c r="CS18" s="3062"/>
      <c r="CT18" s="3062"/>
      <c r="CU18" s="3062"/>
      <c r="CV18" s="3062"/>
      <c r="CW18" s="3062"/>
      <c r="CX18" s="3062"/>
      <c r="CY18" s="3062"/>
      <c r="CZ18" s="3062"/>
      <c r="DA18" s="3062"/>
      <c r="DB18" s="3062"/>
      <c r="DC18" s="3062"/>
      <c r="DD18" s="3062"/>
      <c r="DE18" s="3062"/>
      <c r="DF18" s="3062"/>
      <c r="DG18" s="3062"/>
      <c r="DH18" s="3062"/>
      <c r="DI18" s="3062"/>
      <c r="DJ18" s="3062"/>
      <c r="DK18" s="3062"/>
      <c r="DL18" s="3062"/>
      <c r="DM18" s="3062"/>
      <c r="DN18" s="3062"/>
      <c r="DO18" s="3062"/>
      <c r="DP18" s="3062"/>
      <c r="DQ18" s="3062"/>
      <c r="DR18" s="3062"/>
      <c r="DS18" s="3062"/>
      <c r="DT18" s="3062"/>
      <c r="DU18" s="3062"/>
      <c r="DV18" s="3062"/>
      <c r="DW18" s="3062"/>
      <c r="DX18" s="3062"/>
      <c r="DY18" s="3062"/>
      <c r="DZ18" s="3062"/>
      <c r="EA18" s="3062"/>
      <c r="EB18" s="3062"/>
      <c r="EC18" s="3062"/>
      <c r="ED18" s="3062"/>
      <c r="EE18" s="3062"/>
      <c r="EF18" s="3062"/>
      <c r="EG18" s="3062"/>
      <c r="EH18" s="3062"/>
      <c r="EI18" s="3062"/>
      <c r="EJ18" s="3062"/>
      <c r="EK18" s="3062"/>
      <c r="EL18" s="3062"/>
      <c r="EM18" s="3062"/>
      <c r="EN18" s="3062"/>
      <c r="EO18" s="3062"/>
      <c r="EP18" s="3062"/>
      <c r="EQ18" s="3062"/>
      <c r="ER18" s="3062"/>
      <c r="ES18" s="3062"/>
      <c r="ET18" s="3062"/>
      <c r="EU18" s="3062"/>
      <c r="EV18" s="3062"/>
      <c r="EW18" s="3062"/>
      <c r="EX18" s="3062"/>
      <c r="EY18" s="3062"/>
      <c r="EZ18" s="3062"/>
      <c r="FA18" s="3062"/>
      <c r="FB18" s="3062"/>
      <c r="FC18" s="3062"/>
      <c r="FD18" s="3062"/>
      <c r="FE18" s="3062"/>
      <c r="FF18" s="3062"/>
      <c r="FG18" s="3062"/>
      <c r="FH18" s="3062"/>
      <c r="FI18" s="3062"/>
      <c r="FJ18" s="3062"/>
      <c r="FK18" s="3062"/>
      <c r="FL18" s="3062"/>
      <c r="FM18" s="3062"/>
      <c r="FN18" s="3062"/>
      <c r="FO18" s="3062"/>
      <c r="FP18" s="3062"/>
      <c r="FQ18" s="3062"/>
      <c r="FR18" s="3062"/>
      <c r="FS18" s="3062"/>
      <c r="FT18" s="3062"/>
      <c r="FU18" s="3062"/>
      <c r="FV18" s="3062"/>
      <c r="FW18" s="3062"/>
      <c r="FX18" s="3062"/>
      <c r="FY18" s="3062"/>
      <c r="FZ18" s="3062"/>
      <c r="GA18" s="3062"/>
      <c r="GB18" s="3062"/>
      <c r="GC18" s="3062"/>
      <c r="GD18" s="3062"/>
      <c r="GE18" s="3062"/>
      <c r="GF18" s="3062"/>
      <c r="GG18" s="3062"/>
      <c r="GH18" s="3062"/>
      <c r="GI18" s="3062"/>
      <c r="GJ18" s="3062"/>
      <c r="GK18" s="3062"/>
      <c r="GL18" s="3062"/>
      <c r="GM18" s="3062"/>
      <c r="GN18" s="3062"/>
      <c r="GO18" s="3062"/>
      <c r="GP18" s="3062"/>
      <c r="GQ18" s="3062"/>
      <c r="GR18" s="3062"/>
      <c r="GS18" s="3062"/>
      <c r="GT18" s="3062"/>
      <c r="GU18" s="3062"/>
      <c r="GV18" s="3062"/>
      <c r="GW18" s="3062"/>
      <c r="GX18" s="3062"/>
      <c r="GY18" s="3062"/>
      <c r="GZ18" s="3062"/>
      <c r="HA18" s="3062"/>
      <c r="HB18" s="3062"/>
      <c r="HC18" s="3062"/>
      <c r="HD18" s="3062"/>
      <c r="HE18" s="3062"/>
      <c r="HF18" s="3062"/>
      <c r="HG18" s="3062"/>
      <c r="HH18" s="3062"/>
      <c r="HI18" s="3062"/>
      <c r="HJ18" s="3062"/>
      <c r="HK18" s="3062"/>
      <c r="HL18" s="3062"/>
      <c r="HM18" s="3062"/>
      <c r="HN18" s="3062"/>
      <c r="HO18" s="3062"/>
      <c r="HP18" s="3062"/>
      <c r="HQ18" s="3062"/>
      <c r="HR18" s="3062"/>
      <c r="HS18" s="3062"/>
      <c r="HT18" s="3062"/>
      <c r="HU18" s="3062"/>
      <c r="HV18" s="3062"/>
      <c r="HW18" s="3062"/>
      <c r="HX18" s="3062"/>
      <c r="HY18" s="3062"/>
      <c r="HZ18" s="3062"/>
      <c r="IA18" s="3062"/>
      <c r="IB18" s="3062"/>
      <c r="IC18" s="3062"/>
      <c r="ID18" s="3062"/>
      <c r="IE18" s="3062"/>
      <c r="IF18" s="3062"/>
      <c r="IG18" s="3062"/>
      <c r="IH18" s="3062"/>
      <c r="II18" s="3062"/>
      <c r="IJ18" s="3062"/>
      <c r="IK18" s="3062"/>
      <c r="IL18" s="3062"/>
      <c r="IM18" s="3062"/>
      <c r="IN18" s="3062"/>
      <c r="IO18" s="3062"/>
      <c r="IP18" s="3062"/>
      <c r="IQ18" s="3062"/>
      <c r="IR18" s="3062"/>
      <c r="IS18" s="3062"/>
      <c r="IT18" s="3062"/>
      <c r="IU18" s="3062"/>
      <c r="IV18" s="3062"/>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0"/>
      <c r="B20" s="1209" t="s">
        <v>2642</v>
      </c>
      <c r="C20" s="1218">
        <v>43697</v>
      </c>
      <c r="D20" s="3061">
        <v>4.25</v>
      </c>
      <c r="E20" s="3061">
        <f t="shared" si="0"/>
        <v>4.25</v>
      </c>
      <c r="F20" s="3061">
        <f t="shared" si="1"/>
        <v>4.25</v>
      </c>
      <c r="G20" s="3061">
        <f t="shared" si="2"/>
        <v>4.25</v>
      </c>
      <c r="H20" s="3061">
        <v>4.8499999999999996</v>
      </c>
      <c r="I20" s="3061"/>
      <c r="J20" s="3061"/>
      <c r="K20" s="3060"/>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spans="1:5" ht="13.5" customHeight="1">
      <c r="A3" s="1290"/>
      <c r="B3" s="1290"/>
      <c r="C3" s="1290"/>
      <c r="D3" s="1290"/>
      <c r="E3" s="1290"/>
    </row>
    <row r="4" spans="1:5" ht="19.5" thickBot="1">
      <c r="A4" s="3374" t="str">
        <f>IF(项目基本情况!D5="房地产市场价值","估价结果一览表（市场价值不需本页表格)","估价结果一览表")</f>
        <v>估价结果一览表</v>
      </c>
      <c r="B4" s="3374"/>
      <c r="C4" s="3374"/>
      <c r="D4" s="3374"/>
      <c r="E4" s="3374"/>
    </row>
    <row r="5" spans="1:5" ht="14.25" customHeight="1" thickTop="1">
      <c r="A5" s="1287"/>
      <c r="B5" s="1291" t="s">
        <v>562</v>
      </c>
      <c r="C5" s="3375" t="s">
        <v>593</v>
      </c>
      <c r="D5" s="3376"/>
      <c r="E5" s="1287"/>
    </row>
    <row r="6" spans="1:5" ht="14.25">
      <c r="A6" s="1287"/>
      <c r="B6" s="1292" t="str">
        <f>项目基本情况!I1</f>
        <v>北京市房地产</v>
      </c>
      <c r="C6" s="3377">
        <f>项目基本情况!C12</f>
        <v>353.61</v>
      </c>
      <c r="D6" s="3377"/>
      <c r="E6" s="1287"/>
    </row>
    <row r="7" spans="1:5" ht="14.25">
      <c r="A7" s="1287"/>
      <c r="B7" s="3371" t="s">
        <v>594</v>
      </c>
      <c r="C7" s="1293" t="str">
        <f>IF('数据-取费表'!B3="万元","总价（万元）","总价（元）")</f>
        <v>总价（万元）</v>
      </c>
      <c r="D7" s="1294">
        <f ca="1">IF('数据-取费表'!E3="否",结果表!I102,'结果表 (1修多)'!I104)</f>
        <v>1589</v>
      </c>
      <c r="E7" s="1287"/>
    </row>
    <row r="8" spans="1:5" ht="14.25">
      <c r="A8" s="1287"/>
      <c r="B8" s="3371"/>
      <c r="C8" s="1295" t="s">
        <v>924</v>
      </c>
      <c r="D8" s="1296" t="str">
        <f ca="1">IF('数据-取费表'!B3="万元",NUMBERSTRING(INT(D7*10000),2)&amp;"元整",NUMBERSTRING(INT(D7),2)&amp;"元整")</f>
        <v>壹仟伍佰捌拾玖万元整</v>
      </c>
      <c r="E8" s="1287"/>
    </row>
    <row r="9" spans="1:5" ht="14.25">
      <c r="A9" s="1287"/>
      <c r="B9" s="3371"/>
      <c r="C9" s="1297" t="s">
        <v>1020</v>
      </c>
      <c r="D9" s="1294">
        <f ca="1">IF('数据-取费表'!E3="否",结果表!I103,'结果表 (1修多)'!I105)</f>
        <v>44926</v>
      </c>
      <c r="E9" s="1287"/>
    </row>
    <row r="10" spans="1:5" ht="14.25">
      <c r="A10" s="1287"/>
      <c r="B10" s="3378"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78"/>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78" t="str">
        <f>IF('数据-取费表'!E3="否",结果表!F110,'结果表 (1修多)'!F112)</f>
        <v>3.房地产抵押价值</v>
      </c>
      <c r="C15" s="1288" t="str">
        <f>C7</f>
        <v>总价（万元）</v>
      </c>
      <c r="D15" s="1294">
        <f ca="1">IF('数据-取费表'!E3="否",结果表!I110,'结果表 (1修多)'!I112)</f>
        <v>1589</v>
      </c>
      <c r="E15" s="1287"/>
    </row>
    <row r="16" spans="1:5" ht="14.25">
      <c r="A16" s="1287"/>
      <c r="B16" s="3378"/>
      <c r="C16" s="1295" t="s">
        <v>924</v>
      </c>
      <c r="D16" s="1294" t="str">
        <f ca="1">IF('数据-取费表'!B3="万元",NUMBERSTRING(INT(D15*10000),2)&amp;"元整",NUMBERSTRING(INT(D15),2)&amp;"元整")</f>
        <v>壹仟伍佰捌拾玖万元整</v>
      </c>
      <c r="E16" s="1287"/>
    </row>
    <row r="17" spans="1:5" ht="14.25">
      <c r="A17" s="1287"/>
      <c r="B17" s="3378"/>
      <c r="C17" s="1297" t="s">
        <v>1020</v>
      </c>
      <c r="D17" s="1294">
        <f ca="1">IF('数据-取费表'!E3="否",结果表!I111,'结果表 (1修多)'!I113)</f>
        <v>44926</v>
      </c>
      <c r="E17" s="1287"/>
    </row>
    <row r="18" spans="1:5" ht="14.25">
      <c r="A18" s="1287"/>
      <c r="B18" s="3378" t="str">
        <f>IF('数据-取费表'!E3="否",结果表!F112,'结果表 (1修多)'!F114)</f>
        <v>——</v>
      </c>
      <c r="C18" s="1288" t="str">
        <f>C7</f>
        <v>总价（万元）</v>
      </c>
      <c r="D18" s="1294" t="str">
        <f>IF('数据-取费表'!E3="否",结果表!I112,'结果表 (1修多)'!I114)</f>
        <v>——</v>
      </c>
      <c r="E18" s="1287"/>
    </row>
    <row r="19" spans="1:5" ht="14.25">
      <c r="A19" s="1287"/>
      <c r="B19" s="3378"/>
      <c r="C19" s="1295" t="s">
        <v>924</v>
      </c>
      <c r="D19" s="1294" t="e">
        <f>IF('数据-取费表'!B3="万元",NUMBERSTRING(INT(D18*10000),2)&amp;"元整",NUMBERSTRING(INT(D18),2)&amp;"元整")</f>
        <v>#VALUE!</v>
      </c>
      <c r="E19" s="1287"/>
    </row>
    <row r="20" spans="1:5" ht="14.25">
      <c r="A20" s="1287"/>
      <c r="B20" s="3378"/>
      <c r="C20" s="1297" t="s">
        <v>1020</v>
      </c>
      <c r="D20" s="1294" t="str">
        <f>IF('数据-取费表'!E3="否",结果表!I113,'结果表 (1修多)'!I115)</f>
        <v>——</v>
      </c>
      <c r="E20" s="1287"/>
    </row>
    <row r="21" spans="1:5" ht="14.25">
      <c r="A21" s="1287"/>
      <c r="B21" s="3371" t="str">
        <f>IF('数据-取费表'!E3="否",结果表!F114,'结果表 (1修多)'!F116)</f>
        <v>——</v>
      </c>
      <c r="C21" s="1293" t="str">
        <f>C7</f>
        <v>总价（万元）</v>
      </c>
      <c r="D21" s="1294" t="str">
        <f>IF('数据-取费表'!E3="否",结果表!I114,'结果表 (1修多)'!I116)</f>
        <v>——</v>
      </c>
      <c r="E21" s="1287"/>
    </row>
    <row r="22" spans="1:5" ht="14.25">
      <c r="A22" s="1287"/>
      <c r="B22" s="3371"/>
      <c r="C22" s="1295" t="s">
        <v>924</v>
      </c>
      <c r="D22" s="1296" t="e">
        <f>IF('数据-取费表'!B3="万元",NUMBERSTRING(INT(D21*10000),2)&amp;"元整",NUMBERSTRING(INT(D21),2)&amp;"元整")</f>
        <v>#VALUE!</v>
      </c>
      <c r="E22" s="1287"/>
    </row>
    <row r="23" spans="1:5" ht="15" thickBot="1">
      <c r="A23" s="1287"/>
      <c r="B23" s="337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3" t="s">
        <v>1021</v>
      </c>
      <c r="C25" s="3363"/>
      <c r="D25" s="3363"/>
      <c r="E25" s="1287"/>
    </row>
    <row r="26" spans="1:5" ht="18.75" customHeight="1" thickTop="1">
      <c r="A26" s="1287"/>
      <c r="B26" s="3366" t="s">
        <v>923</v>
      </c>
      <c r="C26" s="3367"/>
      <c r="D26" s="3364" t="s">
        <v>922</v>
      </c>
      <c r="E26" s="1287"/>
    </row>
    <row r="27" spans="1:5" ht="18.75" customHeight="1">
      <c r="A27" s="1287"/>
      <c r="B27" s="3368"/>
      <c r="C27" s="3369"/>
      <c r="D27" s="3365"/>
      <c r="E27" s="1287"/>
    </row>
    <row r="28" spans="1:5" ht="14.25">
      <c r="A28" s="1287"/>
      <c r="B28" s="3356" t="s">
        <v>594</v>
      </c>
      <c r="C28" s="1304" t="s">
        <v>925</v>
      </c>
      <c r="D28" s="1305">
        <f ca="1">IF('数据-取费表'!E3="否",结果表!I102,'结果表 (1修多)'!I104)</f>
        <v>1589</v>
      </c>
      <c r="E28" s="1287"/>
    </row>
    <row r="29" spans="1:5" ht="14.25">
      <c r="A29" s="1287"/>
      <c r="B29" s="3357"/>
      <c r="C29" s="1306" t="s">
        <v>924</v>
      </c>
      <c r="D29" s="1307" t="str">
        <f ca="1">IF('数据-取费表'!B3="万元",NUMBERSTRING(INT(D28*10000),2)&amp;"元整",NUMBERSTRING(INT(D28),2)&amp;"元整")</f>
        <v>壹仟伍佰捌拾玖万元整</v>
      </c>
      <c r="E29" s="1287"/>
    </row>
    <row r="30" spans="1:5" ht="14.25">
      <c r="A30" s="1287"/>
      <c r="B30" s="3358"/>
      <c r="C30" s="1297" t="s">
        <v>927</v>
      </c>
      <c r="D30" s="1308">
        <f ca="1">IF('数据-取费表'!E3="否",结果表!I103,'结果表 (1修多)'!I105)</f>
        <v>44926</v>
      </c>
      <c r="E30" s="1287"/>
    </row>
    <row r="31" spans="1:5" ht="14.25">
      <c r="A31" s="1287"/>
      <c r="B31" s="3361" t="str">
        <f>B10</f>
        <v>2.估价师所知悉的法定优先受偿款</v>
      </c>
      <c r="C31" s="1309" t="s">
        <v>926</v>
      </c>
      <c r="D31" s="1310">
        <f>IF('数据-取费表'!E3="否",结果表!I105,'结果表 (1修多)'!I107)</f>
        <v>0</v>
      </c>
      <c r="E31" s="1287"/>
    </row>
    <row r="32" spans="1:5" ht="14.25">
      <c r="A32" s="1287"/>
      <c r="B32" s="337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9" t="str">
        <f>B15</f>
        <v>3.房地产抵押价值</v>
      </c>
      <c r="C36" s="1309" t="str">
        <f>C28</f>
        <v>总价</v>
      </c>
      <c r="D36" s="1310">
        <f ca="1">IF('数据-取费表'!E3="否",结果表!I110,'结果表 (1修多)'!I112)</f>
        <v>1589</v>
      </c>
      <c r="E36" s="1287"/>
    </row>
    <row r="37" spans="1:5" ht="14.25">
      <c r="A37" s="1287"/>
      <c r="B37" s="3359"/>
      <c r="C37" s="1306" t="s">
        <v>924</v>
      </c>
      <c r="D37" s="1311" t="str">
        <f ca="1">IF('数据-取费表'!B3="万元",NUMBERSTRING(INT(D36*10000),2)&amp;"元整",NUMBERSTRING(INT(D36),2)&amp;"元整")</f>
        <v>壹仟伍佰捌拾玖万元整</v>
      </c>
      <c r="E37" s="1287"/>
    </row>
    <row r="38" spans="1:5" ht="14.25">
      <c r="A38" s="1287"/>
      <c r="B38" s="3359"/>
      <c r="C38" s="1297" t="s">
        <v>928</v>
      </c>
      <c r="D38" s="1308">
        <f ca="1">IF('数据-取费表'!E3="否",结果表!D113,'结果表 (1修多)'!D117)</f>
        <v>44926</v>
      </c>
      <c r="E38" s="1287"/>
    </row>
    <row r="39" spans="1:5" ht="14.25">
      <c r="A39" s="1287"/>
      <c r="B39" s="3360" t="str">
        <f>B18</f>
        <v>——</v>
      </c>
      <c r="C39" s="1309" t="str">
        <f>C28</f>
        <v>总价</v>
      </c>
      <c r="D39" s="1310" t="str">
        <f>IF('数据-取费表'!E3="否",结果表!I112,'结果表 (1修多)'!I114)</f>
        <v>——</v>
      </c>
      <c r="E39" s="1287"/>
    </row>
    <row r="40" spans="1:5" ht="14.25">
      <c r="A40" s="1287"/>
      <c r="B40" s="3360"/>
      <c r="C40" s="1306" t="s">
        <v>924</v>
      </c>
      <c r="D40" s="1311" t="e">
        <f>IF('数据-取费表'!B3="万元",NUMBERSTRING(INT(D39*10000),2)&amp;"元整",NUMBERSTRING(INT(D39),2)&amp;"元整")</f>
        <v>#VALUE!</v>
      </c>
      <c r="E40" s="1287"/>
    </row>
    <row r="41" spans="1:5" ht="14.25">
      <c r="A41" s="1287"/>
      <c r="B41" s="3360"/>
      <c r="C41" s="1297" t="s">
        <v>928</v>
      </c>
      <c r="D41" s="1308" t="str">
        <f>IF('数据-取费表'!E3="否",结果表!D115,'结果表 (1修多)'!D119)</f>
        <v>——</v>
      </c>
      <c r="E41" s="1287"/>
    </row>
    <row r="42" spans="1:5" ht="14.25">
      <c r="A42" s="1287"/>
      <c r="B42" s="3359" t="str">
        <f>B21</f>
        <v>——</v>
      </c>
      <c r="C42" s="1309" t="str">
        <f>C28</f>
        <v>总价</v>
      </c>
      <c r="D42" s="1310" t="str">
        <f>IF('数据-取费表'!E3="否",结果表!I114,'结果表 (1修多)'!I116)</f>
        <v>——</v>
      </c>
      <c r="E42" s="1287"/>
    </row>
    <row r="43" spans="1:5" ht="14.25">
      <c r="A43" s="1287"/>
      <c r="B43" s="3361"/>
      <c r="C43" s="1306" t="s">
        <v>924</v>
      </c>
      <c r="D43" s="1312" t="e">
        <f>IF('数据-取费表'!B3="万元",NUMBERSTRING(INT(D42*10000),2)&amp;"元整",NUMBERSTRING(INT(D42),2)&amp;"元整")</f>
        <v>#VALUE!</v>
      </c>
      <c r="E43" s="1287"/>
    </row>
    <row r="44" spans="1:5" ht="15" thickBot="1">
      <c r="A44" s="1287"/>
      <c r="B44" s="3362"/>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5" t="str">
        <f>IF(项目基本情况!D5="房地产市场价值","估价结果一览表","结果表-2")</f>
        <v>结果表-2</v>
      </c>
      <c r="B1" s="3385"/>
      <c r="C1" s="3385"/>
      <c r="D1" s="3385"/>
      <c r="E1" s="3385"/>
      <c r="F1" s="3385"/>
      <c r="G1" s="3385"/>
      <c r="H1" s="3385"/>
      <c r="I1" s="3385"/>
    </row>
    <row r="2" spans="1:9" ht="30" customHeight="1" thickTop="1">
      <c r="A2" s="3386" t="s">
        <v>1022</v>
      </c>
      <c r="B2" s="3386" t="s">
        <v>1023</v>
      </c>
      <c r="C2" s="3386" t="s">
        <v>1024</v>
      </c>
      <c r="D2" s="3386" t="str">
        <f>IF('数据-取费表'!E3="否",结果表!D119,'结果表 (1修多)'!D123)</f>
        <v>出让国有建设用地使用权价值</v>
      </c>
      <c r="E2" s="3386"/>
      <c r="F2" s="3386" t="s">
        <v>1025</v>
      </c>
      <c r="G2" s="3386"/>
      <c r="H2" s="3386" t="s">
        <v>1026</v>
      </c>
      <c r="I2" s="3386"/>
    </row>
    <row r="3" spans="1:9" ht="15">
      <c r="A3" s="3379"/>
      <c r="B3" s="3379"/>
      <c r="C3" s="3379"/>
      <c r="D3" s="776" t="s">
        <v>1027</v>
      </c>
      <c r="E3" s="776" t="s">
        <v>1028</v>
      </c>
      <c r="F3" s="776" t="s">
        <v>1027</v>
      </c>
      <c r="G3" s="776" t="s">
        <v>1029</v>
      </c>
      <c r="H3" s="776" t="s">
        <v>1027</v>
      </c>
      <c r="I3" s="776" t="s">
        <v>1029</v>
      </c>
    </row>
    <row r="4" spans="1:9" ht="46.5" customHeight="1">
      <c r="A4" s="776" t="str">
        <f>项目基本情况!I1</f>
        <v>北京市房地产</v>
      </c>
      <c r="B4" s="776">
        <f>结果表!B121</f>
        <v>353.61</v>
      </c>
      <c r="C4" s="776">
        <f>结果表!C121</f>
        <v>0</v>
      </c>
      <c r="D4" s="776">
        <f ca="1">IF('数据-取费表'!E3="否",结果表!D121,'结果表 (1修多)'!D125)</f>
        <v>1142</v>
      </c>
      <c r="E4" s="776">
        <f ca="1">IF('数据-取费表'!E3="否",结果表!E121,'结果表 (1修多)'!E125)</f>
        <v>32302</v>
      </c>
      <c r="F4" s="776">
        <f ca="1">IF('数据-取费表'!E3="否",结果表!F121,'结果表 (1修多)'!F125)</f>
        <v>446</v>
      </c>
      <c r="G4" s="776">
        <f ca="1">IF('数据-取费表'!E3="否",结果表!G121,'结果表 (1修多)'!G125)</f>
        <v>12624</v>
      </c>
      <c r="H4" s="776">
        <f ca="1">IF('数据-取费表'!E3="否",结果表!H121,'结果表 (1修多)'!H125)</f>
        <v>1589</v>
      </c>
      <c r="I4" s="776">
        <f ca="1">IF('数据-取费表'!E3="否",结果表!I121,'结果表 (1修多)'!I125)</f>
        <v>44926</v>
      </c>
    </row>
    <row r="5" spans="1:9" ht="15">
      <c r="A5" s="3379" t="s">
        <v>1030</v>
      </c>
      <c r="B5" s="3379"/>
      <c r="C5" s="3379"/>
      <c r="D5" s="3380" t="str">
        <f ca="1">IF('数据-取费表'!E3="否",结果表!D122,'结果表 (1修多)'!D126)</f>
        <v>壹仟壹佰肆拾贰万元整</v>
      </c>
      <c r="E5" s="3380"/>
      <c r="F5" s="3380" t="str">
        <f ca="1">IF('数据-取费表'!E3="否",结果表!F122,'结果表 (1修多)'!F126)</f>
        <v>肆佰肆拾陆万元整</v>
      </c>
      <c r="G5" s="3380"/>
      <c r="H5" s="3380" t="str">
        <f ca="1">IF('数据-取费表'!E3="否",结果表!H122,'结果表 (1修多)'!H126)</f>
        <v>壹仟伍佰捌拾玖万元整</v>
      </c>
      <c r="I5" s="3380"/>
    </row>
    <row r="6" spans="1:9" ht="15.75">
      <c r="A6" s="3381" t="str">
        <f>IF('数据-取费表'!E3="否",结果表!A123,'结果表 (1修多)'!A127)</f>
        <v>估价师所知悉的法定优先受偿款</v>
      </c>
      <c r="B6" s="3381"/>
      <c r="C6" s="3381"/>
      <c r="D6" s="3381">
        <f>IF('数据-取费表'!E3="否",结果表!D123,'结果表 (1修多)'!D127)</f>
        <v>0</v>
      </c>
      <c r="E6" s="3381"/>
      <c r="F6" s="3381"/>
      <c r="G6" s="3381"/>
      <c r="H6" s="3381"/>
      <c r="I6" s="3381"/>
    </row>
    <row r="7" spans="1:9" ht="15">
      <c r="A7" s="3379" t="s">
        <v>1030</v>
      </c>
      <c r="B7" s="3379"/>
      <c r="C7" s="3379"/>
      <c r="D7" s="3387">
        <f>IF('数据-取费表'!E3="否",结果表!D124,'结果表 (1修多)'!D128)</f>
        <v>0</v>
      </c>
      <c r="E7" s="3388"/>
      <c r="F7" s="3388"/>
      <c r="G7" s="3388"/>
      <c r="H7" s="3388"/>
      <c r="I7" s="3389"/>
    </row>
    <row r="8" spans="1:9" ht="15.75">
      <c r="A8" s="3381" t="str">
        <f>IF('数据-取费表'!E3="否",结果表!A125,'结果表 (1修多)'!A129)</f>
        <v>房地产抵押价值</v>
      </c>
      <c r="B8" s="3381"/>
      <c r="C8" s="3381"/>
      <c r="D8" s="3381">
        <f ca="1">IF('数据-取费表'!E3="否",结果表!D125,'结果表 (1修多)'!D129)</f>
        <v>1589</v>
      </c>
      <c r="E8" s="3381"/>
      <c r="F8" s="3381"/>
      <c r="G8" s="3381"/>
      <c r="H8" s="3381"/>
      <c r="I8" s="3381"/>
    </row>
    <row r="9" spans="1:9" ht="15">
      <c r="A9" s="3379" t="s">
        <v>1030</v>
      </c>
      <c r="B9" s="3379"/>
      <c r="C9" s="3379"/>
      <c r="D9" s="3380">
        <f ca="1">IF('数据-取费表'!E3="否",结果表!D126,'结果表 (1修多)'!D130)</f>
        <v>44926</v>
      </c>
      <c r="E9" s="3380"/>
      <c r="F9" s="3380"/>
      <c r="G9" s="3380"/>
      <c r="H9" s="3380"/>
      <c r="I9" s="3380"/>
    </row>
    <row r="10" spans="1:9" ht="15.75">
      <c r="A10" s="3381" t="str">
        <f>IF('数据-取费表'!E3="否",结果表!A127,'结果表 (1修多)'!A131)</f>
        <v/>
      </c>
      <c r="B10" s="3381"/>
      <c r="C10" s="3381"/>
      <c r="D10" s="3381" t="str">
        <f>IF('数据-取费表'!E3="否",结果表!D127,'结果表 (1修多)'!D130)</f>
        <v>——</v>
      </c>
      <c r="E10" s="3381"/>
      <c r="F10" s="3381"/>
      <c r="G10" s="3381"/>
      <c r="H10" s="3381"/>
      <c r="I10" s="3381"/>
    </row>
    <row r="11" spans="1:9" ht="15">
      <c r="A11" s="3379" t="s">
        <v>1030</v>
      </c>
      <c r="B11" s="3379"/>
      <c r="C11" s="3379"/>
      <c r="D11" s="3380" t="str">
        <f>IF('数据-取费表'!E3="否",结果表!D128,'结果表 (1修多)'!D132)</f>
        <v>——</v>
      </c>
      <c r="E11" s="3380"/>
      <c r="F11" s="3380"/>
      <c r="G11" s="3380"/>
      <c r="H11" s="3380"/>
      <c r="I11" s="3380"/>
    </row>
    <row r="12" spans="1:9" ht="15.75">
      <c r="A12" s="3381" t="str">
        <f>IF('数据-取费表'!E3="否",结果表!A129,'结果表 (1修多)'!A133)</f>
        <v/>
      </c>
      <c r="B12" s="3381"/>
      <c r="C12" s="3381"/>
      <c r="D12" s="3381" t="str">
        <f>IF('数据-取费表'!E3="否",结果表!D129,'结果表 (1修多)'!D133)</f>
        <v>——</v>
      </c>
      <c r="E12" s="3381"/>
      <c r="F12" s="3381"/>
      <c r="G12" s="3381"/>
      <c r="H12" s="3381"/>
      <c r="I12" s="3381"/>
    </row>
    <row r="13" spans="1:9" ht="15.75" thickBot="1">
      <c r="A13" s="3382" t="s">
        <v>1030</v>
      </c>
      <c r="B13" s="3382"/>
      <c r="C13" s="3382"/>
      <c r="D13" s="3383">
        <f>IF('数据-取费表'!E3="否",结果表!D130,'结果表 (1修多)'!D134)</f>
        <v>0</v>
      </c>
      <c r="E13" s="3383"/>
      <c r="F13" s="3383"/>
      <c r="G13" s="3383"/>
      <c r="H13" s="3383"/>
      <c r="I13" s="3383"/>
    </row>
    <row r="14" spans="1:9" ht="15" thickTop="1">
      <c r="A14" s="3384" t="str">
        <f>IF('数据-取费表'!E3="否",结果表!A131,'结果表 (1修多)'!A135)</f>
        <v>单位：平方米、万元、元/平方米（币种：人民币）</v>
      </c>
      <c r="B14" s="3384"/>
      <c r="C14" s="3384"/>
      <c r="D14" s="3384"/>
      <c r="E14" s="3384"/>
      <c r="F14" s="3384"/>
      <c r="G14" s="3384"/>
      <c r="H14" s="3384"/>
      <c r="I14" s="338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91" t="s">
        <v>1043</v>
      </c>
      <c r="B1" s="3391"/>
      <c r="C1" s="3391"/>
      <c r="D1" s="3391"/>
    </row>
    <row r="2" spans="1:4" ht="18">
      <c r="A2" s="3390" t="s">
        <v>1032</v>
      </c>
      <c r="B2" s="3390"/>
      <c r="C2" s="3390"/>
      <c r="D2" s="3390"/>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90" t="s">
        <v>1037</v>
      </c>
      <c r="B7" s="3390"/>
      <c r="C7" s="3390"/>
      <c r="D7" s="3390"/>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92" t="s">
        <v>2496</v>
      </c>
      <c r="B12" s="3393"/>
      <c r="C12" s="3393"/>
      <c r="D12" s="3393"/>
    </row>
    <row r="13" spans="1:4" ht="15.75">
      <c r="A13" s="33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3"/>
      <c r="C13" s="3393"/>
      <c r="D13" s="3393"/>
    </row>
    <row r="14" spans="1:4" ht="30" customHeight="1">
      <c r="A14" s="339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3"/>
      <c r="C14" s="3393"/>
      <c r="D14" s="3393"/>
    </row>
    <row r="15" spans="1:4" ht="15.75" customHeight="1">
      <c r="A15" s="3392" t="str">
        <f>IF(项目基本情况!D4="抵押","4.本次评估估价师所知悉的法定优先受偿款情况说明如下：","——")</f>
        <v>4.本次评估估价师所知悉的法定优先受偿款情况说明如下：</v>
      </c>
      <c r="B15" s="3393"/>
      <c r="C15" s="3393"/>
      <c r="D15" s="3393"/>
    </row>
    <row r="16" spans="1:4" ht="75" customHeight="1">
      <c r="A16" s="339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2"/>
      <c r="C16" s="3392"/>
      <c r="D16" s="3392"/>
    </row>
    <row r="17" spans="1:4" ht="63.75" customHeight="1">
      <c r="A17" s="3394" t="s">
        <v>1045</v>
      </c>
      <c r="B17" s="3394"/>
      <c r="C17" s="3394"/>
      <c r="D17" s="3394"/>
    </row>
    <row r="18" spans="1:4" ht="15.75" customHeight="1">
      <c r="A18" s="3392" t="str">
        <f>IF(项目基本情况!D4="抵押",结果表!L106,"——")</f>
        <v>本次评估不存在估价师所知悉的法定优先受偿款。</v>
      </c>
      <c r="B18" s="3392"/>
      <c r="C18" s="3392"/>
      <c r="D18" s="3392"/>
    </row>
    <row r="19" spans="1:4" ht="46.5" customHeight="1">
      <c r="A19" s="33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15">
      <c r="A20" s="3394" t="s">
        <v>2497</v>
      </c>
      <c r="B20" s="3394"/>
      <c r="C20" s="3394"/>
      <c r="D20" s="339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00" t="s">
        <v>1124</v>
      </c>
      <c r="B15" s="3395" t="s">
        <v>1125</v>
      </c>
      <c r="C15" s="3396"/>
    </row>
    <row r="16" spans="1:7" ht="14.25">
      <c r="A16" s="3401"/>
      <c r="B16" s="3395" t="s">
        <v>1126</v>
      </c>
      <c r="C16" s="3396"/>
    </row>
    <row r="17" spans="1:3" ht="14.25">
      <c r="A17" s="3401"/>
      <c r="B17" s="3395" t="s">
        <v>1127</v>
      </c>
      <c r="C17" s="3396"/>
    </row>
    <row r="18" spans="1:3" ht="14.25">
      <c r="A18" s="3402"/>
      <c r="B18" s="3397" t="s">
        <v>1128</v>
      </c>
      <c r="C18" s="3396"/>
    </row>
    <row r="19" spans="1:3" ht="14.25">
      <c r="A19" s="1340" t="s">
        <v>1129</v>
      </c>
      <c r="B19" s="1341"/>
      <c r="C19" s="1342"/>
    </row>
    <row r="20" spans="1:3" ht="14.25">
      <c r="A20" s="3398" t="s">
        <v>1130</v>
      </c>
      <c r="B20" s="3397" t="s">
        <v>1131</v>
      </c>
      <c r="C20" s="3396"/>
    </row>
    <row r="21" spans="1:3" ht="14.25">
      <c r="A21" s="3398"/>
      <c r="B21" s="3397" t="s">
        <v>1132</v>
      </c>
      <c r="C21" s="3396"/>
    </row>
    <row r="22" spans="1:3" ht="14.25">
      <c r="A22" s="3398"/>
      <c r="B22" s="3397" t="s">
        <v>1133</v>
      </c>
      <c r="C22" s="3396"/>
    </row>
    <row r="23" spans="1:3" ht="14.25">
      <c r="A23" s="3398"/>
      <c r="B23" s="3399" t="s">
        <v>1134</v>
      </c>
      <c r="C23" s="1343" t="s">
        <v>1135</v>
      </c>
    </row>
    <row r="24" spans="1:3" ht="14.25">
      <c r="A24" s="3398"/>
      <c r="B24" s="3399"/>
      <c r="C24" s="1343" t="s">
        <v>1136</v>
      </c>
    </row>
    <row r="25" spans="1:3" ht="14.25">
      <c r="A25" s="3398"/>
      <c r="B25" s="3399"/>
      <c r="C25" s="1343" t="s">
        <v>1137</v>
      </c>
    </row>
    <row r="26" spans="1:3" ht="14.25">
      <c r="A26" s="3398"/>
      <c r="B26" s="3399"/>
      <c r="C26" s="1343" t="s">
        <v>1138</v>
      </c>
    </row>
    <row r="27" spans="1:3" ht="14.25">
      <c r="A27" s="3398"/>
      <c r="B27" s="3399"/>
      <c r="C27" s="1343" t="s">
        <v>1139</v>
      </c>
    </row>
    <row r="28" spans="1:3" ht="14.25">
      <c r="A28" s="3398"/>
      <c r="B28" s="3399"/>
      <c r="C28" s="1343" t="s">
        <v>1140</v>
      </c>
    </row>
    <row r="29" spans="1:3" ht="14.25">
      <c r="A29" s="3398"/>
      <c r="B29" s="3399"/>
      <c r="C29" s="1343" t="s">
        <v>1141</v>
      </c>
    </row>
    <row r="30" spans="1:3" ht="14.25">
      <c r="A30" s="3398"/>
      <c r="B30" s="3399"/>
      <c r="C30" s="1343" t="s">
        <v>1142</v>
      </c>
    </row>
    <row r="31" spans="1:3" ht="14.25">
      <c r="A31" s="3398"/>
      <c r="B31" s="339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44726</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403" t="s">
        <v>582</v>
      </c>
      <c r="B17" s="3403"/>
      <c r="C17" s="3403"/>
      <c r="D17" s="3403"/>
      <c r="E17" s="3403"/>
      <c r="F17" s="3403"/>
      <c r="G17" s="3403"/>
      <c r="H17" s="3403"/>
    </row>
    <row r="18" spans="1:8" ht="24" customHeight="1">
      <c r="A18" s="3404" t="s">
        <v>583</v>
      </c>
      <c r="B18" s="3404"/>
      <c r="C18" s="3404"/>
      <c r="D18" s="2981"/>
      <c r="E18" s="3405" t="s">
        <v>584</v>
      </c>
      <c r="F18" s="3404"/>
      <c r="G18" s="3404"/>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406"/>
      <c r="B54" s="9" t="s">
        <v>1280</v>
      </c>
      <c r="C54" s="9" t="s">
        <v>1281</v>
      </c>
    </row>
    <row r="55" spans="1:4">
      <c r="A55" s="3406"/>
      <c r="B55" s="9" t="s">
        <v>1282</v>
      </c>
      <c r="C55" s="9" t="s">
        <v>1283</v>
      </c>
    </row>
    <row r="56" spans="1:4">
      <c r="A56" s="3406"/>
      <c r="B56" s="9" t="s">
        <v>1284</v>
      </c>
      <c r="C56" s="9" t="s">
        <v>1285</v>
      </c>
    </row>
    <row r="57" spans="1:4">
      <c r="A57" s="340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2022-06-14T05:43:01Z</dcterms:modified>
</cp:coreProperties>
</file>