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525" windowWidth="19320" windowHeight="1545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state="hidden" r:id="rId17"/>
    <sheet name="剩余法-待开发" sheetId="12" state="hidden" r:id="rId18"/>
    <sheet name="剩余法-现房" sheetId="43" state="hidden" r:id="rId19"/>
    <sheet name="比较法-住宅、综合" sheetId="39" state="hidden" r:id="rId20"/>
    <sheet name="剩余（增值收益扣减）法" sheetId="72" r:id="rId21"/>
    <sheet name="基准地价" sheetId="46" r:id="rId22"/>
    <sheet name="比较法-工业" sheetId="40" r:id="rId23"/>
    <sheet name="通兴房顺昌门出让-工业" sheetId="73" r:id="rId24"/>
    <sheet name="比较法案例位置" sheetId="74"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r:id="rId37"/>
    <sheet name="比较法-工业（一级开发）" sheetId="76" r:id="rId38"/>
    <sheet name="土地一级开发案例" sheetId="75" r:id="rId39"/>
    <sheet name="不动产比较法-住宅" sheetId="2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 r:id="rId50"/>
    <externalReference r:id="rId51"/>
    <externalReference r:id="rId52"/>
    <externalReference r:id="rId53"/>
    <externalReference r:id="rId54"/>
  </externalReferences>
  <definedNames>
    <definedName name="_xlnm._FilterDatabase" localSheetId="22" hidden="1">'比较法-工业'!$A$1:$L$45</definedName>
    <definedName name="_xlnm._FilterDatabase" localSheetId="37" hidden="1">'比较法-工业（一级开发）'!$A$1:$L$45</definedName>
    <definedName name="_xlnm._FilterDatabase" localSheetId="19"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37">'比较法-工业（一级开发）'!$A$1:$K$62,'比较法-工业（一级开发）'!$A$65:$N$122</definedName>
    <definedName name="_xlnm.Print_Area" localSheetId="19">'比较法-住宅、综合'!$A$1:$K$66,'比较法-住宅、综合'!$A$70:$N$133</definedName>
    <definedName name="_xlnm.Print_Area" localSheetId="41">'不动产比较法-办公'!$A$1:$K$55,'不动产比较法-办公'!$A$58:$M$132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42">'不动产比较法-工业'!$A$1:$K$48,'不动产比较法-工业'!$A$51:$M$113</definedName>
    <definedName name="_xlnm.Print_Area" localSheetId="40">'不动产比较法-商业'!$A$1:$K$54,'不动产比较法-商业'!$A$57:$M$131</definedName>
    <definedName name="_xlnm.Print_Area" localSheetId="39">'不动产比较法-住宅'!$A$1:$K$54,'不动产比较法-住宅'!$A$57:$M$131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成本逼近法!$A$1:$G$34</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32">'基准地价（汇总）'!$A$1:$F$14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3">收益还原法!$A$1:$F$46,收益还原法!$H$3:$M$31,收益还原法!$I$47:$M$61</definedName>
    <definedName name="_xlnm.Print_Area" localSheetId="12">'数据-汇总表'!$A$1:$P$32</definedName>
    <definedName name="_xlnm.Print_Area" localSheetId="15">系统读取表!$A$1:$I$40</definedName>
    <definedName name="_xlnm.Print_Area" localSheetId="10">项目基本情况!$A$1:$J$44</definedName>
    <definedName name="八级">区片价!$Q$1:$Q$44</definedName>
    <definedName name="办公层高" localSheetId="24">'[1]不动产比较法-办公'!$B$119:$M$119</definedName>
    <definedName name="办公层高" localSheetId="23">'[2]不动产比较法-办公'!$B$119:$M$119</definedName>
    <definedName name="办公层高" localSheetId="38">'[3]不动产比较法-办公'!$B$119:$M$119</definedName>
    <definedName name="办公层高">'不动产比较法-办公'!$B$119:$M$119</definedName>
    <definedName name="办公朝向" localSheetId="24">'[1]不动产比较法-办公'!$B$91:$M$91</definedName>
    <definedName name="办公朝向" localSheetId="23">'[2]不动产比较法-办公'!$B$91:$M$91</definedName>
    <definedName name="办公朝向" localSheetId="38">'[3]不动产比较法-办公'!$B$91:$M$91</definedName>
    <definedName name="办公朝向">'不动产比较法-办公'!$B$91:$M$91</definedName>
    <definedName name="办公道路级别" localSheetId="24">'[1]不动产比较法-办公'!$B$87:$M$87</definedName>
    <definedName name="办公道路级别" localSheetId="23">'[2]不动产比较法-办公'!$B$87:$M$87</definedName>
    <definedName name="办公道路级别" localSheetId="38">'[3]不动产比较法-办公'!$B$87:$M$87</definedName>
    <definedName name="办公道路级别">'不动产比较法-办公'!$B$87:$M$87</definedName>
    <definedName name="办公公共部分装修" localSheetId="24">'[1]不动产比较法-办公'!$B$108:$M$108</definedName>
    <definedName name="办公公共部分装修" localSheetId="23">'[2]不动产比较法-办公'!$B$108:$M$108</definedName>
    <definedName name="办公公共部分装修" localSheetId="38">'[3]不动产比较法-办公'!$B$108:$M$108</definedName>
    <definedName name="办公公共部分装修">'不动产比较法-办公'!$B$108:$M$108</definedName>
    <definedName name="办公基础设施水平" localSheetId="24">'[1]不动产比较法-办公'!$B$117:$M$117</definedName>
    <definedName name="办公基础设施水平" localSheetId="23">'[2]不动产比较法-办公'!$B$117:$M$117</definedName>
    <definedName name="办公基础设施水平" localSheetId="38">'[3]不动产比较法-办公'!$B$117:$M$117</definedName>
    <definedName name="办公基础设施水平">'不动产比较法-办公'!$B$117:$M$117</definedName>
    <definedName name="办公集聚程度" localSheetId="24">[1]定义!$M$1:$M$6</definedName>
    <definedName name="办公集聚程度" localSheetId="23">[2]定义!$M$1:$M$6</definedName>
    <definedName name="办公集聚程度" localSheetId="38">[3]定义!$M$1:$M$6</definedName>
    <definedName name="办公集聚程度">定义!$M$1:$M$6</definedName>
    <definedName name="办公建筑结构" localSheetId="24">'[1]不动产比较法-办公'!$B$106:$M$106</definedName>
    <definedName name="办公建筑结构" localSheetId="23">'[2]不动产比较法-办公'!$B$106:$M$106</definedName>
    <definedName name="办公建筑结构" localSheetId="38">'[3]不动产比较法-办公'!$B$106:$M$106</definedName>
    <definedName name="办公建筑结构">'不动产比较法-办公'!$B$106:$M$106</definedName>
    <definedName name="办公建筑类型" localSheetId="24">'[1]不动产比较法-办公'!$B$101:$M$101</definedName>
    <definedName name="办公建筑类型" localSheetId="23">'[2]不动产比较法-办公'!$B$101:$M$101</definedName>
    <definedName name="办公建筑类型" localSheetId="38">'[3]不动产比较法-办公'!$B$101:$M$101</definedName>
    <definedName name="办公建筑类型">'不动产比较法-办公'!$B$101:$M$101</definedName>
    <definedName name="办公交易情况" localSheetId="24">'[1]不动产比较法-办公'!$A$62:$M$62</definedName>
    <definedName name="办公交易情况" localSheetId="23">'[2]不动产比较法-办公'!$A$62:$M$62</definedName>
    <definedName name="办公交易情况" localSheetId="38">'[3]不动产比较法-办公'!$A$62:$M$62</definedName>
    <definedName name="办公交易情况">'不动产比较法-办公'!$A$62:$M$62</definedName>
    <definedName name="办公楼层" localSheetId="24">'[1]不动产比较法-办公'!$B$89:$M$89</definedName>
    <definedName name="办公楼层" localSheetId="23">'[2]不动产比较法-办公'!$B$89:$M$89</definedName>
    <definedName name="办公楼层" localSheetId="38">'[3]不动产比较法-办公'!$B$89:$M$89</definedName>
    <definedName name="办公楼层">'不动产比较法-办公'!$B$89:$M$89</definedName>
    <definedName name="办公内部装修" localSheetId="24">'[1]不动产比较法-办公'!$B$123:$M$123</definedName>
    <definedName name="办公内部装修" localSheetId="23">'[2]不动产比较法-办公'!$B$123:$M$123</definedName>
    <definedName name="办公内部装修" localSheetId="38">'[3]不动产比较法-办公'!$B$123:$M$123</definedName>
    <definedName name="办公内部装修">'不动产比较法-办公'!$B$123:$M$123</definedName>
    <definedName name="办公物业管理" localSheetId="24">'[1]不动产比较法-办公'!$B$115:$M$115</definedName>
    <definedName name="办公物业管理" localSheetId="23">'[2]不动产比较法-办公'!$B$115:$M$115</definedName>
    <definedName name="办公物业管理" localSheetId="38">'[3]不动产比较法-办公'!$B$115:$M$115</definedName>
    <definedName name="办公物业管理">'不动产比较法-办公'!$B$115:$M$115</definedName>
    <definedName name="办公用途" localSheetId="24">'[1]不动产比较法-办公'!$B$64:$M$64</definedName>
    <definedName name="办公用途" localSheetId="23">'[2]不动产比较法-办公'!$B$64:$M$64</definedName>
    <definedName name="办公用途" localSheetId="38">'[3]不动产比较法-办公'!$B$64:$M$64</definedName>
    <definedName name="办公用途">'不动产比较法-办公'!$B$64:$M$64</definedName>
    <definedName name="仓储公共部分装修" localSheetId="24">'[1]不动产比较法-仓储'!$B$77:$M$77</definedName>
    <definedName name="仓储公共部分装修" localSheetId="23">'[2]不动产比较法-仓储'!$B$77:$M$77</definedName>
    <definedName name="仓储公共部分装修" localSheetId="38">'[3]不动产比较法-仓储'!$B$77:$M$77</definedName>
    <definedName name="仓储公共部分装修">'不动产比较法-仓储'!$B$77:$M$77</definedName>
    <definedName name="仓储交易情况" localSheetId="24">'[1]不动产比较法-仓储'!$A$49:$M$49</definedName>
    <definedName name="仓储交易情况" localSheetId="23">'[2]不动产比较法-仓储'!$A$49:$M$49</definedName>
    <definedName name="仓储交易情况" localSheetId="38">'[3]不动产比较法-仓储'!$A$49:$M$49</definedName>
    <definedName name="仓储交易情况">'不动产比较法-仓储'!$A$49:$M$49</definedName>
    <definedName name="仓储楼层" localSheetId="24">'[1]不动产比较法-仓储'!$B$69:$M$69</definedName>
    <definedName name="仓储楼层" localSheetId="23">'[2]不动产比较法-仓储'!$B$69:$M$69</definedName>
    <definedName name="仓储楼层" localSheetId="38">'[3]不动产比较法-仓储'!$B$69:$M$69</definedName>
    <definedName name="仓储楼层">'不动产比较法-仓储'!$B$69:$M$69</definedName>
    <definedName name="仓储物业等级" localSheetId="24">'[1]不动产比较法-仓储'!$B$82:$M$82</definedName>
    <definedName name="仓储物业等级" localSheetId="23">'[2]不动产比较法-仓储'!$B$82:$M$82</definedName>
    <definedName name="仓储物业等级" localSheetId="38">'[3]不动产比较法-仓储'!$B$82:$M$82</definedName>
    <definedName name="仓储物业等级">'不动产比较法-仓储'!$B$82:$M$82</definedName>
    <definedName name="仓储用途" localSheetId="24">'[1]不动产比较法-仓储'!$B$51:$M$51</definedName>
    <definedName name="仓储用途" localSheetId="23">'[2]不动产比较法-仓储'!$B$51:$M$51</definedName>
    <definedName name="仓储用途" localSheetId="38">'[3]不动产比较法-仓储'!$B$51:$M$51</definedName>
    <definedName name="仓储用途">'不动产比较法-仓储'!$B$51:$M$51</definedName>
    <definedName name="产业集聚程度" localSheetId="24">[1]定义!$N$1:$N$6</definedName>
    <definedName name="产业集聚程度" localSheetId="23">[2]定义!$N$1:$N$6</definedName>
    <definedName name="产业集聚程度" localSheetId="38">[3]定义!$N$1:$N$6</definedName>
    <definedName name="产业集聚程度">定义!$N$1:$N$6</definedName>
    <definedName name="车位公共部分装修" localSheetId="24">'[1]不动产比较法-车位'!$B$83:$M$83</definedName>
    <definedName name="车位公共部分装修" localSheetId="23">'[2]不动产比较法-车位'!$B$83:$M$83</definedName>
    <definedName name="车位公共部分装修" localSheetId="38">'[3]不动产比较法-车位'!$B$83:$M$83</definedName>
    <definedName name="车位公共部分装修">'不动产比较法-车位'!$B$83:$M$83</definedName>
    <definedName name="车位交易情况" localSheetId="24">'[1]不动产比较法-车位'!$A$51:$M$51</definedName>
    <definedName name="车位交易情况" localSheetId="23">'[2]不动产比较法-车位'!$A$51:$M$51</definedName>
    <definedName name="车位交易情况" localSheetId="38">'[3]不动产比较法-车位'!$A$51:$M$51</definedName>
    <definedName name="车位交易情况">'不动产比较法-车位'!$A$51:$M$51</definedName>
    <definedName name="车位类型" localSheetId="24">'[1]不动产比较法-车位'!$B$93:$M$93</definedName>
    <definedName name="车位类型" localSheetId="23">'[2]不动产比较法-车位'!$B$93:$M$93</definedName>
    <definedName name="车位类型" localSheetId="38">'[3]不动产比较法-车位'!$B$93:$M$93</definedName>
    <definedName name="车位类型">'不动产比较法-车位'!$B$93:$M$93</definedName>
    <definedName name="车位楼层" localSheetId="24">'[1]不动产比较法-车位'!$B$71:$M$71</definedName>
    <definedName name="车位楼层" localSheetId="23">'[2]不动产比较法-车位'!$B$71:$M$71</definedName>
    <definedName name="车位楼层" localSheetId="38">'[3]不动产比较法-车位'!$B$71:$M$71</definedName>
    <definedName name="车位楼层">'不动产比较法-车位'!$B$71:$M$71</definedName>
    <definedName name="车位配套类型" localSheetId="24">'[1]不动产比较法-车位'!$B$79:$M$79</definedName>
    <definedName name="车位配套类型" localSheetId="23">'[2]不动产比较法-车位'!$B$79:$M$79</definedName>
    <definedName name="车位配套类型" localSheetId="38">'[3]不动产比较法-车位'!$B$79:$M$79</definedName>
    <definedName name="车位配套类型">'不动产比较法-车位'!$B$79:$M$79</definedName>
    <definedName name="车位物业等级" localSheetId="24">'[1]不动产比较法-车位'!$B$88:$M$88</definedName>
    <definedName name="车位物业等级" localSheetId="23">'[2]不动产比较法-车位'!$B$88:$M$88</definedName>
    <definedName name="车位物业等级" localSheetId="38">'[3]不动产比较法-车位'!$B$88:$M$88</definedName>
    <definedName name="车位物业等级">'不动产比较法-车位'!$B$88:$M$88</definedName>
    <definedName name="车位用途" localSheetId="24">'[1]不动产比较法-车位'!$B$53:$M$53</definedName>
    <definedName name="车位用途" localSheetId="23">'[2]不动产比较法-车位'!$B$53:$M$53</definedName>
    <definedName name="车位用途" localSheetId="38">'[3]不动产比较法-车位'!$B$53:$M$53</definedName>
    <definedName name="车位用途">'不动产比较法-车位'!$B$53:$M$53</definedName>
    <definedName name="城镇土地纳税等级分级范围" localSheetId="24">'[1]数据-取费表'!$A$53:$A$63</definedName>
    <definedName name="城镇土地纳税等级分级范围" localSheetId="23">'[2]数据-取费表'!$A$53:$A$63</definedName>
    <definedName name="城镇土地纳税等级分级范围" localSheetId="38">'[3]数据-取费表'!$A$53:$A$63</definedName>
    <definedName name="城镇土地纳税等级分级范围">'数据-取费表'!$A$53:$A$63</definedName>
    <definedName name="单价内涵" localSheetId="24">[1]定义!$V$1:$V$3</definedName>
    <definedName name="单价内涵" localSheetId="23">[2]定义!$V$1:$V$3</definedName>
    <definedName name="单价内涵" localSheetId="38">[3]定义!$V$1:$V$3</definedName>
    <definedName name="单价内涵">定义!$V$1:$V$3</definedName>
    <definedName name="地类判定" localSheetId="24">[1]定义!$H$1:$H$9</definedName>
    <definedName name="地类判定" localSheetId="23">[2]定义!$H$1:$H$9</definedName>
    <definedName name="地类判定" localSheetId="38">[3]定义!$H$1:$H$9</definedName>
    <definedName name="地类判定">定义!$H$1:$H$9</definedName>
    <definedName name="二级">区片价!$K$1:$K$21</definedName>
    <definedName name="二级分类" localSheetId="24">[1]修正!$C$19:$C$51</definedName>
    <definedName name="二级分类" localSheetId="23">[2]修正!$C$19:$C$51</definedName>
    <definedName name="二级分类" localSheetId="38">[3]修正!$C$19:$C$51</definedName>
    <definedName name="二级分类">修正!$C$19:$C$51</definedName>
    <definedName name="法定最高年限" localSheetId="24">[1]定义!$G$2:$G$5</definedName>
    <definedName name="法定最高年限" localSheetId="23">[2]定义!$G$2:$G$5</definedName>
    <definedName name="法定最高年限" localSheetId="38">[3]定义!$G$2:$G$5</definedName>
    <definedName name="法定最高年限">定义!$G$2:$G$5</definedName>
    <definedName name="工业公共部分装修" localSheetId="24">'[1]不动产比较法-工业'!$B$95:$M$95</definedName>
    <definedName name="工业公共部分装修" localSheetId="23">'[2]不动产比较法-工业'!$B$95:$M$95</definedName>
    <definedName name="工业公共部分装修" localSheetId="38">'[3]不动产比较法-工业'!$B$95:$M$95</definedName>
    <definedName name="工业公共部分装修">'不动产比较法-工业'!$B$95:$M$95</definedName>
    <definedName name="工业基础设施水平" localSheetId="24">'[1]不动产比较法-工业'!$B$102:$M$102</definedName>
    <definedName name="工业基础设施水平" localSheetId="23">'[2]不动产比较法-工业'!$B$102:$M$102</definedName>
    <definedName name="工业基础设施水平" localSheetId="38">'[3]不动产比较法-工业'!$B$102:$M$102</definedName>
    <definedName name="工业基础设施水平">'不动产比较法-工业'!$B$102:$M$102</definedName>
    <definedName name="工业建筑结构" localSheetId="24">'[1]不动产比较法-工业'!$B$93:$M$93</definedName>
    <definedName name="工业建筑结构" localSheetId="23">'[2]不动产比较法-工业'!$B$93:$M$93</definedName>
    <definedName name="工业建筑结构" localSheetId="38">'[3]不动产比较法-工业'!$B$93:$M$93</definedName>
    <definedName name="工业建筑结构">'不动产比较法-工业'!$B$93:$M$93</definedName>
    <definedName name="工业建筑类型" localSheetId="24">'[1]不动产比较法-工业'!$B$88:$M$88</definedName>
    <definedName name="工业建筑类型" localSheetId="23">'[2]不动产比较法-工业'!$B$88:$M$88</definedName>
    <definedName name="工业建筑类型" localSheetId="38">'[3]不动产比较法-工业'!$B$88:$M$88</definedName>
    <definedName name="工业建筑类型">'不动产比较法-工业'!$B$88:$M$88</definedName>
    <definedName name="工业交易情况" localSheetId="24">'[1]不动产比较法-工业'!$A$55:$M$55</definedName>
    <definedName name="工业交易情况" localSheetId="23">'[2]不动产比较法-工业'!$A$55:$M$55</definedName>
    <definedName name="工业交易情况" localSheetId="38">'[3]不动产比较法-工业'!$A$55:$M$55</definedName>
    <definedName name="工业交易情况">'不动产比较法-工业'!$A$55:$M$55</definedName>
    <definedName name="工业内部装修" localSheetId="24">'[1]不动产比较法-工业'!$B$104:$M$104</definedName>
    <definedName name="工业内部装修" localSheetId="23">'[2]不动产比较法-工业'!$B$104:$M$104</definedName>
    <definedName name="工业内部装修" localSheetId="38">'[3]不动产比较法-工业'!$B$104:$M$104</definedName>
    <definedName name="工业内部装修">'不动产比较法-工业'!$B$104:$M$104</definedName>
    <definedName name="工业物业管理" localSheetId="24">'[1]不动产比较法-工业'!$B$100:$M$100</definedName>
    <definedName name="工业物业管理" localSheetId="23">'[2]不动产比较法-工业'!$B$100:$M$100</definedName>
    <definedName name="工业物业管理" localSheetId="38">'[3]不动产比较法-工业'!$B$100:$M$100</definedName>
    <definedName name="工业物业管理">'不动产比较法-工业'!$B$100:$M$100</definedName>
    <definedName name="工业用途" localSheetId="24">'[1]不动产比较法-工业'!$B$57:$M$57</definedName>
    <definedName name="工业用途" localSheetId="23">'[2]不动产比较法-工业'!$B$57:$M$57</definedName>
    <definedName name="工业用途" localSheetId="38">'[3]不动产比较法-工业'!$B$57:$M$57</definedName>
    <definedName name="工业用途">'不动产比较法-工业'!$B$57:$M$57</definedName>
    <definedName name="公共配套设施" localSheetId="24">[1]定义!$Q$1:$Q$6</definedName>
    <definedName name="公共配套设施" localSheetId="23">[2]定义!$Q$1:$Q$6</definedName>
    <definedName name="公共配套设施" localSheetId="38">[3]定义!$Q$1:$Q$6</definedName>
    <definedName name="公共配套设施">定义!$Q$1:$Q$6</definedName>
    <definedName name="估价范围判定" localSheetId="24">[1]定义!$D$1:$D$4</definedName>
    <definedName name="估价范围判定" localSheetId="23">[2]定义!$D$1:$D$4</definedName>
    <definedName name="估价范围判定" localSheetId="38">[3]定义!$D$1:$D$4</definedName>
    <definedName name="估价范围判定">定义!$D$1:$D$4</definedName>
    <definedName name="估价方法" localSheetId="24">[1]定义!$B$1:$B$50</definedName>
    <definedName name="估价方法" localSheetId="23">[2]定义!$B$1:$B$50</definedName>
    <definedName name="估价方法" localSheetId="38">[3]定义!$B$1:$B$50</definedName>
    <definedName name="估价方法">定义!$B$1:$B$50</definedName>
    <definedName name="环境" localSheetId="24">[1]定义!$S$1:$S$6</definedName>
    <definedName name="环境" localSheetId="23">[2]定义!$S$1:$S$6</definedName>
    <definedName name="环境" localSheetId="38">[3]定义!$S$1:$S$6</definedName>
    <definedName name="环境">定义!$S$1:$S$6</definedName>
    <definedName name="基础设施水平" localSheetId="24">[1]定义!$R$1:$R$6</definedName>
    <definedName name="基础设施水平" localSheetId="23">[2]定义!$R$1:$R$6</definedName>
    <definedName name="基础设施水平" localSheetId="38">[3]定义!$R$1:$R$6</definedName>
    <definedName name="基础设施水平">定义!$R$1:$R$6</definedName>
    <definedName name="季度">基准地价!$N$19:$AB$19</definedName>
    <definedName name="季度2014">地价!$A$2:$A$41</definedName>
    <definedName name="价值类型2" localSheetId="24">[1]定义!$B$54:$B$56</definedName>
    <definedName name="价值类型2" localSheetId="23">[2]定义!$B$54:$B$56</definedName>
    <definedName name="价值类型2" localSheetId="38">[3]定义!$B$54:$B$56</definedName>
    <definedName name="价值类型2">定义!$B$54:$B$56</definedName>
    <definedName name="交通便捷度" localSheetId="24">[1]定义!$O$1:$O$6</definedName>
    <definedName name="交通便捷度" localSheetId="23">[2]定义!$O$1:$O$6</definedName>
    <definedName name="交通便捷度" localSheetId="38">[3]定义!$O$1:$O$6</definedName>
    <definedName name="交通便捷度">定义!$O$1:$O$6</definedName>
    <definedName name="九级">区片价!$R$1:$R$51</definedName>
    <definedName name="居住社区成熟度" localSheetId="24">[1]定义!$K$1:$K$6</definedName>
    <definedName name="居住社区成熟度" localSheetId="23">[2]定义!$K$1:$K$6</definedName>
    <definedName name="居住社区成熟度" localSheetId="38">[3]定义!$K$1:$K$6</definedName>
    <definedName name="居住社区成熟度">定义!$K$1:$K$6</definedName>
    <definedName name="类别" localSheetId="24">[1]定义!$J$1:$J$3</definedName>
    <definedName name="类别" localSheetId="23">[2]定义!$J$1:$J$3</definedName>
    <definedName name="类别" localSheetId="38">[3]定义!$J$1:$J$3</definedName>
    <definedName name="类别">定义!$J$1:$J$3</definedName>
    <definedName name="临街状况" localSheetId="24">[1]定义!$T$1:$T$5</definedName>
    <definedName name="临街状况" localSheetId="23">[2]定义!$T$1:$T$5</definedName>
    <definedName name="临街状况" localSheetId="38">[3]定义!$T$1:$T$5</definedName>
    <definedName name="临街状况">定义!$T$1:$T$5</definedName>
    <definedName name="六级">区片价!$O$1:$O$64</definedName>
    <definedName name="内部装修维护情况" localSheetId="24">[1]定义!$U$1:$U$6</definedName>
    <definedName name="内部装修维护情况" localSheetId="23">[2]定义!$U$1:$U$6</definedName>
    <definedName name="内部装修维护情况" localSheetId="38">[3]定义!$U$1:$U$6</definedName>
    <definedName name="内部装修维护情况">定义!$U$1:$U$6</definedName>
    <definedName name="七级">区片价!$P$1:$P$45</definedName>
    <definedName name="七通一平" localSheetId="24">[1]修正!$A$8:$A$16</definedName>
    <definedName name="七通一平" localSheetId="23">[2]修正!$A$8:$A$16</definedName>
    <definedName name="七通一平" localSheetId="38">[3]修正!$A$8:$A$16</definedName>
    <definedName name="七通一平">修正!$A$8:$A$16</definedName>
    <definedName name="区域土地利用方向" localSheetId="24">[1]定义!$P$1:$P$6</definedName>
    <definedName name="区域土地利用方向" localSheetId="23">[2]定义!$P$1:$P$6</definedName>
    <definedName name="区域土地利用方向" localSheetId="38">[3]定义!$P$1:$P$6</definedName>
    <definedName name="区域土地利用方向">定义!$P$1:$P$6</definedName>
    <definedName name="三级">区片价!$L$1:$L$26</definedName>
    <definedName name="商业层高" localSheetId="24">'[1]不动产比较法-商业'!$B$116:$M$116</definedName>
    <definedName name="商业层高" localSheetId="23">'[2]不动产比较法-商业'!$B$116:$M$116</definedName>
    <definedName name="商业层高" localSheetId="38">'[3]不动产比较法-商业'!$B$116:$M$116</definedName>
    <definedName name="商业层高">'不动产比较法-商业'!$B$116:$M$116</definedName>
    <definedName name="商业成新度">'不动产比较法-商业'!$B$109:$M$109</definedName>
    <definedName name="商业繁华度" localSheetId="24">[1]定义!$L$1:$L$6</definedName>
    <definedName name="商业繁华度" localSheetId="23">[2]定义!$L$1:$L$6</definedName>
    <definedName name="商业繁华度" localSheetId="38">[3]定义!$L$1:$L$6</definedName>
    <definedName name="商业繁华度">定义!$L$1:$L$6</definedName>
    <definedName name="商业公共部分装修" localSheetId="24">'[1]不动产比较法-商业'!$B$107:$M$107</definedName>
    <definedName name="商业公共部分装修" localSheetId="23">'[2]不动产比较法-商业'!$B$107:$M$107</definedName>
    <definedName name="商业公共部分装修" localSheetId="38">'[3]不动产比较法-商业'!$B$107:$M$107</definedName>
    <definedName name="商业公共部分装修">'不动产比较法-商业'!$B$107:$M$107</definedName>
    <definedName name="商业基础设施水平" localSheetId="24">'[1]不动产比较法-商业'!$B$112:$M$112</definedName>
    <definedName name="商业基础设施水平" localSheetId="23">'[2]不动产比较法-商业'!$B$112:$M$112</definedName>
    <definedName name="商业基础设施水平" localSheetId="38">'[3]不动产比较法-商业'!$B$112:$M$112</definedName>
    <definedName name="商业基础设施水平">'不动产比较法-商业'!$B$112:$M$112</definedName>
    <definedName name="商业建筑结构" localSheetId="24">'[1]不动产比较法-商业'!$B$105:$M$105</definedName>
    <definedName name="商业建筑结构" localSheetId="23">'[2]不动产比较法-商业'!$B$105:$M$105</definedName>
    <definedName name="商业建筑结构" localSheetId="38">'[3]不动产比较法-商业'!$B$105:$M$105</definedName>
    <definedName name="商业建筑结构">'不动产比较法-商业'!$B$105:$M$105</definedName>
    <definedName name="商业交易情况" localSheetId="24">'[1]不动产比较法-商业'!$A$61:$M$61</definedName>
    <definedName name="商业交易情况" localSheetId="23">'[2]不动产比较法-商业'!$A$61:$M$61</definedName>
    <definedName name="商业交易情况" localSheetId="38">'[3]不动产比较法-商业'!$A$61:$M$61</definedName>
    <definedName name="商业交易情况">'不动产比较法-商业'!$A$61:$M$61</definedName>
    <definedName name="商业街名称" localSheetId="24">[1]修正!$C$71:$C$139</definedName>
    <definedName name="商业街名称" localSheetId="23">[2]修正!$C$71:$C$139</definedName>
    <definedName name="商业街名称" localSheetId="38">[3]修正!$C$71:$C$139</definedName>
    <definedName name="商业街名称">修正!$C$71:$C$139</definedName>
    <definedName name="商业进深比" localSheetId="24">'[1]不动产比较法-商业'!$B$120:$M$120</definedName>
    <definedName name="商业进深比" localSheetId="23">'[2]不动产比较法-商业'!$B$120:$M$120</definedName>
    <definedName name="商业进深比" localSheetId="38">'[3]不动产比较法-商业'!$B$120:$M$120</definedName>
    <definedName name="商业进深比">'不动产比较法-商业'!$B$120:$M$120</definedName>
    <definedName name="商业类型" localSheetId="24">'[1]不动产比较法-商业'!$B$100:$M$100</definedName>
    <definedName name="商业类型" localSheetId="23">'[2]不动产比较法-商业'!$B$100:$M$100</definedName>
    <definedName name="商业类型" localSheetId="38">'[3]不动产比较法-商业'!$B$100:$M$100</definedName>
    <definedName name="商业类型">'不动产比较法-商业'!$B$100:$M$100</definedName>
    <definedName name="商业临街状况" localSheetId="24">'[1]不动产比较法-商业'!$B$86:$M$86</definedName>
    <definedName name="商业临街状况" localSheetId="23">'[2]不动产比较法-商业'!$B$86:$M$86</definedName>
    <definedName name="商业临街状况" localSheetId="38">'[3]不动产比较法-商业'!$B$86:$M$86</definedName>
    <definedName name="商业临街状况">'不动产比较法-商业'!$B$86:$M$86</definedName>
    <definedName name="商业楼层" localSheetId="24">'[1]不动产比较法-商业'!$B$92:$M$92</definedName>
    <definedName name="商业楼层" localSheetId="23">'[2]不动产比较法-商业'!$B$92:$M$92</definedName>
    <definedName name="商业楼层" localSheetId="38">'[3]不动产比较法-商业'!$B$92:$M$92</definedName>
    <definedName name="商业楼层">'不动产比较法-商业'!$B$92:$M$92</definedName>
    <definedName name="商业内部装修" localSheetId="24">'[1]不动产比较法-商业'!$B$122:$M$122</definedName>
    <definedName name="商业内部装修" localSheetId="23">'[2]不动产比较法-商业'!$B$122:$M$122</definedName>
    <definedName name="商业内部装修" localSheetId="38">'[3]不动产比较法-商业'!$B$122:$M$122</definedName>
    <definedName name="商业内部装修">'不动产比较法-商业'!$B$122:$M$122</definedName>
    <definedName name="商业人流量" localSheetId="24">'[1]不动产比较法-商业'!$B$90:$M$90</definedName>
    <definedName name="商业人流量" localSheetId="23">'[2]不动产比较法-商业'!$B$90:$M$90</definedName>
    <definedName name="商业人流量" localSheetId="38">'[3]不动产比较法-商业'!$B$90:$M$90</definedName>
    <definedName name="商业人流量">'不动产比较法-商业'!$B$90:$M$90</definedName>
    <definedName name="商业业态" localSheetId="24">'[1]不动产比较法-商业'!$B$114:$M$114</definedName>
    <definedName name="商业业态" localSheetId="23">'[2]不动产比较法-商业'!$B$114:$M$114</definedName>
    <definedName name="商业业态" localSheetId="38">'[3]不动产比较法-商业'!$B$114:$M$114</definedName>
    <definedName name="商业业态">'不动产比较法-商业'!$B$114:$M$114</definedName>
    <definedName name="商业用途" localSheetId="24">'[1]不动产比较法-商业'!$B$63:$M$63</definedName>
    <definedName name="商业用途" localSheetId="23">'[2]不动产比较法-商业'!$B$63:$M$63</definedName>
    <definedName name="商业用途" localSheetId="38">'[3]不动产比较法-商业'!$B$63:$M$63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4">'[1]不动产比较法-仓储'!$B$89:$M$89</definedName>
    <definedName name="是否封闭" localSheetId="23">'[2]不动产比较法-仓储'!$B$89:$M$89</definedName>
    <definedName name="是否封闭" localSheetId="38">'[3]不动产比较法-仓储'!$B$89:$M$89</definedName>
    <definedName name="是否封闭">'不动产比较法-仓储'!$B$89:$M$89</definedName>
    <definedName name="是否直接入户" localSheetId="24">'[1]不动产比较法-车位'!$B$95:$M$95</definedName>
    <definedName name="是否直接入户" localSheetId="23">'[2]不动产比较法-车位'!$B$95:$M$95</definedName>
    <definedName name="是否直接入户" localSheetId="38">'[3]不动产比较法-车位'!$B$95:$M$95</definedName>
    <definedName name="是否直接入户">'不动产比较法-车位'!$B$95:$M$95</definedName>
    <definedName name="四级">区片价!$M$1:$M$33</definedName>
    <definedName name="套工工程地质条件" localSheetId="24">'[1]比较法-工业'!$B$115:$M$115</definedName>
    <definedName name="套工工程地质条件" localSheetId="37">'比较法-工业（一级开发）'!$B$115:$M$115</definedName>
    <definedName name="套工工程地质条件" localSheetId="23">'[2]比较法-工业'!$B$115:$M$115</definedName>
    <definedName name="套工工程地质条件" localSheetId="38">'[3]比较法-工业'!$B$115:$M$115</definedName>
    <definedName name="套工工程地质条件">'比较法-工业'!$B$115:$M$115</definedName>
    <definedName name="套工交易情况" localSheetId="24">'[1]比较法-住宅、综合'!$A$74:$M$74</definedName>
    <definedName name="套工交易情况" localSheetId="23">'[2]比较法-住宅、综合'!$A$74:$M$74</definedName>
    <definedName name="套工交易情况" localSheetId="38">'[3]比较法-住宅、综合'!$A$74:$M$74</definedName>
    <definedName name="套工交易情况">'比较法-住宅、综合'!$A$74:$M$74</definedName>
    <definedName name="套工开发程度" localSheetId="24">'[1]比较法-工业'!$B$113:$M$113</definedName>
    <definedName name="套工开发程度" localSheetId="37">'比较法-工业（一级开发）'!$B$113:$M$113</definedName>
    <definedName name="套工开发程度" localSheetId="23">'[2]比较法-工业'!$B$113:$M$113</definedName>
    <definedName name="套工开发程度" localSheetId="38">'[3]比较法-工业'!$B$113:$M$113</definedName>
    <definedName name="套工开发程度">'比较法-工业'!$B$113:$M$113</definedName>
    <definedName name="套工临街等级" localSheetId="24">'[1]比较法-工业'!$B$98:$M$98</definedName>
    <definedName name="套工临街等级" localSheetId="37">'比较法-工业（一级开发）'!$B$98:$M$98</definedName>
    <definedName name="套工临街等级" localSheetId="23">'[2]比较法-工业'!$B$98:$M$98</definedName>
    <definedName name="套工临街等级" localSheetId="38">'[3]比较法-工业'!$B$98:$M$98</definedName>
    <definedName name="套工临街等级">'比较法-工业'!$B$98:$M$98</definedName>
    <definedName name="套工土地级别" localSheetId="24">'[1]比较法-工业'!$B$100:$M$100</definedName>
    <definedName name="套工土地级别" localSheetId="37">'比较法-工业（一级开发）'!$B$100:$M$100</definedName>
    <definedName name="套工土地级别" localSheetId="23">'[2]比较法-工业'!$B$100:$M$100</definedName>
    <definedName name="套工土地级别" localSheetId="38">'[3]比较法-工业'!$B$100:$M$100</definedName>
    <definedName name="套工土地级别">'比较法-工业'!$B$100:$M$100</definedName>
    <definedName name="套工用途" localSheetId="24">'[1]比较法-工业'!$B$71:$M$71</definedName>
    <definedName name="套工用途" localSheetId="37">'比较法-工业（一级开发）'!$B$71:$M$71</definedName>
    <definedName name="套工用途" localSheetId="23">'[2]比较法-工业'!$B$71:$M$71</definedName>
    <definedName name="套工用途" localSheetId="38">'[3]比较法-工业'!$B$71:$M$71</definedName>
    <definedName name="套工用途">'比较法-工业'!$B$71:$M$71</definedName>
    <definedName name="套工宗地形状" localSheetId="24">'[1]比较法-工业'!$B$111:$M$111</definedName>
    <definedName name="套工宗地形状" localSheetId="37">'比较法-工业（一级开发）'!$B$111:$M$111</definedName>
    <definedName name="套工宗地形状" localSheetId="23">'[2]比较法-工业'!$B$111:$M$111</definedName>
    <definedName name="套工宗地形状" localSheetId="38">'[3]比较法-工业'!$B$111:$M$111</definedName>
    <definedName name="套工宗地形状">'比较法-工业'!$B$111:$M$111</definedName>
    <definedName name="套综道路等级" localSheetId="24">'[1]比较法-住宅、综合'!$B$107:$M$107</definedName>
    <definedName name="套综道路等级" localSheetId="23">'[2]比较法-住宅、综合'!$B$107:$M$107</definedName>
    <definedName name="套综道路等级" localSheetId="38">'[3]比较法-住宅、综合'!$B$107:$M$107</definedName>
    <definedName name="套综道路等级">'比较法-住宅、综合'!$B$107:$M$107</definedName>
    <definedName name="套综工程地质条件" localSheetId="24">'[1]比较法-住宅、综合'!$B$126:$M$126</definedName>
    <definedName name="套综工程地质条件" localSheetId="23">'[2]比较法-住宅、综合'!$B$126:$M$126</definedName>
    <definedName name="套综工程地质条件" localSheetId="38">'[3]比较法-住宅、综合'!$B$126:$M$126</definedName>
    <definedName name="套综工程地质条件">'比较法-住宅、综合'!$B$126:$M$126</definedName>
    <definedName name="套综交易情况" localSheetId="24">'[1]比较法-住宅、综合'!$A$74:$M$74</definedName>
    <definedName name="套综交易情况" localSheetId="23">'[2]比较法-住宅、综合'!$A$74:$M$74</definedName>
    <definedName name="套综交易情况" localSheetId="38">'[3]比较法-住宅、综合'!$A$74:$M$74</definedName>
    <definedName name="套综交易情况">'比较法-住宅、综合'!$A$74:$M$74</definedName>
    <definedName name="套综临街宽度及深度" localSheetId="24">'[1]比较法-住宅、综合'!$B$122:$M$122</definedName>
    <definedName name="套综临街宽度及深度" localSheetId="23">'[2]比较法-住宅、综合'!$B$122:$M$122</definedName>
    <definedName name="套综临街宽度及深度" localSheetId="38">'[3]比较法-住宅、综合'!$B$122:$M$122</definedName>
    <definedName name="套综临街宽度及深度">'比较法-住宅、综合'!$B$122:$M$122</definedName>
    <definedName name="套综土地级别" localSheetId="24">'[1]比较法-住宅、综合'!$B$109:$M$109</definedName>
    <definedName name="套综土地级别" localSheetId="23">'[2]比较法-住宅、综合'!$B$109:$M$109</definedName>
    <definedName name="套综土地级别" localSheetId="38">'[3]比较法-住宅、综合'!$B$109:$M$109</definedName>
    <definedName name="套综土地级别">'比较法-住宅、综合'!$B$109:$M$109</definedName>
    <definedName name="套综用途" localSheetId="24">'[1]比较法-住宅、综合'!$B$76:$M$76</definedName>
    <definedName name="套综用途" localSheetId="23">'[2]比较法-住宅、综合'!$B$76:$M$76</definedName>
    <definedName name="套综用途" localSheetId="38">'[3]比较法-住宅、综合'!$B$76:$M$76</definedName>
    <definedName name="套综用途">'比较法-住宅、综合'!$B$76:$M$76</definedName>
    <definedName name="套综宗地内开发程度" localSheetId="24">'[1]比较法-住宅、综合'!$B$124:$M$124</definedName>
    <definedName name="套综宗地内开发程度" localSheetId="23">'[2]比较法-住宅、综合'!$B$124:$M$124</definedName>
    <definedName name="套综宗地内开发程度" localSheetId="38">'[3]比较法-住宅、综合'!$B$124:$M$124</definedName>
    <definedName name="套综宗地内开发程度">'比较法-住宅、综合'!$B$124:$M$124</definedName>
    <definedName name="套综宗地形状" localSheetId="24">'[1]比较法-住宅、综合'!$B$120:$M$120</definedName>
    <definedName name="套综宗地形状" localSheetId="23">'[2]比较法-住宅、综合'!$B$120:$M$120</definedName>
    <definedName name="套综宗地形状" localSheetId="38">'[3]比较法-住宅、综合'!$B$120:$M$120</definedName>
    <definedName name="套综宗地形状">'比较法-住宅、综合'!$B$120:$M$120</definedName>
    <definedName name="土地估价师" localSheetId="24">[1]估价师及机构信息!$D$3:$D$17</definedName>
    <definedName name="土地估价师" localSheetId="23">[2]估价师及机构信息!$D$3:$D$17</definedName>
    <definedName name="土地估价师" localSheetId="38">[3]估价师及机构信息!$D$3:$D$17</definedName>
    <definedName name="土地估价师">估价师及机构信息!$D$3:$D$17</definedName>
    <definedName name="土地级别" localSheetId="24">[1]定义!$C$1:$C$14</definedName>
    <definedName name="土地级别" localSheetId="23">[2]定义!$C$1:$C$14</definedName>
    <definedName name="土地级别" localSheetId="38">[3]定义!$C$1:$C$14</definedName>
    <definedName name="土地级别">定义!$C$1:$C$14</definedName>
    <definedName name="土地利用方向">定义!$P$1:$P$6</definedName>
    <definedName name="土地年限区间">定义!$I$1:$I$16</definedName>
    <definedName name="位置" localSheetId="24">[1]定义!$E$2:$E$4</definedName>
    <definedName name="位置" localSheetId="23">[2]定义!$E$2:$E$4</definedName>
    <definedName name="位置" localSheetId="38">[3]定义!$E$2:$E$4</definedName>
    <definedName name="位置">定义!$E$2:$E$4</definedName>
    <definedName name="五等判定" localSheetId="24">[1]定义!$W$1:$W$6</definedName>
    <definedName name="五等判定" localSheetId="23">[2]定义!$W$1:$W$6</definedName>
    <definedName name="五等判定" localSheetId="38">[3]定义!$W$1:$W$6</definedName>
    <definedName name="五等判定">定义!$W$1:$W$6</definedName>
    <definedName name="五级">区片价!$N$1:$N$41</definedName>
    <definedName name="项目类型" localSheetId="24">'[1]数据-汇总表'!$C$17:$C$26</definedName>
    <definedName name="项目类型" localSheetId="35">'[4]数据-汇总表'!$C$17:$C$26</definedName>
    <definedName name="项目类型" localSheetId="23">'[2]数据-汇总表'!$C$17:$C$26</definedName>
    <definedName name="项目类型" localSheetId="38">'[3]数据-汇总表'!$C$17:$C$26</definedName>
    <definedName name="项目类型">'数据-汇总表'!$C$17:$C$26</definedName>
    <definedName name="写字楼等级" localSheetId="24">'[1]不动产比较法-办公'!$B$113:$M$113</definedName>
    <definedName name="写字楼等级" localSheetId="23">'[2]不动产比较法-办公'!$B$113:$M$113</definedName>
    <definedName name="写字楼等级" localSheetId="38">'[3]不动产比较法-办公'!$B$113:$M$113</definedName>
    <definedName name="写字楼等级">'不动产比较法-办公'!$B$113:$M$113</definedName>
    <definedName name="一级">区片价!$J$1:$J$6</definedName>
    <definedName name="一修多修正项2" localSheetId="24">[1]典型户型修正!$5:$5</definedName>
    <definedName name="一修多修正项2" localSheetId="23">[2]典型户型修正!$5:$5</definedName>
    <definedName name="一修多修正项2" localSheetId="38">[3]典型户型修正!$5:$5</definedName>
    <definedName name="一修多修正项2">典型户型修正!$5:$5</definedName>
    <definedName name="一修多修正项3" localSheetId="24">[1]典型户型修正!$7:$7</definedName>
    <definedName name="一修多修正项3" localSheetId="23">[2]典型户型修正!$7:$7</definedName>
    <definedName name="一修多修正项3" localSheetId="38">[3]典型户型修正!$7:$7</definedName>
    <definedName name="一修多修正项3">典型户型修正!$7:$7</definedName>
    <definedName name="一修多修正项4" localSheetId="24">[1]典型户型修正!$9:$9</definedName>
    <definedName name="一修多修正项4" localSheetId="23">[2]典型户型修正!$9:$9</definedName>
    <definedName name="一修多修正项4" localSheetId="38">[3]典型户型修正!$9:$9</definedName>
    <definedName name="一修多修正项4">典型户型修正!$9:$9</definedName>
    <definedName name="一修多修正项5" localSheetId="24">[1]典型户型修正!$11:$11</definedName>
    <definedName name="一修多修正项5" localSheetId="23">[2]典型户型修正!$11:$11</definedName>
    <definedName name="一修多修正项5" localSheetId="38">[3]典型户型修正!$11:$11</definedName>
    <definedName name="一修多修正项5">典型户型修正!$11:$11</definedName>
    <definedName name="一修多修正项6" localSheetId="24">[1]典型户型修正!$13:$13</definedName>
    <definedName name="一修多修正项6" localSheetId="23">[2]典型户型修正!$13:$13</definedName>
    <definedName name="一修多修正项6" localSheetId="38">[3]典型户型修正!$13:$13</definedName>
    <definedName name="一修多修正项6">典型户型修正!$13:$13</definedName>
    <definedName name="一修多修正项7" localSheetId="24">[1]典型户型修正!$15:$15</definedName>
    <definedName name="一修多修正项7" localSheetId="23">[2]典型户型修正!$15:$15</definedName>
    <definedName name="一修多修正项7" localSheetId="38">[3]典型户型修正!$15:$15</definedName>
    <definedName name="一修多修正项7">典型户型修正!$15:$15</definedName>
    <definedName name="一修多修正项8" localSheetId="24">[1]典型户型修正!$17:$17</definedName>
    <definedName name="一修多修正项8" localSheetId="23">[2]典型户型修正!$17:$17</definedName>
    <definedName name="一修多修正项8" localSheetId="38">[3]典型户型修正!$17:$17</definedName>
    <definedName name="一修多修正项8">典型户型修正!$17:$17</definedName>
    <definedName name="用途类型" localSheetId="24">[1]定义!$A$1:$A$50</definedName>
    <definedName name="用途类型" localSheetId="23">[2]定义!$A$1:$A$50</definedName>
    <definedName name="用途类型" localSheetId="38">[3]定义!$A$1:$A$50</definedName>
    <definedName name="用途类型">定义!$A$1:$A$50</definedName>
    <definedName name="有无电梯" localSheetId="24">'[1]不动产比较法-仓储'!$B$84:$M$84</definedName>
    <definedName name="有无电梯" localSheetId="23">'[2]不动产比较法-仓储'!$B$84:$M$84</definedName>
    <definedName name="有无电梯" localSheetId="38">'[3]不动产比较法-仓储'!$B$84:$M$84</definedName>
    <definedName name="有无电梯">'不动产比较法-仓储'!$B$84:$M$84</definedName>
    <definedName name="主用途" localSheetId="24">[1]定义!$F$1:$F$12</definedName>
    <definedName name="主用途" localSheetId="23">[2]定义!$F$1:$F$12</definedName>
    <definedName name="主用途" localSheetId="38">[3]定义!$F$1:$F$12</definedName>
    <definedName name="主用途">定义!$F$1:$F$12</definedName>
    <definedName name="住宅朝向" localSheetId="24">'[1]不动产比较法-住宅'!$B$88:$M$88</definedName>
    <definedName name="住宅朝向" localSheetId="23">'[2]不动产比较法-住宅'!$B$88:$M$88</definedName>
    <definedName name="住宅朝向" localSheetId="38">'[3]不动产比较法-住宅'!$B$88:$M$88</definedName>
    <definedName name="住宅朝向">'不动产比较法-住宅'!$B$88:$M$88</definedName>
    <definedName name="住宅房型" localSheetId="24">'[1]不动产比较法-住宅'!$B$118:$M$118</definedName>
    <definedName name="住宅房型" localSheetId="23">'[2]不动产比较法-住宅'!$B$118:$M$118</definedName>
    <definedName name="住宅房型" localSheetId="38">'[3]不动产比较法-住宅'!$B$118:$M$118</definedName>
    <definedName name="住宅房型">'不动产比较法-住宅'!$B$118:$M$118</definedName>
    <definedName name="住宅公共部分装修" localSheetId="24">'[1]不动产比较法-住宅'!$B$109:$M$109</definedName>
    <definedName name="住宅公共部分装修" localSheetId="23">'[2]不动产比较法-住宅'!$B$109:$M$109</definedName>
    <definedName name="住宅公共部分装修" localSheetId="38">'[3]不动产比较法-住宅'!$B$109:$M$109</definedName>
    <definedName name="住宅公共部分装修">'不动产比较法-住宅'!$B$109:$M$109</definedName>
    <definedName name="住宅基础设施水平" localSheetId="24">'[1]不动产比较法-住宅'!$B$116:$M$116</definedName>
    <definedName name="住宅基础设施水平" localSheetId="23">'[2]不动产比较法-住宅'!$B$116:$M$116</definedName>
    <definedName name="住宅基础设施水平" localSheetId="38">'[3]不动产比较法-住宅'!$B$116:$M$116</definedName>
    <definedName name="住宅基础设施水平">'不动产比较法-住宅'!$B$116:$M$116</definedName>
    <definedName name="住宅建筑结构" localSheetId="24">'[1]不动产比较法-住宅'!$B$105:$M$105</definedName>
    <definedName name="住宅建筑结构" localSheetId="23">'[2]不动产比较法-住宅'!$B$105:$M$105</definedName>
    <definedName name="住宅建筑结构" localSheetId="38">'[3]不动产比较法-住宅'!$B$105:$M$105</definedName>
    <definedName name="住宅建筑结构">'不动产比较法-住宅'!$B$105:$M$105</definedName>
    <definedName name="住宅建筑类型" localSheetId="24">'[1]不动产比较法-住宅'!$B$100:$M$100</definedName>
    <definedName name="住宅建筑类型" localSheetId="23">'[2]不动产比较法-住宅'!$B$100:$M$100</definedName>
    <definedName name="住宅建筑类型" localSheetId="38">'[3]不动产比较法-住宅'!$B$100:$M$100</definedName>
    <definedName name="住宅建筑类型">'不动产比较法-住宅'!$B$100:$M$100</definedName>
    <definedName name="住宅建筑品质" localSheetId="24">'[1]不动产比较法-住宅'!$B$107:$M$107</definedName>
    <definedName name="住宅建筑品质" localSheetId="23">'[2]不动产比较法-住宅'!$B$107:$M$107</definedName>
    <definedName name="住宅建筑品质" localSheetId="38">'[3]不动产比较法-住宅'!$B$107:$M$107</definedName>
    <definedName name="住宅建筑品质">'不动产比较法-住宅'!$B$107:$M$107</definedName>
    <definedName name="住宅交易情况" localSheetId="24">'[1]不动产比较法-住宅'!$A$61:$M$61</definedName>
    <definedName name="住宅交易情况" localSheetId="23">'[2]不动产比较法-住宅'!$A$61:$M$61</definedName>
    <definedName name="住宅交易情况" localSheetId="38">'[3]不动产比较法-住宅'!$A$61:$M$61</definedName>
    <definedName name="住宅交易情况">'不动产比较法-住宅'!$A$61:$M$61</definedName>
    <definedName name="住宅楼层" localSheetId="24">'[1]不动产比较法-住宅'!$B$86:$M$86</definedName>
    <definedName name="住宅楼层" localSheetId="23">'[2]不动产比较法-住宅'!$B$86:$M$86</definedName>
    <definedName name="住宅楼层" localSheetId="38">'[3]不动产比较法-住宅'!$B$86:$M$86</definedName>
    <definedName name="住宅楼层">'不动产比较法-住宅'!$B$86:$M$86</definedName>
    <definedName name="住宅内部装修" localSheetId="24">'[1]不动产比较法-住宅'!$B$122:$M$122</definedName>
    <definedName name="住宅内部装修" localSheetId="23">'[2]不动产比较法-住宅'!$B$122:$M$122</definedName>
    <definedName name="住宅内部装修" localSheetId="38">'[3]不动产比较法-住宅'!$B$122:$M$122</definedName>
    <definedName name="住宅内部装修">'不动产比较法-住宅'!$B$122:$M$122</definedName>
    <definedName name="住宅物业管理" localSheetId="24">'[1]不动产比较法-住宅'!$B$114:$M$114</definedName>
    <definedName name="住宅物业管理" localSheetId="23">'[2]不动产比较法-住宅'!$B$114:$M$114</definedName>
    <definedName name="住宅物业管理" localSheetId="38">'[3]不动产比较法-住宅'!$B$114:$M$114</definedName>
    <definedName name="住宅物业管理">'不动产比较法-住宅'!$B$114:$M$114</definedName>
    <definedName name="住宅用途" localSheetId="24">'[1]不动产比较法-住宅'!$B$63:$M$63</definedName>
    <definedName name="住宅用途" localSheetId="23">'[2]不动产比较法-住宅'!$B$63:$M$63</definedName>
    <definedName name="住宅用途" localSheetId="38">'[3]不动产比较法-住宅'!$B$63:$M$63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B36" i="66" l="1"/>
  <c r="B35" i="66"/>
  <c r="G43" i="40" l="1"/>
  <c r="E71" i="40"/>
  <c r="G9" i="40"/>
  <c r="G7" i="40"/>
  <c r="I7" i="40"/>
  <c r="E7" i="40"/>
  <c r="BF32" i="73"/>
  <c r="BG32" i="73" s="1"/>
  <c r="BJ52" i="73" l="1"/>
  <c r="BJ30" i="73"/>
  <c r="BJ25" i="73"/>
  <c r="BJ17" i="73"/>
  <c r="BJ14" i="73"/>
  <c r="BJ13" i="73"/>
  <c r="BG12" i="73" l="1"/>
  <c r="BD28" i="73"/>
  <c r="BE28" i="73" s="1"/>
  <c r="BF52" i="73"/>
  <c r="BG52" i="73" s="1"/>
  <c r="BF54" i="73"/>
  <c r="BG54" i="73" s="1"/>
  <c r="BF55" i="73"/>
  <c r="BG55" i="73" s="1"/>
  <c r="BF57" i="73"/>
  <c r="BG57" i="73" s="1"/>
  <c r="BD31" i="73"/>
  <c r="BE31" i="73" s="1"/>
  <c r="BF31" i="73"/>
  <c r="BG31" i="73" s="1"/>
  <c r="BD32" i="73"/>
  <c r="BE32" i="73" s="1"/>
  <c r="BD33" i="73"/>
  <c r="BE33" i="73" s="1"/>
  <c r="BD34" i="73"/>
  <c r="BE34" i="73" s="1"/>
  <c r="BD35" i="73"/>
  <c r="BE35" i="73" s="1"/>
  <c r="BD36" i="73"/>
  <c r="BE36" i="73" s="1"/>
  <c r="BD37" i="73"/>
  <c r="BE37" i="73" s="1"/>
  <c r="BD38" i="73"/>
  <c r="BE38" i="73" s="1"/>
  <c r="BF49" i="73"/>
  <c r="BG49" i="73"/>
  <c r="BF43" i="73"/>
  <c r="BG43" i="73" s="1"/>
  <c r="BD43" i="73"/>
  <c r="BE43" i="73" s="1"/>
  <c r="BB43" i="73"/>
  <c r="K43" i="73"/>
  <c r="BB12" i="73" l="1"/>
  <c r="BF12" i="73"/>
  <c r="BD12" i="73"/>
  <c r="BE12" i="73" s="1"/>
  <c r="A39" i="66" l="1"/>
  <c r="C14" i="66" l="1"/>
  <c r="B14" i="66"/>
  <c r="D26" i="11"/>
  <c r="C14" i="11"/>
  <c r="A33" i="66"/>
  <c r="A32" i="66"/>
  <c r="C28" i="66"/>
  <c r="D14" i="11"/>
  <c r="J14" i="11"/>
  <c r="E14" i="11" s="1"/>
  <c r="M14" i="11"/>
  <c r="J15" i="11"/>
  <c r="I43" i="76"/>
  <c r="G43" i="76"/>
  <c r="O66" i="76"/>
  <c r="P66" i="76"/>
  <c r="Q66" i="76"/>
  <c r="O67" i="76"/>
  <c r="P67" i="76"/>
  <c r="Q67" i="76" s="1"/>
  <c r="O64" i="76"/>
  <c r="P64" i="76" s="1"/>
  <c r="Q64" i="76" s="1"/>
  <c r="I7" i="76"/>
  <c r="G7" i="76"/>
  <c r="E7" i="76"/>
  <c r="M20" i="75" l="1"/>
  <c r="M19" i="75"/>
  <c r="M2" i="75"/>
  <c r="B121" i="76"/>
  <c r="B119" i="76"/>
  <c r="B117" i="76"/>
  <c r="D116" i="76"/>
  <c r="E116" i="76" s="1"/>
  <c r="F116" i="76" s="1"/>
  <c r="G116" i="76" s="1"/>
  <c r="H116" i="76" s="1"/>
  <c r="I116" i="76" s="1"/>
  <c r="J116" i="76" s="1"/>
  <c r="K116" i="76" s="1"/>
  <c r="L116" i="76" s="1"/>
  <c r="M116" i="76" s="1"/>
  <c r="F114" i="76"/>
  <c r="G114" i="76" s="1"/>
  <c r="H114" i="76" s="1"/>
  <c r="I114" i="76" s="1"/>
  <c r="J114" i="76" s="1"/>
  <c r="K114" i="76" s="1"/>
  <c r="L114" i="76" s="1"/>
  <c r="M114" i="76" s="1"/>
  <c r="E114" i="76"/>
  <c r="D114" i="76"/>
  <c r="E112" i="76"/>
  <c r="F112" i="76" s="1"/>
  <c r="G112" i="76" s="1"/>
  <c r="H112" i="76" s="1"/>
  <c r="I112" i="76" s="1"/>
  <c r="J112" i="76" s="1"/>
  <c r="K112" i="76" s="1"/>
  <c r="L112" i="76" s="1"/>
  <c r="M112" i="76" s="1"/>
  <c r="D112" i="76"/>
  <c r="M108" i="76"/>
  <c r="L108" i="76"/>
  <c r="K108" i="76"/>
  <c r="J108" i="76"/>
  <c r="I108" i="76"/>
  <c r="H108" i="76"/>
  <c r="G108" i="76"/>
  <c r="F108" i="76"/>
  <c r="E108" i="76"/>
  <c r="D108" i="76"/>
  <c r="C108" i="76"/>
  <c r="B106" i="76"/>
  <c r="B104" i="76"/>
  <c r="B102" i="76"/>
  <c r="E101" i="76"/>
  <c r="F101" i="76" s="1"/>
  <c r="G101" i="76" s="1"/>
  <c r="H101" i="76" s="1"/>
  <c r="I101" i="76" s="1"/>
  <c r="J101" i="76" s="1"/>
  <c r="K101" i="76" s="1"/>
  <c r="L101" i="76" s="1"/>
  <c r="M101" i="76" s="1"/>
  <c r="D101" i="76"/>
  <c r="D99" i="76"/>
  <c r="E99" i="76" s="1"/>
  <c r="F99" i="76" s="1"/>
  <c r="G99" i="76" s="1"/>
  <c r="H99" i="76" s="1"/>
  <c r="I99" i="76" s="1"/>
  <c r="J99" i="76" s="1"/>
  <c r="K99" i="76" s="1"/>
  <c r="L99" i="76" s="1"/>
  <c r="M99" i="76" s="1"/>
  <c r="F97" i="76"/>
  <c r="G97" i="76" s="1"/>
  <c r="H97" i="76" s="1"/>
  <c r="I97" i="76" s="1"/>
  <c r="J97" i="76" s="1"/>
  <c r="K97" i="76" s="1"/>
  <c r="L97" i="76" s="1"/>
  <c r="M97" i="76" s="1"/>
  <c r="E97" i="76"/>
  <c r="D97" i="76"/>
  <c r="B96" i="76"/>
  <c r="D95" i="76"/>
  <c r="E95" i="76" s="1"/>
  <c r="F95" i="76" s="1"/>
  <c r="G95" i="76" s="1"/>
  <c r="G93" i="76"/>
  <c r="F93" i="76"/>
  <c r="E93" i="76"/>
  <c r="D93" i="76"/>
  <c r="D91" i="76"/>
  <c r="E91" i="76" s="1"/>
  <c r="F91" i="76" s="1"/>
  <c r="G91" i="76" s="1"/>
  <c r="G89" i="76"/>
  <c r="F89" i="76"/>
  <c r="E89" i="76"/>
  <c r="D89" i="76"/>
  <c r="D87" i="76"/>
  <c r="E87" i="76" s="1"/>
  <c r="F87" i="76" s="1"/>
  <c r="G87" i="76" s="1"/>
  <c r="G85" i="76"/>
  <c r="F85" i="76"/>
  <c r="E85" i="76"/>
  <c r="D85" i="76"/>
  <c r="B82" i="76"/>
  <c r="B80" i="76"/>
  <c r="B78" i="76"/>
  <c r="D77" i="76"/>
  <c r="E77" i="76" s="1"/>
  <c r="F77" i="76" s="1"/>
  <c r="G77" i="76" s="1"/>
  <c r="H77" i="76" s="1"/>
  <c r="I77" i="76" s="1"/>
  <c r="J77" i="76" s="1"/>
  <c r="K77" i="76" s="1"/>
  <c r="L77" i="76" s="1"/>
  <c r="M77" i="76" s="1"/>
  <c r="M75" i="76"/>
  <c r="L75" i="76"/>
  <c r="K75" i="76"/>
  <c r="J75" i="76"/>
  <c r="I75" i="76"/>
  <c r="H75" i="76"/>
  <c r="G75" i="76"/>
  <c r="F75" i="76"/>
  <c r="E75" i="76"/>
  <c r="D75" i="76"/>
  <c r="C75" i="76"/>
  <c r="D71" i="76"/>
  <c r="C71" i="76"/>
  <c r="D67" i="76"/>
  <c r="E67" i="76" s="1"/>
  <c r="F67" i="76" s="1"/>
  <c r="G67" i="76" s="1"/>
  <c r="H67" i="76" s="1"/>
  <c r="I67" i="76" s="1"/>
  <c r="J67" i="76" s="1"/>
  <c r="K67" i="76" s="1"/>
  <c r="L67" i="76" s="1"/>
  <c r="M67" i="76" s="1"/>
  <c r="N67" i="76" s="1"/>
  <c r="B67" i="76"/>
  <c r="E62" i="76"/>
  <c r="H61" i="76"/>
  <c r="I61" i="76" s="1"/>
  <c r="C61" i="76" s="1"/>
  <c r="E61" i="76"/>
  <c r="I60" i="76"/>
  <c r="C60" i="76" s="1"/>
  <c r="H60" i="76"/>
  <c r="E60" i="76"/>
  <c r="H59" i="76"/>
  <c r="I59" i="76" s="1"/>
  <c r="C59" i="76" s="1"/>
  <c r="E59" i="76"/>
  <c r="H58" i="76"/>
  <c r="I58" i="76" s="1"/>
  <c r="C58" i="76" s="1"/>
  <c r="E58" i="76"/>
  <c r="H57" i="76"/>
  <c r="I57" i="76" s="1"/>
  <c r="C57" i="76" s="1"/>
  <c r="E57" i="76"/>
  <c r="I56" i="76"/>
  <c r="C56" i="76" s="1"/>
  <c r="H56" i="76"/>
  <c r="I55" i="76"/>
  <c r="H55" i="76"/>
  <c r="C55" i="76"/>
  <c r="H54" i="76"/>
  <c r="I54" i="76" s="1"/>
  <c r="C54" i="76" s="1"/>
  <c r="E53" i="76"/>
  <c r="J52" i="76"/>
  <c r="P45" i="76"/>
  <c r="P44" i="76"/>
  <c r="K44" i="76"/>
  <c r="P43" i="76"/>
  <c r="G50" i="76"/>
  <c r="H50" i="76" s="1"/>
  <c r="U42" i="76"/>
  <c r="S42" i="76"/>
  <c r="Q42" i="76"/>
  <c r="Z42" i="76" s="1"/>
  <c r="J42" i="76"/>
  <c r="W42" i="76" s="1"/>
  <c r="H42" i="76"/>
  <c r="AB42" i="76" s="1"/>
  <c r="F42" i="76"/>
  <c r="AA42" i="76" s="1"/>
  <c r="Z41" i="76"/>
  <c r="W41" i="76"/>
  <c r="U41" i="76"/>
  <c r="Q41" i="76"/>
  <c r="J41" i="76"/>
  <c r="AC41" i="76" s="1"/>
  <c r="H41" i="76"/>
  <c r="AB41" i="76" s="1"/>
  <c r="F41" i="76"/>
  <c r="AA41" i="76" s="1"/>
  <c r="Q40" i="76"/>
  <c r="Z40" i="76" s="1"/>
  <c r="J40" i="76"/>
  <c r="AC40" i="76" s="1"/>
  <c r="H40" i="76"/>
  <c r="AB40" i="76" s="1"/>
  <c r="F40" i="76"/>
  <c r="S40" i="76" s="1"/>
  <c r="W39" i="76"/>
  <c r="S39" i="76"/>
  <c r="Q39" i="76"/>
  <c r="Z39" i="76" s="1"/>
  <c r="J39" i="76"/>
  <c r="AC39" i="76" s="1"/>
  <c r="H39" i="76"/>
  <c r="U39" i="76" s="1"/>
  <c r="F39" i="76"/>
  <c r="AA39" i="76" s="1"/>
  <c r="Z38" i="76"/>
  <c r="W38" i="76"/>
  <c r="S38" i="76"/>
  <c r="Q38" i="76"/>
  <c r="J38" i="76"/>
  <c r="AC38" i="76" s="1"/>
  <c r="H38" i="76"/>
  <c r="AB38" i="76" s="1"/>
  <c r="F38" i="76"/>
  <c r="AA38" i="76" s="1"/>
  <c r="Z37" i="76"/>
  <c r="S37" i="76"/>
  <c r="Q37" i="76"/>
  <c r="J37" i="76"/>
  <c r="AC37" i="76" s="1"/>
  <c r="H37" i="76"/>
  <c r="U37" i="76" s="1"/>
  <c r="F37" i="76"/>
  <c r="AA37" i="76" s="1"/>
  <c r="Z36" i="76"/>
  <c r="U36" i="76"/>
  <c r="S36" i="76"/>
  <c r="Q36" i="76"/>
  <c r="J36" i="76"/>
  <c r="W36" i="76" s="1"/>
  <c r="H36" i="76"/>
  <c r="AB36" i="76" s="1"/>
  <c r="F36" i="76"/>
  <c r="AA36" i="76" s="1"/>
  <c r="Z35" i="76"/>
  <c r="U35" i="76"/>
  <c r="Q35" i="76"/>
  <c r="J35" i="76"/>
  <c r="AC35" i="76" s="1"/>
  <c r="H35" i="76"/>
  <c r="AB35" i="76" s="1"/>
  <c r="F35" i="76"/>
  <c r="AA35" i="76" s="1"/>
  <c r="U34" i="76"/>
  <c r="Q34" i="76"/>
  <c r="Z34" i="76" s="1"/>
  <c r="J34" i="76"/>
  <c r="W34" i="76" s="1"/>
  <c r="H34" i="76"/>
  <c r="AB34" i="76" s="1"/>
  <c r="F34" i="76"/>
  <c r="S34" i="76" s="1"/>
  <c r="W33" i="76"/>
  <c r="U33" i="76"/>
  <c r="Q33" i="76"/>
  <c r="Z33" i="76" s="1"/>
  <c r="J33" i="76"/>
  <c r="AC33" i="76" s="1"/>
  <c r="H33" i="76"/>
  <c r="AB33" i="76" s="1"/>
  <c r="F33" i="76"/>
  <c r="AA33" i="76" s="1"/>
  <c r="Q32" i="76"/>
  <c r="Z32" i="76" s="1"/>
  <c r="F32" i="76"/>
  <c r="S32" i="76" s="1"/>
  <c r="C32" i="76"/>
  <c r="J32" i="76" s="1"/>
  <c r="Z30" i="76"/>
  <c r="S30" i="76"/>
  <c r="Q30" i="76"/>
  <c r="J30" i="76"/>
  <c r="W30" i="76" s="1"/>
  <c r="H30" i="76"/>
  <c r="U30" i="76" s="1"/>
  <c r="F30" i="76"/>
  <c r="AA30" i="76" s="1"/>
  <c r="C30" i="76"/>
  <c r="Q29" i="76"/>
  <c r="Z29" i="76" s="1"/>
  <c r="J29" i="76"/>
  <c r="AC29" i="76" s="1"/>
  <c r="H29" i="76"/>
  <c r="AB29" i="76" s="1"/>
  <c r="F29" i="76"/>
  <c r="S29" i="76" s="1"/>
  <c r="S27" i="76"/>
  <c r="Q27" i="76"/>
  <c r="Z27" i="76" s="1"/>
  <c r="J27" i="76"/>
  <c r="W27" i="76" s="1"/>
  <c r="H27" i="76"/>
  <c r="U27" i="76" s="1"/>
  <c r="F27" i="76"/>
  <c r="AA27" i="76" s="1"/>
  <c r="C27" i="76"/>
  <c r="Z25" i="76"/>
  <c r="W25" i="76"/>
  <c r="Q25" i="76"/>
  <c r="J25" i="76"/>
  <c r="AC25" i="76" s="1"/>
  <c r="H25" i="76"/>
  <c r="AB25" i="76" s="1"/>
  <c r="F25" i="76"/>
  <c r="AA25" i="76" s="1"/>
  <c r="C25" i="76"/>
  <c r="Q23" i="76"/>
  <c r="Z23" i="76" s="1"/>
  <c r="J23" i="76"/>
  <c r="W23" i="76" s="1"/>
  <c r="H23" i="76"/>
  <c r="U23" i="76" s="1"/>
  <c r="F23" i="76"/>
  <c r="S23" i="76" s="1"/>
  <c r="C23" i="76"/>
  <c r="Z21" i="76"/>
  <c r="W21" i="76"/>
  <c r="Q21" i="76"/>
  <c r="J21" i="76"/>
  <c r="AC21" i="76" s="1"/>
  <c r="H21" i="76"/>
  <c r="AB21" i="76" s="1"/>
  <c r="F21" i="76"/>
  <c r="AA21" i="76" s="1"/>
  <c r="C21" i="76"/>
  <c r="S19" i="76"/>
  <c r="Q19" i="76"/>
  <c r="Z19" i="76" s="1"/>
  <c r="J19" i="76"/>
  <c r="W19" i="76" s="1"/>
  <c r="H19" i="76"/>
  <c r="U19" i="76" s="1"/>
  <c r="F19" i="76"/>
  <c r="AA19" i="76" s="1"/>
  <c r="C19" i="76"/>
  <c r="Z17" i="76"/>
  <c r="W17" i="76"/>
  <c r="U17" i="76"/>
  <c r="Q17" i="76"/>
  <c r="J17" i="76"/>
  <c r="AC17" i="76" s="1"/>
  <c r="H17" i="76"/>
  <c r="AB17" i="76" s="1"/>
  <c r="F17" i="76"/>
  <c r="AA17" i="76" s="1"/>
  <c r="C17" i="76"/>
  <c r="S16" i="76"/>
  <c r="Q16" i="76"/>
  <c r="Z16" i="76" s="1"/>
  <c r="J16" i="76"/>
  <c r="W16" i="76" s="1"/>
  <c r="H16" i="76"/>
  <c r="U16" i="76" s="1"/>
  <c r="F16" i="76"/>
  <c r="AA16" i="76" s="1"/>
  <c r="Z15" i="76"/>
  <c r="W15" i="76"/>
  <c r="U15" i="76"/>
  <c r="S15" i="76"/>
  <c r="Q15" i="76"/>
  <c r="J15" i="76"/>
  <c r="AC15" i="76" s="1"/>
  <c r="H15" i="76"/>
  <c r="AB15" i="76" s="1"/>
  <c r="F15" i="76"/>
  <c r="AA15" i="76" s="1"/>
  <c r="Z14" i="76"/>
  <c r="Q14" i="76"/>
  <c r="J14" i="76"/>
  <c r="AC14" i="76" s="1"/>
  <c r="H14" i="76"/>
  <c r="U14" i="76" s="1"/>
  <c r="F14" i="76"/>
  <c r="AC13" i="76"/>
  <c r="U13" i="76"/>
  <c r="S13" i="76"/>
  <c r="Q13" i="76"/>
  <c r="Z13" i="76" s="1"/>
  <c r="J13" i="76"/>
  <c r="W13" i="76" s="1"/>
  <c r="H13" i="76"/>
  <c r="AB13" i="76" s="1"/>
  <c r="F13" i="76"/>
  <c r="AA13" i="76" s="1"/>
  <c r="Z12" i="76"/>
  <c r="W12" i="76"/>
  <c r="U12" i="76"/>
  <c r="Q12" i="76"/>
  <c r="J12" i="76"/>
  <c r="AC12" i="76" s="1"/>
  <c r="H12" i="76"/>
  <c r="AB12" i="76" s="1"/>
  <c r="F12" i="76"/>
  <c r="AA12" i="76" s="1"/>
  <c r="Q11" i="76"/>
  <c r="Z11" i="76" s="1"/>
  <c r="J11" i="76"/>
  <c r="W11" i="76" s="1"/>
  <c r="H11" i="76"/>
  <c r="U11" i="76" s="1"/>
  <c r="F11" i="76"/>
  <c r="S11" i="76" s="1"/>
  <c r="S10" i="76"/>
  <c r="J10" i="76"/>
  <c r="H10" i="76"/>
  <c r="F10" i="76"/>
  <c r="AA10" i="76" s="1"/>
  <c r="G9" i="76"/>
  <c r="C9" i="76"/>
  <c r="C64" i="76" s="1"/>
  <c r="BF7" i="73"/>
  <c r="BF8" i="73"/>
  <c r="BF9" i="73"/>
  <c r="BF10" i="73"/>
  <c r="BG10" i="73" s="1"/>
  <c r="BF11" i="73"/>
  <c r="BG11" i="73" s="1"/>
  <c r="BF13" i="73"/>
  <c r="BG13" i="73" s="1"/>
  <c r="BF16" i="73"/>
  <c r="BG16" i="73" s="1"/>
  <c r="BF17" i="73"/>
  <c r="BG17" i="73" s="1"/>
  <c r="BF19" i="73"/>
  <c r="BF20" i="73"/>
  <c r="BG20" i="73" s="1"/>
  <c r="BF21" i="73"/>
  <c r="BF22" i="73"/>
  <c r="BG22" i="73" s="1"/>
  <c r="BF24" i="73"/>
  <c r="BF25" i="73"/>
  <c r="BG25" i="73" s="1"/>
  <c r="BF26" i="73"/>
  <c r="BG26" i="73" s="1"/>
  <c r="BF27" i="73"/>
  <c r="BF30" i="73"/>
  <c r="BF39" i="73"/>
  <c r="BF40" i="73"/>
  <c r="BF41" i="73"/>
  <c r="BG41" i="73" s="1"/>
  <c r="BF45" i="73"/>
  <c r="BG45" i="73" s="1"/>
  <c r="BG7" i="73"/>
  <c r="BG8" i="73"/>
  <c r="BG9" i="73"/>
  <c r="BG19" i="73"/>
  <c r="BG21" i="73"/>
  <c r="BG24" i="73"/>
  <c r="BG27" i="73"/>
  <c r="BG30" i="73"/>
  <c r="BG39" i="73"/>
  <c r="BG40" i="73"/>
  <c r="D71" i="40"/>
  <c r="B13" i="4"/>
  <c r="C71" i="40" s="1"/>
  <c r="H6" i="1"/>
  <c r="E67" i="40"/>
  <c r="F67" i="40"/>
  <c r="G67" i="40" s="1"/>
  <c r="H67" i="40" s="1"/>
  <c r="I67" i="40" s="1"/>
  <c r="J67" i="40" s="1"/>
  <c r="K67" i="40" s="1"/>
  <c r="L67" i="40" s="1"/>
  <c r="M67" i="40" s="1"/>
  <c r="N67" i="40" s="1"/>
  <c r="D67" i="40"/>
  <c r="I9" i="40"/>
  <c r="E9" i="40"/>
  <c r="K20" i="75"/>
  <c r="L20" i="75" s="1"/>
  <c r="K18" i="75"/>
  <c r="L18" i="75" s="1"/>
  <c r="M18" i="75" s="1"/>
  <c r="K17" i="75"/>
  <c r="L17" i="75" s="1"/>
  <c r="M17" i="75" s="1"/>
  <c r="K16" i="75"/>
  <c r="L16" i="75" s="1"/>
  <c r="M16" i="75" s="1"/>
  <c r="M15" i="75"/>
  <c r="M13" i="75"/>
  <c r="K12" i="75"/>
  <c r="L12" i="75" s="1"/>
  <c r="M12" i="75" s="1"/>
  <c r="M11" i="75"/>
  <c r="M9" i="75"/>
  <c r="J8" i="75"/>
  <c r="K8" i="75" s="1"/>
  <c r="G8" i="75"/>
  <c r="K7" i="75"/>
  <c r="L7" i="75" s="1"/>
  <c r="M7" i="75" s="1"/>
  <c r="L6" i="75"/>
  <c r="M6" i="75" s="1"/>
  <c r="L5" i="75"/>
  <c r="M5" i="75" s="1"/>
  <c r="K5" i="75"/>
  <c r="K4" i="75"/>
  <c r="L4" i="75" s="1"/>
  <c r="M4" i="75" s="1"/>
  <c r="E43" i="76" s="1"/>
  <c r="E50" i="76" s="1"/>
  <c r="F50" i="76" s="1"/>
  <c r="J4" i="75"/>
  <c r="K3" i="75"/>
  <c r="L3" i="75" s="1"/>
  <c r="M3" i="75" s="1"/>
  <c r="J2" i="75"/>
  <c r="I2" i="75"/>
  <c r="K2" i="75" s="1"/>
  <c r="L2" i="75" s="1"/>
  <c r="BD48" i="73"/>
  <c r="BE48" i="73" s="1"/>
  <c r="BD49" i="73"/>
  <c r="BE49" i="73" s="1"/>
  <c r="BD50" i="73"/>
  <c r="BE50" i="73" s="1"/>
  <c r="BD42" i="73"/>
  <c r="BE42" i="73" s="1"/>
  <c r="BD44" i="73"/>
  <c r="BE44" i="73" s="1"/>
  <c r="BD45" i="73"/>
  <c r="BE45" i="73"/>
  <c r="BD46" i="73"/>
  <c r="BE46" i="73"/>
  <c r="I50" i="76" l="1"/>
  <c r="J50" i="76" s="1"/>
  <c r="AA11" i="76"/>
  <c r="S14" i="76"/>
  <c r="AA14" i="76"/>
  <c r="AB10" i="76"/>
  <c r="U10" i="76"/>
  <c r="AB11" i="76"/>
  <c r="D64" i="76"/>
  <c r="C66" i="76"/>
  <c r="W10" i="76"/>
  <c r="AC10" i="76"/>
  <c r="AB16" i="76"/>
  <c r="AC32" i="76"/>
  <c r="W32" i="76"/>
  <c r="AA32" i="76"/>
  <c r="AC34" i="76"/>
  <c r="S12" i="76"/>
  <c r="W14" i="76"/>
  <c r="S17" i="76"/>
  <c r="S21" i="76"/>
  <c r="AA23" i="76"/>
  <c r="S25" i="76"/>
  <c r="U29" i="76"/>
  <c r="AB30" i="76"/>
  <c r="S35" i="76"/>
  <c r="W37" i="76"/>
  <c r="U40" i="76"/>
  <c r="R43" i="76"/>
  <c r="AB19" i="76"/>
  <c r="U21" i="76"/>
  <c r="AB23" i="76"/>
  <c r="U25" i="76"/>
  <c r="AB27" i="76"/>
  <c r="W29" i="76"/>
  <c r="AC30" i="76"/>
  <c r="AA34" i="76"/>
  <c r="AC36" i="76"/>
  <c r="AB39" i="76"/>
  <c r="W40" i="76"/>
  <c r="T43" i="76"/>
  <c r="AC16" i="76"/>
  <c r="AC19" i="76"/>
  <c r="AC23" i="76"/>
  <c r="AC27" i="76"/>
  <c r="S33" i="76"/>
  <c r="W35" i="76"/>
  <c r="U38" i="76"/>
  <c r="S41" i="76"/>
  <c r="V43" i="76"/>
  <c r="AA29" i="76"/>
  <c r="H32" i="76"/>
  <c r="AC11" i="76"/>
  <c r="AB14" i="76"/>
  <c r="AB37" i="76"/>
  <c r="AA40" i="76"/>
  <c r="AC42" i="76"/>
  <c r="L8" i="75"/>
  <c r="M8" i="75" s="1"/>
  <c r="E64" i="76" l="1"/>
  <c r="D66" i="76"/>
  <c r="AB32" i="76"/>
  <c r="U32" i="76"/>
  <c r="F64" i="76" l="1"/>
  <c r="E66" i="76"/>
  <c r="F66" i="76" l="1"/>
  <c r="G64" i="76"/>
  <c r="G66" i="76" l="1"/>
  <c r="H64" i="76"/>
  <c r="H66" i="76" l="1"/>
  <c r="I64" i="76"/>
  <c r="I66" i="76" l="1"/>
  <c r="J64" i="76"/>
  <c r="J66" i="76" l="1"/>
  <c r="K64" i="76"/>
  <c r="L64" i="76" l="1"/>
  <c r="K66" i="76"/>
  <c r="M64" i="76" l="1"/>
  <c r="L66" i="76"/>
  <c r="N64" i="76" l="1"/>
  <c r="N66" i="76" s="1"/>
  <c r="M66" i="76"/>
  <c r="H9" i="76" l="1"/>
  <c r="F9" i="76"/>
  <c r="J9" i="76"/>
  <c r="AC9" i="76" l="1"/>
  <c r="V44" i="76" s="1"/>
  <c r="I44" i="76" s="1"/>
  <c r="W9" i="76"/>
  <c r="AA9" i="76"/>
  <c r="R44" i="76" s="1"/>
  <c r="S9" i="76"/>
  <c r="U9" i="76"/>
  <c r="AB9" i="76"/>
  <c r="T44" i="76" s="1"/>
  <c r="G44" i="76" s="1"/>
  <c r="R45" i="76" l="1"/>
  <c r="E44" i="76"/>
  <c r="I49" i="76" s="1"/>
  <c r="J49" i="76" s="1"/>
  <c r="G49" i="76"/>
  <c r="H49" i="76" s="1"/>
  <c r="G48" i="76"/>
  <c r="H48" i="76" s="1"/>
  <c r="I48" i="76"/>
  <c r="J48" i="76" s="1"/>
  <c r="E49" i="76" l="1"/>
  <c r="F49" i="76" s="1"/>
  <c r="E48" i="76"/>
  <c r="F48" i="76" s="1"/>
  <c r="C44" i="76"/>
  <c r="C45" i="76"/>
  <c r="E8" i="11" s="1"/>
  <c r="C8" i="11" s="1"/>
  <c r="B56" i="76" l="1"/>
  <c r="F56" i="76" s="1"/>
  <c r="B60" i="76"/>
  <c r="F60" i="76" s="1"/>
  <c r="B4" i="76"/>
  <c r="B54" i="76"/>
  <c r="F54" i="76" s="1"/>
  <c r="B61" i="76"/>
  <c r="F61" i="76" s="1"/>
  <c r="B57" i="76"/>
  <c r="F57" i="76" s="1"/>
  <c r="F62" i="76"/>
  <c r="B2" i="76" s="1"/>
  <c r="B58" i="76"/>
  <c r="F58" i="76" s="1"/>
  <c r="B55" i="76"/>
  <c r="F55" i="76" s="1"/>
  <c r="B53" i="76"/>
  <c r="F53" i="76" s="1"/>
  <c r="B59" i="76"/>
  <c r="F59" i="76" s="1"/>
  <c r="B5" i="76" l="1"/>
  <c r="B3" i="76"/>
  <c r="BD3" i="73" l="1"/>
  <c r="BE3" i="73" s="1"/>
  <c r="BD4" i="73"/>
  <c r="BE4" i="73" s="1"/>
  <c r="BD5" i="73"/>
  <c r="BE5" i="73" s="1"/>
  <c r="BD6" i="73"/>
  <c r="BE6" i="73" s="1"/>
  <c r="BD7" i="73"/>
  <c r="BE7" i="73" s="1"/>
  <c r="BD8" i="73"/>
  <c r="BE8" i="73" s="1"/>
  <c r="BD9" i="73"/>
  <c r="BE9" i="73" s="1"/>
  <c r="BD10" i="73"/>
  <c r="BE10" i="73" s="1"/>
  <c r="BD11" i="73"/>
  <c r="BE11" i="73" s="1"/>
  <c r="BD13" i="73"/>
  <c r="BE13" i="73" s="1"/>
  <c r="BD14" i="73"/>
  <c r="BE14" i="73" s="1"/>
  <c r="BD15" i="73"/>
  <c r="BE15" i="73" s="1"/>
  <c r="BD16" i="73"/>
  <c r="BE16" i="73" s="1"/>
  <c r="BD17" i="73"/>
  <c r="BE17" i="73" s="1"/>
  <c r="BD19" i="73"/>
  <c r="BE19" i="73" s="1"/>
  <c r="BD20" i="73"/>
  <c r="BE20" i="73" s="1"/>
  <c r="BD21" i="73"/>
  <c r="BE21" i="73" s="1"/>
  <c r="BD22" i="73"/>
  <c r="BE22" i="73" s="1"/>
  <c r="BD23" i="73"/>
  <c r="BE23" i="73" s="1"/>
  <c r="BD24" i="73"/>
  <c r="BE24" i="73" s="1"/>
  <c r="BD25" i="73"/>
  <c r="BE25" i="73" s="1"/>
  <c r="BD26" i="73"/>
  <c r="BE26" i="73" s="1"/>
  <c r="BD27" i="73"/>
  <c r="BE27" i="73" s="1"/>
  <c r="BD30" i="73"/>
  <c r="BE30" i="73" s="1"/>
  <c r="BD39" i="73"/>
  <c r="BE39" i="73" s="1"/>
  <c r="BD40" i="73"/>
  <c r="BE40" i="73" s="1"/>
  <c r="BD41" i="73"/>
  <c r="BE41" i="73" s="1"/>
  <c r="BD47" i="73"/>
  <c r="BE47" i="73" s="1"/>
  <c r="BD2" i="73"/>
  <c r="BE2" i="73" s="1"/>
  <c r="BB3" i="73"/>
  <c r="BB4" i="73"/>
  <c r="BB5" i="73"/>
  <c r="BB6" i="73"/>
  <c r="BB7" i="73"/>
  <c r="BB8" i="73"/>
  <c r="BB9" i="73"/>
  <c r="BB10" i="73"/>
  <c r="BB11" i="73"/>
  <c r="BB13" i="73"/>
  <c r="E43" i="40" s="1"/>
  <c r="BB14" i="73"/>
  <c r="BB15" i="73"/>
  <c r="BB16" i="73"/>
  <c r="BB17" i="73"/>
  <c r="I43" i="40" s="1"/>
  <c r="BB18" i="73"/>
  <c r="BB19" i="73"/>
  <c r="BB20" i="73"/>
  <c r="BB21" i="73"/>
  <c r="BB22" i="73"/>
  <c r="BB23" i="73"/>
  <c r="BB24" i="73"/>
  <c r="BB25" i="73"/>
  <c r="BB26" i="73"/>
  <c r="BB27" i="73"/>
  <c r="BB28" i="73"/>
  <c r="BB29" i="73"/>
  <c r="BB30" i="73"/>
  <c r="BB31" i="73"/>
  <c r="BB32" i="73"/>
  <c r="BB33" i="73"/>
  <c r="BB34" i="73"/>
  <c r="BB35" i="73"/>
  <c r="BB36" i="73"/>
  <c r="BB37" i="73"/>
  <c r="BB38" i="73"/>
  <c r="BB39" i="73"/>
  <c r="BB40" i="73"/>
  <c r="BB41" i="73"/>
  <c r="BB42" i="73"/>
  <c r="BB44" i="73"/>
  <c r="BB45" i="73"/>
  <c r="BB46" i="73"/>
  <c r="BB47" i="73"/>
  <c r="BB48" i="73"/>
  <c r="BB49" i="73"/>
  <c r="BB50" i="73"/>
  <c r="BB51" i="73"/>
  <c r="BB52" i="73"/>
  <c r="BB53" i="73"/>
  <c r="BB54" i="73"/>
  <c r="BB55" i="73"/>
  <c r="BB56" i="73"/>
  <c r="BB57" i="73"/>
  <c r="BB2" i="73"/>
  <c r="BA1" i="73"/>
  <c r="BC57" i="73" l="1"/>
  <c r="BC56" i="73"/>
  <c r="BD56" i="73" s="1"/>
  <c r="BE56" i="73" s="1"/>
  <c r="BC55" i="73"/>
  <c r="BC54" i="73"/>
  <c r="BC53" i="73"/>
  <c r="BD53" i="73" s="1"/>
  <c r="BE53" i="73" s="1"/>
  <c r="BC52" i="73"/>
  <c r="BC51" i="73"/>
  <c r="C4" i="72"/>
  <c r="C14" i="72"/>
  <c r="BD52" i="73" l="1"/>
  <c r="BE52" i="73" s="1"/>
  <c r="BD54" i="73"/>
  <c r="BE54" i="73" s="1"/>
  <c r="BD51" i="73"/>
  <c r="BE51" i="73" s="1"/>
  <c r="BD55" i="73"/>
  <c r="BE55" i="73" s="1"/>
  <c r="BD57" i="73"/>
  <c r="BE57" i="73" s="1"/>
  <c r="B22" i="72"/>
  <c r="C18" i="72"/>
  <c r="B18" i="72"/>
  <c r="C19" i="72"/>
  <c r="B19" i="72"/>
  <c r="C20" i="72"/>
  <c r="B20" i="72"/>
  <c r="C21" i="72"/>
  <c r="B21" i="72"/>
  <c r="BH1" i="73" l="1"/>
  <c r="B24" i="72"/>
  <c r="F19" i="6"/>
  <c r="C24" i="72" l="1"/>
  <c r="C22" i="72"/>
  <c r="AB28" i="70"/>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C33" i="72" l="1"/>
  <c r="C32" i="72"/>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D17" i="70"/>
  <c r="AC17" i="70"/>
  <c r="AB17" i="70"/>
  <c r="AA17" i="70"/>
  <c r="Z17" i="70"/>
  <c r="Y17" i="70"/>
  <c r="AC16" i="70"/>
  <c r="AB16" i="70"/>
  <c r="AA16" i="70"/>
  <c r="AD16" i="70" s="1"/>
  <c r="Z16" i="70"/>
  <c r="Y16" i="70"/>
  <c r="AC15" i="70"/>
  <c r="AB15" i="70"/>
  <c r="AA15" i="70"/>
  <c r="AD15" i="70" s="1"/>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B3" i="70" s="1"/>
  <c r="AA5" i="70"/>
  <c r="AD5" i="70" s="1"/>
  <c r="Z5" i="70"/>
  <c r="Z3" i="70" s="1"/>
  <c r="Y5" i="70"/>
  <c r="W40" i="70"/>
  <c r="W18" i="70"/>
  <c r="N40" i="70"/>
  <c r="M40" i="70"/>
  <c r="P40" i="70" s="1"/>
  <c r="L40" i="70"/>
  <c r="I40" i="70"/>
  <c r="AD40" i="70" s="1"/>
  <c r="N39" i="70"/>
  <c r="U39" i="70" s="1"/>
  <c r="M39" i="70"/>
  <c r="P39" i="70" s="1"/>
  <c r="L39" i="70"/>
  <c r="S39" i="70" s="1"/>
  <c r="I39" i="70"/>
  <c r="N38" i="70"/>
  <c r="U38" i="70" s="1"/>
  <c r="M38" i="70"/>
  <c r="P38" i="70" s="1"/>
  <c r="L38" i="70"/>
  <c r="S38" i="70" s="1"/>
  <c r="I38" i="70"/>
  <c r="AD38" i="70" s="1"/>
  <c r="N37" i="70"/>
  <c r="M37" i="70"/>
  <c r="P37" i="70" s="1"/>
  <c r="L37" i="70"/>
  <c r="I37" i="70"/>
  <c r="N36" i="70"/>
  <c r="U36" i="70" s="1"/>
  <c r="M36" i="70"/>
  <c r="P36" i="70" s="1"/>
  <c r="L36" i="70"/>
  <c r="S36" i="70" s="1"/>
  <c r="I36" i="70"/>
  <c r="AD36" i="70" s="1"/>
  <c r="N35" i="70"/>
  <c r="M35" i="70"/>
  <c r="P35" i="70" s="1"/>
  <c r="L35" i="70"/>
  <c r="I35" i="70"/>
  <c r="N34" i="70"/>
  <c r="M34" i="70"/>
  <c r="P34" i="70" s="1"/>
  <c r="L34" i="70"/>
  <c r="S34" i="70" s="1"/>
  <c r="I34" i="70"/>
  <c r="AD34" i="70" s="1"/>
  <c r="N33" i="70"/>
  <c r="M33" i="70"/>
  <c r="L33" i="70"/>
  <c r="I33" i="70"/>
  <c r="N27" i="70"/>
  <c r="N25" i="70" s="1"/>
  <c r="M27" i="70"/>
  <c r="P27" i="70" s="1"/>
  <c r="L27" i="70"/>
  <c r="L25" i="70" s="1"/>
  <c r="I27" i="70"/>
  <c r="AD27" i="70" s="1"/>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N16" i="70"/>
  <c r="M16" i="70"/>
  <c r="P16" i="70" s="1"/>
  <c r="L16" i="70"/>
  <c r="K16" i="70"/>
  <c r="R16" i="70" s="1"/>
  <c r="I16" i="70"/>
  <c r="O15" i="70"/>
  <c r="N15" i="70"/>
  <c r="M15" i="70"/>
  <c r="L15" i="70"/>
  <c r="K15" i="70"/>
  <c r="I15" i="70"/>
  <c r="O14" i="70"/>
  <c r="V14" i="70" s="1"/>
  <c r="N14" i="70"/>
  <c r="U14" i="70" s="1"/>
  <c r="M14" i="70"/>
  <c r="P14" i="70" s="1"/>
  <c r="L14" i="70"/>
  <c r="K14" i="70"/>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F7" i="1" s="1"/>
  <c r="V15" i="70" l="1"/>
  <c r="U35" i="70"/>
  <c r="U37" i="70"/>
  <c r="S16" i="70"/>
  <c r="R15" i="70"/>
  <c r="S15" i="70"/>
  <c r="U16" i="70"/>
  <c r="AD35" i="70"/>
  <c r="AD37" i="70"/>
  <c r="AD39" i="70"/>
  <c r="K3" i="70"/>
  <c r="R14" i="70"/>
  <c r="T15" i="70"/>
  <c r="W15" i="70" s="1"/>
  <c r="V16" i="70"/>
  <c r="S35" i="70"/>
  <c r="S37" i="70"/>
  <c r="S14" i="70"/>
  <c r="U15" i="70"/>
  <c r="M25" i="70"/>
  <c r="P25" i="70" s="1"/>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M14" i="68"/>
  <c r="N14" i="68" s="1"/>
  <c r="D14" i="68"/>
  <c r="R13" i="68"/>
  <c r="R12" i="68"/>
  <c r="D12" i="68"/>
  <c r="R11" i="68"/>
  <c r="D11" i="68"/>
  <c r="E11" i="68" s="1"/>
  <c r="E7" i="68" s="1"/>
  <c r="C27" i="68" s="1"/>
  <c r="R10" i="68"/>
  <c r="D10" i="68"/>
  <c r="D7" i="68" s="1"/>
  <c r="C26" i="68" s="1"/>
  <c r="R9" i="68"/>
  <c r="D9" i="68"/>
  <c r="R8" i="68"/>
  <c r="R7" i="68"/>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AB18" i="59" s="1"/>
  <c r="P18" i="59"/>
  <c r="O18" i="59"/>
  <c r="N18" i="59"/>
  <c r="AH17" i="59"/>
  <c r="AG17" i="59"/>
  <c r="AE17" i="59"/>
  <c r="AF17" i="59" s="1"/>
  <c r="AD17" i="59"/>
  <c r="Q17" i="59"/>
  <c r="AB15" i="59" s="1"/>
  <c r="P17" i="59"/>
  <c r="O17" i="59"/>
  <c r="Y13" i="59" s="1"/>
  <c r="Z13" i="59" s="1"/>
  <c r="N17" i="59"/>
  <c r="X15" i="59" s="1"/>
  <c r="AH18" i="59"/>
  <c r="AG18" i="59"/>
  <c r="AE18" i="59"/>
  <c r="AF18" i="59" s="1"/>
  <c r="AD18" i="59"/>
  <c r="Q19" i="59"/>
  <c r="Q20" i="59"/>
  <c r="AB19" i="59" s="1"/>
  <c r="P19" i="59"/>
  <c r="AA18" i="59" s="1"/>
  <c r="P20" i="59"/>
  <c r="AA13" i="59" s="1"/>
  <c r="O19" i="59"/>
  <c r="Y19" i="59" s="1"/>
  <c r="Z19" i="59" s="1"/>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X19" i="59" s="1"/>
  <c r="L3" i="59"/>
  <c r="AH3" i="59" s="1"/>
  <c r="K3" i="59"/>
  <c r="AG3" i="59" s="1"/>
  <c r="J3" i="59"/>
  <c r="AE3" i="59" s="1"/>
  <c r="AF3" i="59" s="1"/>
  <c r="I3" i="59"/>
  <c r="AD3" i="59" s="1"/>
  <c r="AH22" i="59"/>
  <c r="AG22" i="59"/>
  <c r="AE22" i="59"/>
  <c r="AF22" i="59" s="1"/>
  <c r="AD22" i="59"/>
  <c r="Q22" i="59"/>
  <c r="Q23" i="59"/>
  <c r="P22" i="59"/>
  <c r="AA22" i="59" s="1"/>
  <c r="P23" i="59"/>
  <c r="O22" i="59"/>
  <c r="O23" i="59"/>
  <c r="N22" i="59"/>
  <c r="X18" i="59" s="1"/>
  <c r="N23" i="59"/>
  <c r="AH23" i="59"/>
  <c r="AG23" i="59"/>
  <c r="AE23" i="59"/>
  <c r="AF23" i="59"/>
  <c r="AD23" i="59"/>
  <c r="Q24" i="59"/>
  <c r="AB24" i="59" s="1"/>
  <c r="P24" i="59"/>
  <c r="AA24" i="59" s="1"/>
  <c r="O24" i="59"/>
  <c r="Y24" i="59" s="1"/>
  <c r="Z24" i="59" s="1"/>
  <c r="N24" i="59"/>
  <c r="J50" i="15"/>
  <c r="J51" i="15" s="1"/>
  <c r="D26" i="59"/>
  <c r="AH24" i="59"/>
  <c r="AG24" i="59"/>
  <c r="AE24" i="59"/>
  <c r="AF24" i="59" s="1"/>
  <c r="AD24" i="59"/>
  <c r="AE25" i="59"/>
  <c r="AF25" i="59" s="1"/>
  <c r="AG25" i="59"/>
  <c r="AH25" i="59"/>
  <c r="AD25" i="59"/>
  <c r="Q25" i="59"/>
  <c r="AB25" i="59" s="1"/>
  <c r="P25" i="59"/>
  <c r="O25" i="59"/>
  <c r="N25" i="59"/>
  <c r="B25" i="59" s="1"/>
  <c r="N26" i="59"/>
  <c r="Q26" i="59"/>
  <c r="P26" i="59"/>
  <c r="O26" i="59"/>
  <c r="K59" i="15"/>
  <c r="P75" i="15" s="1"/>
  <c r="P62" i="15"/>
  <c r="Q74" i="44"/>
  <c r="Q61" i="44"/>
  <c r="Q60" i="44"/>
  <c r="Q53" i="44"/>
  <c r="J51" i="44"/>
  <c r="J52" i="44"/>
  <c r="M48" i="44"/>
  <c r="A16" i="55"/>
  <c r="B67" i="63" s="1"/>
  <c r="A15" i="55"/>
  <c r="B66" i="63" s="1"/>
  <c r="A14" i="55"/>
  <c r="A10" i="55"/>
  <c r="B61" i="63" s="1"/>
  <c r="A9" i="55"/>
  <c r="B60" i="63" s="1"/>
  <c r="A8" i="55"/>
  <c r="A6" i="54"/>
  <c r="A8" i="54"/>
  <c r="B53" i="63" s="1"/>
  <c r="A7" i="54"/>
  <c r="A27" i="51"/>
  <c r="B20" i="63" s="1"/>
  <c r="Q27" i="59"/>
  <c r="O27" i="59"/>
  <c r="N28" i="59"/>
  <c r="X3" i="59" s="1"/>
  <c r="O28" i="59"/>
  <c r="Y25" i="59" s="1"/>
  <c r="Z25" i="59" s="1"/>
  <c r="P28" i="59"/>
  <c r="Q28" i="59"/>
  <c r="N27" i="59"/>
  <c r="P27" i="59"/>
  <c r="E29" i="59"/>
  <c r="K75" i="9"/>
  <c r="K6" i="4"/>
  <c r="O76" i="9"/>
  <c r="L76" i="9"/>
  <c r="K76" i="9"/>
  <c r="B22" i="31"/>
  <c r="E15" i="66"/>
  <c r="F15" i="66"/>
  <c r="E16" i="66"/>
  <c r="F16" i="66"/>
  <c r="E17" i="66"/>
  <c r="F17" i="66"/>
  <c r="E18" i="66"/>
  <c r="F18" i="66"/>
  <c r="E19" i="66"/>
  <c r="F19" i="66"/>
  <c r="E20" i="66"/>
  <c r="F20" i="66"/>
  <c r="E21" i="66"/>
  <c r="F21" i="66"/>
  <c r="E22" i="66"/>
  <c r="F22" i="66"/>
  <c r="E23" i="66"/>
  <c r="F23" i="66"/>
  <c r="B3" i="66"/>
  <c r="U29" i="59"/>
  <c r="E28" i="59"/>
  <c r="E27" i="59"/>
  <c r="E25" i="59"/>
  <c r="U25" i="59" s="1"/>
  <c r="E24" i="59"/>
  <c r="E23" i="59" s="1"/>
  <c r="E22" i="59" s="1"/>
  <c r="E21" i="59" s="1"/>
  <c r="E20" i="59" s="1"/>
  <c r="E19" i="59" s="1"/>
  <c r="E18" i="59" s="1"/>
  <c r="F25" i="59"/>
  <c r="V25" i="59"/>
  <c r="AD26" i="59"/>
  <c r="AE26" i="59"/>
  <c r="AF26" i="59"/>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c r="AG32" i="59"/>
  <c r="AH32" i="59"/>
  <c r="AD33" i="59"/>
  <c r="AE33" i="59"/>
  <c r="AF33" i="59" s="1"/>
  <c r="AG33" i="59"/>
  <c r="AH33" i="59"/>
  <c r="AD34" i="59"/>
  <c r="AE34" i="59"/>
  <c r="AF34" i="59"/>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s="1"/>
  <c r="AG41" i="59"/>
  <c r="AH41" i="59"/>
  <c r="S2" i="31"/>
  <c r="M2" i="31"/>
  <c r="N2" i="31"/>
  <c r="O2" i="31"/>
  <c r="P2" i="31"/>
  <c r="Q2" i="31"/>
  <c r="R2" i="31"/>
  <c r="C25" i="59"/>
  <c r="T25" i="59" s="1"/>
  <c r="C24" i="59"/>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19" i="63"/>
  <c r="B49" i="50"/>
  <c r="B5" i="63" s="1"/>
  <c r="B40" i="50"/>
  <c r="B3" i="63" s="1"/>
  <c r="Q29" i="59"/>
  <c r="F29" i="59" s="1"/>
  <c r="P29" i="59"/>
  <c r="O29" i="59"/>
  <c r="Y28" i="59" s="1"/>
  <c r="Z28" i="59" s="1"/>
  <c r="N29" i="59"/>
  <c r="X26" i="59" s="1"/>
  <c r="D90" i="59"/>
  <c r="F89" i="59"/>
  <c r="F88" i="59" s="1"/>
  <c r="F87" i="59" s="1"/>
  <c r="E89" i="59"/>
  <c r="E88" i="59" s="1"/>
  <c r="E87" i="59" s="1"/>
  <c r="C89" i="59"/>
  <c r="D89" i="59"/>
  <c r="B89" i="59"/>
  <c r="B88" i="59" s="1"/>
  <c r="B87" i="59" s="1"/>
  <c r="D86" i="59"/>
  <c r="F85" i="59"/>
  <c r="E85" i="59"/>
  <c r="E84" i="59"/>
  <c r="E83" i="59" s="1"/>
  <c r="C85" i="59"/>
  <c r="C84" i="59" s="1"/>
  <c r="B85" i="59"/>
  <c r="F84" i="59"/>
  <c r="F83" i="59" s="1"/>
  <c r="B84" i="59"/>
  <c r="B83" i="59"/>
  <c r="D82" i="59"/>
  <c r="Q81" i="59"/>
  <c r="P81" i="59"/>
  <c r="O81" i="59"/>
  <c r="N81" i="59"/>
  <c r="F81" i="59"/>
  <c r="V81" i="59"/>
  <c r="E81" i="59"/>
  <c r="E80" i="59" s="1"/>
  <c r="E79" i="59" s="1"/>
  <c r="C81" i="59"/>
  <c r="D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F72" i="59" s="1"/>
  <c r="F71" i="59" s="1"/>
  <c r="E73" i="59"/>
  <c r="E72" i="59" s="1"/>
  <c r="E71" i="59" s="1"/>
  <c r="C73" i="59"/>
  <c r="T73" i="59" s="1"/>
  <c r="B73" i="59"/>
  <c r="S73" i="59"/>
  <c r="Q72" i="59"/>
  <c r="P72" i="59"/>
  <c r="O72" i="59"/>
  <c r="N72" i="59"/>
  <c r="B72" i="59"/>
  <c r="B71" i="59"/>
  <c r="Q71" i="59"/>
  <c r="P71" i="59"/>
  <c r="O71" i="59"/>
  <c r="N71" i="59"/>
  <c r="Q70" i="59"/>
  <c r="P70" i="59"/>
  <c r="O70" i="59"/>
  <c r="N70" i="59"/>
  <c r="D70" i="59"/>
  <c r="F69" i="59"/>
  <c r="V69" i="59"/>
  <c r="E69" i="59"/>
  <c r="E68" i="59" s="1"/>
  <c r="C69" i="59"/>
  <c r="B69" i="59"/>
  <c r="B68" i="59" s="1"/>
  <c r="N69" i="59"/>
  <c r="F68" i="59"/>
  <c r="Q68" i="59" s="1"/>
  <c r="F67" i="59"/>
  <c r="Q66"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F60" i="59" s="1"/>
  <c r="F61" i="59" s="1"/>
  <c r="V61" i="59" s="1"/>
  <c r="P59" i="59"/>
  <c r="O59" i="59"/>
  <c r="N59" i="59"/>
  <c r="Q58" i="59"/>
  <c r="F59" i="59"/>
  <c r="P58" i="59"/>
  <c r="E59" i="59" s="1"/>
  <c r="E60" i="59" s="1"/>
  <c r="E61" i="59" s="1"/>
  <c r="U61" i="59" s="1"/>
  <c r="O58" i="59"/>
  <c r="C59" i="59" s="1"/>
  <c r="N58" i="59"/>
  <c r="B59" i="59"/>
  <c r="B60" i="59" s="1"/>
  <c r="B61" i="59" s="1"/>
  <c r="S61" i="59" s="1"/>
  <c r="D58" i="59"/>
  <c r="Q57" i="59"/>
  <c r="P57" i="59"/>
  <c r="O57" i="59"/>
  <c r="N57" i="59"/>
  <c r="Q56" i="59"/>
  <c r="P56" i="59"/>
  <c r="O56" i="59"/>
  <c r="N56" i="59"/>
  <c r="Q55" i="59"/>
  <c r="P55" i="59"/>
  <c r="O55" i="59"/>
  <c r="N55" i="59"/>
  <c r="Q54" i="59"/>
  <c r="F55" i="59"/>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s="1"/>
  <c r="N50" i="59"/>
  <c r="B51" i="59" s="1"/>
  <c r="B52" i="59" s="1"/>
  <c r="B53" i="59" s="1"/>
  <c r="S53" i="59" s="1"/>
  <c r="D50" i="59"/>
  <c r="T49" i="59"/>
  <c r="Q49" i="59"/>
  <c r="P49" i="59"/>
  <c r="O49" i="59"/>
  <c r="N49" i="59"/>
  <c r="D49" i="59"/>
  <c r="Q48" i="59"/>
  <c r="P48" i="59"/>
  <c r="O48" i="59"/>
  <c r="N48" i="59"/>
  <c r="Q47" i="59"/>
  <c r="F48" i="59" s="1"/>
  <c r="F49" i="59" s="1"/>
  <c r="V49" i="59" s="1"/>
  <c r="P47" i="59"/>
  <c r="O47" i="59"/>
  <c r="N47" i="59"/>
  <c r="Q46" i="59"/>
  <c r="F47" i="59"/>
  <c r="P46" i="59"/>
  <c r="E47" i="59" s="1"/>
  <c r="E48" i="59" s="1"/>
  <c r="E49" i="59" s="1"/>
  <c r="U49" i="59" s="1"/>
  <c r="O46" i="59"/>
  <c r="C47" i="59" s="1"/>
  <c r="N46" i="59"/>
  <c r="B47" i="59"/>
  <c r="B48" i="59" s="1"/>
  <c r="B49" i="59" s="1"/>
  <c r="S49" i="59" s="1"/>
  <c r="D46" i="59"/>
  <c r="Q45" i="59"/>
  <c r="P45" i="59"/>
  <c r="O45" i="59"/>
  <c r="N45" i="59"/>
  <c r="Q44" i="59"/>
  <c r="P44" i="59"/>
  <c r="O44" i="59"/>
  <c r="N44" i="59"/>
  <c r="Q43" i="59"/>
  <c r="P43" i="59"/>
  <c r="O43" i="59"/>
  <c r="N43" i="59"/>
  <c r="Q42" i="59"/>
  <c r="F43" i="59"/>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AA11" i="59" s="1"/>
  <c r="O40" i="59"/>
  <c r="Y40" i="59"/>
  <c r="Z40" i="59" s="1"/>
  <c r="N40" i="59"/>
  <c r="X40" i="59" s="1"/>
  <c r="Q39" i="59"/>
  <c r="AB39" i="59" s="1"/>
  <c r="P39" i="59"/>
  <c r="AA39" i="59" s="1"/>
  <c r="O39" i="59"/>
  <c r="Y39" i="59" s="1"/>
  <c r="Z39" i="59" s="1"/>
  <c r="N39" i="59"/>
  <c r="X39" i="59" s="1"/>
  <c r="Q38" i="59"/>
  <c r="F39" i="59" s="1"/>
  <c r="F40" i="59" s="1"/>
  <c r="F41" i="59" s="1"/>
  <c r="P38" i="59"/>
  <c r="AA38" i="59" s="1"/>
  <c r="O38" i="59"/>
  <c r="Y38" i="59" s="1"/>
  <c r="Z38" i="59" s="1"/>
  <c r="C39" i="59"/>
  <c r="C40" i="59" s="1"/>
  <c r="N38" i="59"/>
  <c r="X38" i="59" s="1"/>
  <c r="B39" i="59"/>
  <c r="B40" i="59" s="1"/>
  <c r="B41" i="59" s="1"/>
  <c r="S41" i="59" s="1"/>
  <c r="D38" i="59"/>
  <c r="Q37" i="59"/>
  <c r="AB37" i="59" s="1"/>
  <c r="P37" i="59"/>
  <c r="AA37" i="59" s="1"/>
  <c r="O37" i="59"/>
  <c r="Y37" i="59" s="1"/>
  <c r="Z37" i="59" s="1"/>
  <c r="N37" i="59"/>
  <c r="X37" i="59" s="1"/>
  <c r="Q36" i="59"/>
  <c r="P36" i="59"/>
  <c r="O36" i="59"/>
  <c r="Y36" i="59" s="1"/>
  <c r="Z36" i="59" s="1"/>
  <c r="N36" i="59"/>
  <c r="X36" i="59" s="1"/>
  <c r="Q35" i="59"/>
  <c r="AB35" i="59" s="1"/>
  <c r="P35" i="59"/>
  <c r="AA33" i="59" s="1"/>
  <c r="O35" i="59"/>
  <c r="Y35" i="59" s="1"/>
  <c r="Z35" i="59" s="1"/>
  <c r="N35" i="59"/>
  <c r="X35" i="59" s="1"/>
  <c r="Q34" i="59"/>
  <c r="F35" i="59" s="1"/>
  <c r="F36" i="59" s="1"/>
  <c r="F37" i="59" s="1"/>
  <c r="V37" i="59" s="1"/>
  <c r="P34" i="59"/>
  <c r="AA34" i="59" s="1"/>
  <c r="O34" i="59"/>
  <c r="Y34" i="59" s="1"/>
  <c r="Z34" i="59" s="1"/>
  <c r="N34" i="59"/>
  <c r="B35" i="59" s="1"/>
  <c r="B36" i="59" s="1"/>
  <c r="B37" i="59" s="1"/>
  <c r="S37" i="59" s="1"/>
  <c r="D34" i="59"/>
  <c r="Q33" i="59"/>
  <c r="AB33" i="59" s="1"/>
  <c r="P33" i="59"/>
  <c r="O33" i="59"/>
  <c r="Y33" i="59" s="1"/>
  <c r="Z33" i="59" s="1"/>
  <c r="N33" i="59"/>
  <c r="X33" i="59" s="1"/>
  <c r="Q32" i="59"/>
  <c r="AB32" i="59" s="1"/>
  <c r="P32" i="59"/>
  <c r="AA32" i="59" s="1"/>
  <c r="O32" i="59"/>
  <c r="Y32" i="59" s="1"/>
  <c r="Z32" i="59" s="1"/>
  <c r="N32" i="59"/>
  <c r="X32" i="59" s="1"/>
  <c r="Q31" i="59"/>
  <c r="AB28" i="59" s="1"/>
  <c r="P31" i="59"/>
  <c r="AA31" i="59" s="1"/>
  <c r="O31" i="59"/>
  <c r="Y31" i="59" s="1"/>
  <c r="Z31" i="59" s="1"/>
  <c r="N31" i="59"/>
  <c r="X31" i="59" s="1"/>
  <c r="Q30" i="59"/>
  <c r="AB30" i="59" s="1"/>
  <c r="F31" i="59"/>
  <c r="F32" i="59" s="1"/>
  <c r="F33" i="59" s="1"/>
  <c r="V33" i="59" s="1"/>
  <c r="P30" i="59"/>
  <c r="AA26" i="59" s="1"/>
  <c r="O30" i="59"/>
  <c r="Y30" i="59" s="1"/>
  <c r="Z30" i="59" s="1"/>
  <c r="C31" i="59"/>
  <c r="C32" i="59" s="1"/>
  <c r="N30" i="59"/>
  <c r="B31" i="59" s="1"/>
  <c r="B32" i="59" s="1"/>
  <c r="B33" i="59" s="1"/>
  <c r="S33" i="59" s="1"/>
  <c r="D30" i="59"/>
  <c r="X29" i="59"/>
  <c r="Y27" i="59"/>
  <c r="Z27" i="59" s="1"/>
  <c r="AB26" i="59"/>
  <c r="E31" i="59"/>
  <c r="E32" i="59" s="1"/>
  <c r="E33" i="59" s="1"/>
  <c r="U33" i="59" s="1"/>
  <c r="S69" i="59"/>
  <c r="AA40" i="59"/>
  <c r="D39" i="59"/>
  <c r="T69" i="59"/>
  <c r="O69" i="59"/>
  <c r="D69" i="59"/>
  <c r="C68" i="59"/>
  <c r="D68" i="59" s="1"/>
  <c r="P69" i="59"/>
  <c r="U69" i="59"/>
  <c r="Q69" i="59"/>
  <c r="C72" i="59"/>
  <c r="C76" i="59"/>
  <c r="E76" i="59"/>
  <c r="E75" i="59" s="1"/>
  <c r="D77" i="59"/>
  <c r="C88" i="59"/>
  <c r="D88" i="59" s="1"/>
  <c r="U16" i="4"/>
  <c r="S16" i="4"/>
  <c r="Q16" i="4"/>
  <c r="O16" i="4"/>
  <c r="M16" i="4"/>
  <c r="K16" i="4"/>
  <c r="C87" i="59"/>
  <c r="D87" i="59" s="1"/>
  <c r="D72" i="59"/>
  <c r="C71" i="59"/>
  <c r="D71" i="59" s="1"/>
  <c r="C67" i="59"/>
  <c r="O67" i="59" s="1"/>
  <c r="D76" i="59"/>
  <c r="C75" i="59"/>
  <c r="D75" i="59"/>
  <c r="O27" i="6"/>
  <c r="N27" i="6"/>
  <c r="P26" i="6"/>
  <c r="L26" i="6"/>
  <c r="P25" i="6"/>
  <c r="L25" i="6"/>
  <c r="P24" i="6"/>
  <c r="L24" i="6"/>
  <c r="P23" i="6"/>
  <c r="L23" i="6"/>
  <c r="P22" i="6"/>
  <c r="P27" i="6" s="1"/>
  <c r="L22" i="6"/>
  <c r="P21" i="6"/>
  <c r="L21" i="6"/>
  <c r="P20" i="6"/>
  <c r="P19" i="6"/>
  <c r="Q18" i="36"/>
  <c r="Z18" i="36" s="1"/>
  <c r="C18" i="36"/>
  <c r="D66" i="36"/>
  <c r="E66" i="36" s="1"/>
  <c r="F18" i="36"/>
  <c r="AA18" i="36" s="1"/>
  <c r="Q18" i="35"/>
  <c r="Z18" i="35" s="1"/>
  <c r="F18" i="35"/>
  <c r="AA18" i="35" s="1"/>
  <c r="C18" i="35"/>
  <c r="D68" i="35"/>
  <c r="E68" i="35"/>
  <c r="F68" i="35" s="1"/>
  <c r="G68" i="35" s="1"/>
  <c r="Q21" i="37"/>
  <c r="Z21" i="37" s="1"/>
  <c r="F21" i="37"/>
  <c r="AA21" i="37" s="1"/>
  <c r="C21" i="37"/>
  <c r="E77" i="37"/>
  <c r="F77" i="37" s="1"/>
  <c r="G77" i="37" s="1"/>
  <c r="D77" i="37"/>
  <c r="Q21" i="34"/>
  <c r="Z21" i="34" s="1"/>
  <c r="C21" i="34"/>
  <c r="D84" i="34"/>
  <c r="F21" i="34"/>
  <c r="AA21" i="34" s="1"/>
  <c r="Q21" i="33"/>
  <c r="Z21" i="33" s="1"/>
  <c r="C21" i="33"/>
  <c r="D83" i="33"/>
  <c r="E83" i="33" s="1"/>
  <c r="F83" i="33" s="1"/>
  <c r="G83" i="33" s="1"/>
  <c r="Q21" i="21"/>
  <c r="Z21" i="21" s="1"/>
  <c r="D83" i="21"/>
  <c r="E83" i="21"/>
  <c r="F83" i="21" s="1"/>
  <c r="F21" i="21"/>
  <c r="S21" i="21" s="1"/>
  <c r="C21" i="21"/>
  <c r="Q27" i="40"/>
  <c r="Z27" i="40" s="1"/>
  <c r="D95" i="40"/>
  <c r="E95" i="40"/>
  <c r="F27" i="40"/>
  <c r="AA27" i="40" s="1"/>
  <c r="Q31" i="39"/>
  <c r="Z31" i="39" s="1"/>
  <c r="D104" i="39"/>
  <c r="E104" i="39" s="1"/>
  <c r="F104" i="39" s="1"/>
  <c r="F31" i="39"/>
  <c r="AA31" i="39" s="1"/>
  <c r="G20" i="20"/>
  <c r="B88" i="46" s="1"/>
  <c r="C22" i="20"/>
  <c r="B100" i="46" s="1"/>
  <c r="B68" i="46"/>
  <c r="S18" i="36"/>
  <c r="S18" i="35"/>
  <c r="S21" i="34"/>
  <c r="C31" i="39"/>
  <c r="B57" i="46"/>
  <c r="B77" i="46"/>
  <c r="H18" i="35"/>
  <c r="J18" i="35"/>
  <c r="H21" i="37"/>
  <c r="J21" i="37"/>
  <c r="E84" i="34"/>
  <c r="F84" i="34"/>
  <c r="G84" i="34"/>
  <c r="J21" i="34"/>
  <c r="H21" i="34"/>
  <c r="F21" i="33"/>
  <c r="H21" i="33"/>
  <c r="J21" i="33"/>
  <c r="H21" i="21"/>
  <c r="G83" i="21"/>
  <c r="J21" i="21"/>
  <c r="F95" i="40"/>
  <c r="H27" i="40"/>
  <c r="H31" i="39"/>
  <c r="F23" i="15"/>
  <c r="D22" i="15" s="1"/>
  <c r="G17" i="11"/>
  <c r="F15" i="15"/>
  <c r="F17" i="15"/>
  <c r="F18" i="15"/>
  <c r="F20" i="15"/>
  <c r="F21" i="15"/>
  <c r="F33" i="15"/>
  <c r="F60" i="15" s="1"/>
  <c r="K2" i="4"/>
  <c r="K1" i="4"/>
  <c r="B1" i="4"/>
  <c r="C112" i="9"/>
  <c r="C7" i="11"/>
  <c r="F83" i="46"/>
  <c r="H84" i="46" s="1"/>
  <c r="G84" i="46" s="1"/>
  <c r="K84" i="46" s="1"/>
  <c r="J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D89" i="46"/>
  <c r="M84" i="46"/>
  <c r="N84" i="46" s="1"/>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N76" i="46"/>
  <c r="D78" i="46"/>
  <c r="J53" i="46"/>
  <c r="J57" i="46"/>
  <c r="D57" i="46" s="1"/>
  <c r="Q73" i="15"/>
  <c r="Q60" i="15"/>
  <c r="Q59" i="15"/>
  <c r="Q52" i="15"/>
  <c r="AE13" i="1"/>
  <c r="M47" i="15"/>
  <c r="AG13" i="1"/>
  <c r="D12" i="31"/>
  <c r="E12" i="31"/>
  <c r="F12" i="3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A103" i="3" s="1"/>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A93" i="3" s="1"/>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A91" i="3" s="1"/>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L81" i="3" s="1"/>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A74" i="3" s="1"/>
  <c r="BD74" i="3"/>
  <c r="BC74" i="3"/>
  <c r="BB74" i="3"/>
  <c r="AX74" i="3"/>
  <c r="AW74" i="3"/>
  <c r="AV74" i="3"/>
  <c r="AC74" i="3"/>
  <c r="H74" i="3"/>
  <c r="BT73" i="3"/>
  <c r="BS73" i="3"/>
  <c r="BR73" i="3"/>
  <c r="BQ73" i="3"/>
  <c r="BP73" i="3"/>
  <c r="BO73" i="3"/>
  <c r="BN73" i="3"/>
  <c r="BM73" i="3"/>
  <c r="BK73" i="3"/>
  <c r="BJ73" i="3"/>
  <c r="BI73" i="3"/>
  <c r="BH73" i="3"/>
  <c r="BG73" i="3"/>
  <c r="BF73" i="3"/>
  <c r="BE73" i="3"/>
  <c r="BA73" i="3" s="1"/>
  <c r="BD73" i="3"/>
  <c r="BC73" i="3"/>
  <c r="BB73" i="3"/>
  <c r="AX73" i="3"/>
  <c r="AW73" i="3"/>
  <c r="AV73" i="3"/>
  <c r="AC73" i="3"/>
  <c r="G73" i="3" s="1"/>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G70" i="3" s="1"/>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L65" i="3" s="1"/>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A64" i="3" s="1"/>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A59" i="3" s="1"/>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c r="BT57" i="3"/>
  <c r="BS57" i="3"/>
  <c r="BR57" i="3"/>
  <c r="BQ57" i="3"/>
  <c r="BP57" i="3"/>
  <c r="BL57" i="3" s="1"/>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A52" i="3" s="1"/>
  <c r="BE52" i="3"/>
  <c r="BD52" i="3"/>
  <c r="BC52" i="3"/>
  <c r="BB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AX51" i="3"/>
  <c r="AW51" i="3"/>
  <c r="AV51" i="3"/>
  <c r="AC51" i="3"/>
  <c r="G51" i="3" s="1"/>
  <c r="H51" i="3"/>
  <c r="BT50" i="3"/>
  <c r="BS50" i="3"/>
  <c r="BR50" i="3"/>
  <c r="BQ50" i="3"/>
  <c r="BL50" i="3" s="1"/>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G40" i="3" s="1"/>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A36" i="3" s="1"/>
  <c r="BD36" i="3"/>
  <c r="BC36" i="3"/>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G35" i="3" s="1"/>
  <c r="H35" i="3"/>
  <c r="BT34" i="3"/>
  <c r="BS34" i="3"/>
  <c r="BR34" i="3"/>
  <c r="BQ34" i="3"/>
  <c r="BP34" i="3"/>
  <c r="BL34" i="3" s="1"/>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A29" i="3" s="1"/>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G24" i="3" s="1"/>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A204" i="3" s="1"/>
  <c r="BE204" i="3"/>
  <c r="BD204" i="3"/>
  <c r="BC204" i="3"/>
  <c r="BB204" i="3"/>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c r="BT202" i="3"/>
  <c r="BS202" i="3"/>
  <c r="BR202" i="3"/>
  <c r="BQ202" i="3"/>
  <c r="BL202" i="3" s="1"/>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G197" i="3" s="1"/>
  <c r="H197" i="3"/>
  <c r="BT196" i="3"/>
  <c r="BS196" i="3"/>
  <c r="BR196" i="3"/>
  <c r="BQ196" i="3"/>
  <c r="BP196" i="3"/>
  <c r="BO196" i="3"/>
  <c r="BL196" i="3" s="1"/>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A194" i="3" s="1"/>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L188" i="3" s="1"/>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A186" i="3" s="1"/>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G181" i="3" s="1"/>
  <c r="H181" i="3"/>
  <c r="BT180" i="3"/>
  <c r="BS180" i="3"/>
  <c r="BR180" i="3"/>
  <c r="BQ180" i="3"/>
  <c r="BP180" i="3"/>
  <c r="BO180" i="3"/>
  <c r="BL180" i="3" s="1"/>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A176" i="3" s="1"/>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L172" i="3" s="1"/>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A166" i="3" s="1"/>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L149" i="3" s="1"/>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L146" i="3" s="1"/>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L141" i="3" s="1"/>
  <c r="BR141" i="3"/>
  <c r="BQ141" i="3"/>
  <c r="BP141" i="3"/>
  <c r="BO141" i="3"/>
  <c r="BN141" i="3"/>
  <c r="BM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L133" i="3" s="1"/>
  <c r="BO133" i="3"/>
  <c r="BN133" i="3"/>
  <c r="BM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L125" i="3" s="1"/>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L117" i="3" s="1"/>
  <c r="BN117" i="3"/>
  <c r="BM117" i="3"/>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A113" i="3" s="1"/>
  <c r="BB113" i="3"/>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G274" i="3" s="1"/>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A257" i="3" s="1"/>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A256" i="3" s="1"/>
  <c r="BF256" i="3"/>
  <c r="BE256" i="3"/>
  <c r="BD256" i="3"/>
  <c r="BC256" i="3"/>
  <c r="BB256" i="3"/>
  <c r="AX256" i="3"/>
  <c r="AW256" i="3"/>
  <c r="AV256" i="3"/>
  <c r="AC256" i="3"/>
  <c r="H256" i="3"/>
  <c r="G256" i="3" s="1"/>
  <c r="BT255" i="3"/>
  <c r="BS255" i="3"/>
  <c r="BR255" i="3"/>
  <c r="BQ255" i="3"/>
  <c r="BL255" i="3" s="1"/>
  <c r="BP255" i="3"/>
  <c r="BO255" i="3"/>
  <c r="BN255" i="3"/>
  <c r="BM255" i="3"/>
  <c r="BK255" i="3"/>
  <c r="BJ255" i="3"/>
  <c r="BI255" i="3"/>
  <c r="BH255" i="3"/>
  <c r="BG255" i="3"/>
  <c r="BF255" i="3"/>
  <c r="BE255" i="3"/>
  <c r="BD255" i="3"/>
  <c r="BC255" i="3"/>
  <c r="BB255" i="3"/>
  <c r="AX255" i="3"/>
  <c r="AW255" i="3"/>
  <c r="AV255" i="3"/>
  <c r="AC255" i="3"/>
  <c r="H255" i="3"/>
  <c r="G255" i="3"/>
  <c r="BT254" i="3"/>
  <c r="BS254" i="3"/>
  <c r="BR254" i="3"/>
  <c r="BL254" i="3" s="1"/>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A249" i="3" s="1"/>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A248" i="3" s="1"/>
  <c r="BD248" i="3"/>
  <c r="BC248" i="3"/>
  <c r="BB248" i="3"/>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G247" i="3"/>
  <c r="BT246" i="3"/>
  <c r="BS246" i="3"/>
  <c r="BR246" i="3"/>
  <c r="BQ246" i="3"/>
  <c r="BP246" i="3"/>
  <c r="BL246" i="3" s="1"/>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A240" i="3" s="1"/>
  <c r="BD240" i="3"/>
  <c r="BC240" i="3"/>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L238" i="3" s="1"/>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A236" i="3" s="1"/>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A232" i="3" s="1"/>
  <c r="BC232" i="3"/>
  <c r="BB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K216" i="3"/>
  <c r="BJ216" i="3"/>
  <c r="BI216" i="3"/>
  <c r="BH216" i="3"/>
  <c r="BG216" i="3"/>
  <c r="BF216" i="3"/>
  <c r="BE216" i="3"/>
  <c r="BA216" i="3" s="1"/>
  <c r="BD216" i="3"/>
  <c r="BC216" i="3"/>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L210" i="3" s="1"/>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A388" i="3" s="1"/>
  <c r="BD388" i="3"/>
  <c r="BC388" i="3"/>
  <c r="BB388" i="3"/>
  <c r="AX388" i="3"/>
  <c r="AW388" i="3"/>
  <c r="AV388" i="3"/>
  <c r="AC388" i="3"/>
  <c r="G388" i="3" s="1"/>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s="1"/>
  <c r="BT386" i="3"/>
  <c r="BS386" i="3"/>
  <c r="BR386" i="3"/>
  <c r="BQ386" i="3"/>
  <c r="BP386" i="3"/>
  <c r="BL386" i="3" s="1"/>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L335" i="3" s="1"/>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G317" i="3" s="1"/>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A474" i="3" s="1"/>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A471" i="3" s="1"/>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A458" i="3" s="1"/>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A433" i="3" s="1"/>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L423" i="3" s="1"/>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L421" i="3" s="1"/>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G397" i="3" s="1"/>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L389" i="3" s="1"/>
  <c r="BM389" i="3"/>
  <c r="BK389" i="3"/>
  <c r="BJ389" i="3"/>
  <c r="BI389" i="3"/>
  <c r="BH389" i="3"/>
  <c r="BG389" i="3"/>
  <c r="BF389" i="3"/>
  <c r="BE389" i="3"/>
  <c r="BD389" i="3"/>
  <c r="BC389" i="3"/>
  <c r="BB389" i="3"/>
  <c r="AX389" i="3"/>
  <c r="AW389" i="3"/>
  <c r="AV389" i="3"/>
  <c r="AC389" i="3"/>
  <c r="G389" i="3" s="1"/>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c r="R27" i="31"/>
  <c r="R28" i="31"/>
  <c r="S28" i="31"/>
  <c r="R29" i="31"/>
  <c r="R30" i="31"/>
  <c r="S30" i="31" s="1"/>
  <c r="R31" i="31"/>
  <c r="R32" i="31"/>
  <c r="S32" i="31" s="1"/>
  <c r="R33" i="31"/>
  <c r="R34" i="31"/>
  <c r="S34" i="31" s="1"/>
  <c r="R35" i="31"/>
  <c r="R36" i="31"/>
  <c r="S36" i="31"/>
  <c r="R37" i="31"/>
  <c r="R38" i="31"/>
  <c r="S38" i="31"/>
  <c r="R39" i="31"/>
  <c r="R40" i="31"/>
  <c r="S40" i="31"/>
  <c r="R41" i="31"/>
  <c r="R42" i="31"/>
  <c r="S42" i="31"/>
  <c r="R43" i="31"/>
  <c r="R44" i="31"/>
  <c r="S44" i="31"/>
  <c r="R45" i="31"/>
  <c r="R46" i="31"/>
  <c r="S46" i="31" s="1"/>
  <c r="R47" i="31"/>
  <c r="R48" i="31"/>
  <c r="S48" i="31" s="1"/>
  <c r="R49" i="31"/>
  <c r="R50" i="31"/>
  <c r="S50" i="31" s="1"/>
  <c r="R51" i="31"/>
  <c r="R52" i="31"/>
  <c r="S52" i="31"/>
  <c r="R53" i="31"/>
  <c r="R54" i="31"/>
  <c r="S54" i="31"/>
  <c r="R55" i="31"/>
  <c r="R56" i="31"/>
  <c r="S56" i="31"/>
  <c r="R57" i="31"/>
  <c r="R58" i="31"/>
  <c r="S58" i="31"/>
  <c r="R59" i="31"/>
  <c r="R60" i="31"/>
  <c r="S60" i="31"/>
  <c r="R61" i="31"/>
  <c r="R62" i="31"/>
  <c r="S62" i="31" s="1"/>
  <c r="R63" i="31"/>
  <c r="R64" i="31"/>
  <c r="S64" i="31" s="1"/>
  <c r="R65" i="31"/>
  <c r="R66" i="31"/>
  <c r="S66" i="31" s="1"/>
  <c r="R67" i="31"/>
  <c r="R68" i="31"/>
  <c r="S68" i="31"/>
  <c r="R69" i="31"/>
  <c r="R70" i="31"/>
  <c r="S70" i="31"/>
  <c r="R71" i="31"/>
  <c r="R72" i="31"/>
  <c r="S72" i="31"/>
  <c r="R73" i="31"/>
  <c r="R74" i="31"/>
  <c r="S74" i="31"/>
  <c r="R75" i="31"/>
  <c r="R76" i="31"/>
  <c r="S76" i="31"/>
  <c r="R77" i="31"/>
  <c r="R78" i="31"/>
  <c r="S78" i="31" s="1"/>
  <c r="R79" i="31"/>
  <c r="R80" i="31"/>
  <c r="S80" i="31" s="1"/>
  <c r="R81" i="31"/>
  <c r="R82" i="31"/>
  <c r="S82" i="31" s="1"/>
  <c r="R83" i="31"/>
  <c r="R84" i="31"/>
  <c r="S84" i="31"/>
  <c r="R85" i="31"/>
  <c r="R86" i="31"/>
  <c r="S86" i="31"/>
  <c r="R87" i="31"/>
  <c r="R88" i="31"/>
  <c r="S88" i="31"/>
  <c r="R89" i="31"/>
  <c r="R90" i="31"/>
  <c r="S90" i="31"/>
  <c r="R91" i="31"/>
  <c r="R92" i="31"/>
  <c r="S92" i="31"/>
  <c r="R93" i="31"/>
  <c r="R94" i="31"/>
  <c r="S94" i="31" s="1"/>
  <c r="R95" i="31"/>
  <c r="R96" i="31"/>
  <c r="S96" i="31" s="1"/>
  <c r="R97" i="31"/>
  <c r="R98" i="31"/>
  <c r="S98" i="31" s="1"/>
  <c r="R99" i="31"/>
  <c r="R100" i="31"/>
  <c r="S100" i="31"/>
  <c r="R101" i="31"/>
  <c r="R102" i="31"/>
  <c r="S102" i="31"/>
  <c r="R103" i="31"/>
  <c r="R104" i="31"/>
  <c r="S104" i="31"/>
  <c r="R105" i="31"/>
  <c r="R106" i="31"/>
  <c r="S106" i="31"/>
  <c r="R107" i="31"/>
  <c r="R108" i="31"/>
  <c r="S108" i="31"/>
  <c r="R109" i="31"/>
  <c r="R110" i="31"/>
  <c r="S110" i="31" s="1"/>
  <c r="R111" i="31"/>
  <c r="R112" i="31"/>
  <c r="S112" i="31" s="1"/>
  <c r="R113" i="31"/>
  <c r="R114" i="31"/>
  <c r="S114" i="31" s="1"/>
  <c r="R115" i="31"/>
  <c r="R116" i="31"/>
  <c r="S116" i="31"/>
  <c r="R117" i="31"/>
  <c r="R118" i="31"/>
  <c r="S118" i="31"/>
  <c r="R119" i="31"/>
  <c r="R120" i="31"/>
  <c r="S120" i="31"/>
  <c r="R121" i="31"/>
  <c r="R122" i="31"/>
  <c r="S122" i="31"/>
  <c r="R123" i="31"/>
  <c r="R124" i="31"/>
  <c r="S124" i="31"/>
  <c r="R125" i="31"/>
  <c r="R126" i="31"/>
  <c r="S126" i="31" s="1"/>
  <c r="R127" i="31"/>
  <c r="R128" i="31"/>
  <c r="S128" i="31" s="1"/>
  <c r="R129" i="31"/>
  <c r="R130" i="31"/>
  <c r="S130" i="31" s="1"/>
  <c r="R131" i="31"/>
  <c r="R132" i="31"/>
  <c r="S132" i="31"/>
  <c r="R133" i="31"/>
  <c r="R134" i="31"/>
  <c r="S134" i="31"/>
  <c r="R135" i="31"/>
  <c r="R136" i="31"/>
  <c r="S136" i="31"/>
  <c r="R137" i="31"/>
  <c r="R138" i="31"/>
  <c r="S138" i="31"/>
  <c r="R139" i="31"/>
  <c r="R140" i="31"/>
  <c r="S140" i="31"/>
  <c r="R141" i="31"/>
  <c r="R142" i="31"/>
  <c r="S142" i="31" s="1"/>
  <c r="R143" i="31"/>
  <c r="R144" i="31"/>
  <c r="S144" i="31" s="1"/>
  <c r="R145" i="31"/>
  <c r="R146" i="31"/>
  <c r="S146" i="31" s="1"/>
  <c r="R147" i="31"/>
  <c r="R148" i="31"/>
  <c r="S148" i="31"/>
  <c r="R149" i="31"/>
  <c r="R150" i="31"/>
  <c r="S150" i="31"/>
  <c r="R151" i="31"/>
  <c r="R152" i="31"/>
  <c r="S152" i="31"/>
  <c r="R153" i="31"/>
  <c r="R154" i="31"/>
  <c r="S154" i="31"/>
  <c r="R155" i="31"/>
  <c r="R156" i="31"/>
  <c r="S156" i="31"/>
  <c r="R157" i="31"/>
  <c r="R158" i="31"/>
  <c r="S158" i="31" s="1"/>
  <c r="R159" i="31"/>
  <c r="R160" i="31"/>
  <c r="S160" i="31" s="1"/>
  <c r="R161" i="31"/>
  <c r="R162" i="31"/>
  <c r="S162" i="31" s="1"/>
  <c r="R163" i="31"/>
  <c r="R164" i="31"/>
  <c r="S164" i="31"/>
  <c r="R165" i="31"/>
  <c r="R166" i="31"/>
  <c r="S166" i="31"/>
  <c r="R167" i="31"/>
  <c r="R168" i="31"/>
  <c r="S168" i="31"/>
  <c r="R169" i="31"/>
  <c r="R170" i="31"/>
  <c r="S170" i="31"/>
  <c r="R171" i="31"/>
  <c r="R172" i="31"/>
  <c r="S172" i="31"/>
  <c r="R173" i="31"/>
  <c r="R174" i="31"/>
  <c r="S174" i="31" s="1"/>
  <c r="R175" i="31"/>
  <c r="R176" i="31"/>
  <c r="S176" i="31" s="1"/>
  <c r="R177" i="31"/>
  <c r="R178" i="31"/>
  <c r="S178" i="31" s="1"/>
  <c r="R179" i="31"/>
  <c r="R180" i="31"/>
  <c r="S180" i="31"/>
  <c r="R181" i="31"/>
  <c r="R182" i="31"/>
  <c r="S182" i="31"/>
  <c r="R183" i="31"/>
  <c r="R184" i="31"/>
  <c r="S184" i="31"/>
  <c r="R185" i="31"/>
  <c r="R186" i="31"/>
  <c r="S186" i="31"/>
  <c r="R187" i="31"/>
  <c r="R188" i="31"/>
  <c r="S188" i="31"/>
  <c r="R189" i="31"/>
  <c r="R190" i="31"/>
  <c r="S190" i="31" s="1"/>
  <c r="R191" i="31"/>
  <c r="R192" i="31"/>
  <c r="S192" i="31" s="1"/>
  <c r="R193" i="31"/>
  <c r="R194" i="31"/>
  <c r="S194" i="31" s="1"/>
  <c r="R195" i="31"/>
  <c r="R196" i="31"/>
  <c r="S196" i="31"/>
  <c r="R197" i="31"/>
  <c r="R198" i="31"/>
  <c r="S198" i="31"/>
  <c r="R199" i="31"/>
  <c r="R200" i="31"/>
  <c r="S200" i="31"/>
  <c r="R201" i="31"/>
  <c r="R202" i="31"/>
  <c r="S202" i="31"/>
  <c r="R203" i="31"/>
  <c r="R204" i="31"/>
  <c r="S204" i="31"/>
  <c r="R205" i="31"/>
  <c r="R206" i="31"/>
  <c r="S206" i="31" s="1"/>
  <c r="R207" i="31"/>
  <c r="R208" i="31"/>
  <c r="S208" i="31" s="1"/>
  <c r="R209" i="31"/>
  <c r="R210" i="31"/>
  <c r="S210" i="31" s="1"/>
  <c r="R211" i="31"/>
  <c r="R212" i="31"/>
  <c r="S212" i="31"/>
  <c r="R213" i="31"/>
  <c r="R214" i="31"/>
  <c r="S214" i="31"/>
  <c r="R215" i="31"/>
  <c r="R216" i="31"/>
  <c r="S216" i="3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c r="R437" i="31"/>
  <c r="R438" i="31"/>
  <c r="S438" i="31"/>
  <c r="R439" i="31"/>
  <c r="R440" i="31"/>
  <c r="S440" i="31"/>
  <c r="R441" i="31"/>
  <c r="R442" i="31"/>
  <c r="S442" i="31"/>
  <c r="R443" i="31"/>
  <c r="R444" i="31"/>
  <c r="S444" i="31" s="1"/>
  <c r="R445" i="31"/>
  <c r="R446" i="31"/>
  <c r="S446" i="31" s="1"/>
  <c r="R447" i="31"/>
  <c r="R448" i="31"/>
  <c r="S448" i="31" s="1"/>
  <c r="R449" i="31"/>
  <c r="R450" i="31"/>
  <c r="S450" i="31"/>
  <c r="R451" i="31"/>
  <c r="R452" i="31"/>
  <c r="S452" i="31"/>
  <c r="R453" i="31"/>
  <c r="R454" i="31"/>
  <c r="S454" i="31"/>
  <c r="R455" i="31"/>
  <c r="R456" i="31"/>
  <c r="S456" i="31"/>
  <c r="R457" i="31"/>
  <c r="R458" i="31"/>
  <c r="S458" i="31"/>
  <c r="R459" i="31"/>
  <c r="R460" i="31"/>
  <c r="S460" i="31" s="1"/>
  <c r="R461" i="31"/>
  <c r="R462" i="31"/>
  <c r="S462" i="31" s="1"/>
  <c r="R463" i="31"/>
  <c r="R464" i="31"/>
  <c r="S464" i="31" s="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c r="R503" i="31"/>
  <c r="R504" i="31"/>
  <c r="S504" i="31"/>
  <c r="R505" i="31"/>
  <c r="R506" i="31"/>
  <c r="S506" i="31"/>
  <c r="R507" i="31"/>
  <c r="R508" i="31"/>
  <c r="S508" i="31"/>
  <c r="R509" i="31"/>
  <c r="R510" i="31"/>
  <c r="S510" i="31" s="1"/>
  <c r="R511" i="31"/>
  <c r="R512" i="31"/>
  <c r="S512" i="31" s="1"/>
  <c r="R513" i="31"/>
  <c r="R514" i="31"/>
  <c r="S514" i="31" s="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H19" i="4"/>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C18" i="9" s="1"/>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c r="E44" i="35"/>
  <c r="F44" i="35" s="1"/>
  <c r="I54" i="33"/>
  <c r="J54" i="33"/>
  <c r="G54" i="33"/>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c r="J31" i="35"/>
  <c r="H31" i="35"/>
  <c r="F31" i="35"/>
  <c r="D87" i="35"/>
  <c r="E87" i="35"/>
  <c r="F87" i="35" s="1"/>
  <c r="G87" i="35"/>
  <c r="H87" i="35" s="1"/>
  <c r="I87" i="35" s="1"/>
  <c r="J87" i="35" s="1"/>
  <c r="K87" i="35" s="1"/>
  <c r="L87" i="35" s="1"/>
  <c r="M87" i="35" s="1"/>
  <c r="H34" i="37"/>
  <c r="AB34" i="37"/>
  <c r="D101" i="37"/>
  <c r="F34" i="37"/>
  <c r="S34" i="37" s="1"/>
  <c r="D99" i="37"/>
  <c r="E99" i="37" s="1"/>
  <c r="H42" i="34"/>
  <c r="U42" i="34" s="1"/>
  <c r="J42" i="34"/>
  <c r="F42" i="34"/>
  <c r="J38" i="34"/>
  <c r="AC38" i="34" s="1"/>
  <c r="D114" i="34"/>
  <c r="F38" i="34"/>
  <c r="D112" i="34"/>
  <c r="E112" i="34" s="1"/>
  <c r="F112" i="34" s="1"/>
  <c r="G112" i="34" s="1"/>
  <c r="H112" i="34" s="1"/>
  <c r="I112" i="34" s="1"/>
  <c r="J112" i="34" s="1"/>
  <c r="K112" i="34" s="1"/>
  <c r="L112" i="34" s="1"/>
  <c r="M112" i="34" s="1"/>
  <c r="F40" i="33"/>
  <c r="J41" i="33"/>
  <c r="AC41" i="33" s="1"/>
  <c r="D113" i="33"/>
  <c r="F37" i="33"/>
  <c r="AA37" i="33" s="1"/>
  <c r="D111" i="33"/>
  <c r="E111" i="33"/>
  <c r="F111" i="33" s="1"/>
  <c r="G111" i="33" s="1"/>
  <c r="H111" i="33" s="1"/>
  <c r="I111" i="33"/>
  <c r="J111" i="33" s="1"/>
  <c r="K111" i="33" s="1"/>
  <c r="L111" i="33" s="1"/>
  <c r="M111" i="33" s="1"/>
  <c r="S515" i="31"/>
  <c r="S517" i="31"/>
  <c r="S519" i="31"/>
  <c r="S521" i="31"/>
  <c r="S523" i="31"/>
  <c r="F41" i="21"/>
  <c r="S41" i="21" s="1"/>
  <c r="J41" i="21"/>
  <c r="H41" i="21"/>
  <c r="U41" i="21" s="1"/>
  <c r="D82" i="39"/>
  <c r="E82" i="39" s="1"/>
  <c r="F82" i="39"/>
  <c r="G82" i="39" s="1"/>
  <c r="H82" i="39" s="1"/>
  <c r="I82" i="39" s="1"/>
  <c r="J82" i="39" s="1"/>
  <c r="K82" i="39" s="1"/>
  <c r="L82" i="39" s="1"/>
  <c r="M82" i="39" s="1"/>
  <c r="D77" i="40"/>
  <c r="E77" i="40" s="1"/>
  <c r="F13" i="40"/>
  <c r="S13" i="40" s="1"/>
  <c r="B121" i="40"/>
  <c r="F42" i="40" s="1"/>
  <c r="AA42" i="40" s="1"/>
  <c r="B119" i="40"/>
  <c r="B117" i="40"/>
  <c r="F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F25" i="37" s="1"/>
  <c r="AA25" i="37" s="1"/>
  <c r="H25" i="37"/>
  <c r="U25" i="37" s="1"/>
  <c r="B110" i="37"/>
  <c r="J39" i="37" s="1"/>
  <c r="B108" i="37"/>
  <c r="C23" i="37"/>
  <c r="C19" i="37"/>
  <c r="C17" i="37"/>
  <c r="C15" i="37"/>
  <c r="B112" i="37"/>
  <c r="D107" i="37"/>
  <c r="E107" i="37" s="1"/>
  <c r="D105" i="37"/>
  <c r="E105" i="37" s="1"/>
  <c r="H36" i="37"/>
  <c r="D103" i="37"/>
  <c r="J35" i="37"/>
  <c r="AC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D73" i="37"/>
  <c r="E73" i="37" s="1"/>
  <c r="F73" i="37" s="1"/>
  <c r="G73" i="37"/>
  <c r="D71" i="37"/>
  <c r="E71" i="37"/>
  <c r="F71" i="37"/>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s="1"/>
  <c r="Q37" i="37"/>
  <c r="Z37" i="37" s="1"/>
  <c r="Q36" i="37"/>
  <c r="Z36" i="37"/>
  <c r="Q35" i="37"/>
  <c r="Z35" i="37"/>
  <c r="Q34" i="37"/>
  <c r="Z34" i="37" s="1"/>
  <c r="Q33" i="37"/>
  <c r="Z33" i="37" s="1"/>
  <c r="Q32" i="37"/>
  <c r="Z32" i="37"/>
  <c r="Q31" i="37"/>
  <c r="Z31" i="37"/>
  <c r="J31" i="37"/>
  <c r="Q30" i="37"/>
  <c r="Z30" i="37"/>
  <c r="J30" i="37"/>
  <c r="W30" i="37" s="1"/>
  <c r="H30" i="37"/>
  <c r="AB30" i="37"/>
  <c r="F30" i="37"/>
  <c r="Q29" i="37"/>
  <c r="Z29" i="37"/>
  <c r="H29" i="37"/>
  <c r="U29" i="37"/>
  <c r="Q28" i="37"/>
  <c r="Z28" i="37"/>
  <c r="Q27" i="37"/>
  <c r="Z27" i="37" s="1"/>
  <c r="Q26" i="37"/>
  <c r="Z26" i="37"/>
  <c r="Q25" i="37"/>
  <c r="Z25" i="37" s="1"/>
  <c r="J25" i="37"/>
  <c r="W25" i="37" s="1"/>
  <c r="Q23" i="37"/>
  <c r="Z23" i="37" s="1"/>
  <c r="Q19" i="37"/>
  <c r="Z19" i="37"/>
  <c r="Q17" i="37"/>
  <c r="Z17" i="37"/>
  <c r="Q15" i="37"/>
  <c r="Z15" i="37" s="1"/>
  <c r="Q14" i="37"/>
  <c r="Z14" i="37"/>
  <c r="Q13" i="37"/>
  <c r="Z13" i="37" s="1"/>
  <c r="Q12" i="37"/>
  <c r="Z12" i="37" s="1"/>
  <c r="Q11" i="37"/>
  <c r="Z11" i="37" s="1"/>
  <c r="Q10" i="37"/>
  <c r="Z10" i="37" s="1"/>
  <c r="F10" i="37"/>
  <c r="AA10" i="37" s="1"/>
  <c r="Q9" i="37"/>
  <c r="Z9" i="37" s="1"/>
  <c r="J8" i="37"/>
  <c r="W8" i="37" s="1"/>
  <c r="H8" i="37"/>
  <c r="AB8" i="37"/>
  <c r="F8" i="37"/>
  <c r="C7" i="37"/>
  <c r="C52" i="37" s="1"/>
  <c r="D52" i="37" s="1"/>
  <c r="E52" i="37" s="1"/>
  <c r="F52" i="37" s="1"/>
  <c r="G52" i="37" s="1"/>
  <c r="H52" i="37" s="1"/>
  <c r="I52" i="37" s="1"/>
  <c r="J52" i="37" s="1"/>
  <c r="K52" i="37" s="1"/>
  <c r="J31" i="36"/>
  <c r="W31" i="36" s="1"/>
  <c r="H31" i="36"/>
  <c r="AB31" i="36" s="1"/>
  <c r="F31" i="36"/>
  <c r="S31" i="36"/>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B91" i="36"/>
  <c r="F32" i="36" s="1"/>
  <c r="S32" i="36" s="1"/>
  <c r="B95" i="36"/>
  <c r="J34" i="36" s="1"/>
  <c r="H34" i="36"/>
  <c r="D83" i="36"/>
  <c r="E83" i="36"/>
  <c r="F83" i="36" s="1"/>
  <c r="G83" i="36" s="1"/>
  <c r="H83" i="36" s="1"/>
  <c r="I83" i="36"/>
  <c r="J83" i="36" s="1"/>
  <c r="K83" i="36"/>
  <c r="L83" i="36" s="1"/>
  <c r="M83" i="36" s="1"/>
  <c r="D78" i="36"/>
  <c r="J26" i="36"/>
  <c r="W26" i="36" s="1"/>
  <c r="B75" i="36"/>
  <c r="B73" i="36"/>
  <c r="B71" i="36"/>
  <c r="F23" i="36" s="1"/>
  <c r="AA23" i="36" s="1"/>
  <c r="D70" i="36"/>
  <c r="H22" i="36"/>
  <c r="AB22" i="36" s="1"/>
  <c r="D68" i="36"/>
  <c r="E68" i="36" s="1"/>
  <c r="D64" i="36"/>
  <c r="E64" i="36" s="1"/>
  <c r="F64" i="36"/>
  <c r="G64" i="36" s="1"/>
  <c r="J16" i="36"/>
  <c r="D62" i="36"/>
  <c r="E62" i="36"/>
  <c r="B59" i="36"/>
  <c r="B57" i="36"/>
  <c r="B55" i="36"/>
  <c r="J10" i="36"/>
  <c r="W10" i="36" s="1"/>
  <c r="C51" i="36"/>
  <c r="P37" i="36"/>
  <c r="P36" i="36"/>
  <c r="V35" i="36"/>
  <c r="T35" i="36"/>
  <c r="R35" i="36"/>
  <c r="P35" i="36"/>
  <c r="Q34" i="36"/>
  <c r="Z34" i="36" s="1"/>
  <c r="Q33" i="36"/>
  <c r="Z33" i="36"/>
  <c r="Q32" i="36"/>
  <c r="Z32" i="36"/>
  <c r="Q31" i="36"/>
  <c r="Z31" i="36"/>
  <c r="Q30" i="36"/>
  <c r="Z30" i="36" s="1"/>
  <c r="Q29" i="36"/>
  <c r="Z29" i="36"/>
  <c r="Q28" i="36"/>
  <c r="Z28" i="36"/>
  <c r="J28" i="36"/>
  <c r="AC28" i="36"/>
  <c r="Q27" i="36"/>
  <c r="Z27" i="36" s="1"/>
  <c r="Q26" i="36"/>
  <c r="Z26" i="36"/>
  <c r="H26" i="36"/>
  <c r="AB26" i="36"/>
  <c r="Q25" i="36"/>
  <c r="Z25" i="36"/>
  <c r="Q24" i="36"/>
  <c r="Z24" i="36" s="1"/>
  <c r="Q23" i="36"/>
  <c r="Z23" i="36" s="1"/>
  <c r="J23" i="36"/>
  <c r="AC23" i="36" s="1"/>
  <c r="H23" i="36"/>
  <c r="AB23" i="36" s="1"/>
  <c r="Q22" i="36"/>
  <c r="Z22" i="36" s="1"/>
  <c r="J22" i="36"/>
  <c r="AC22" i="36"/>
  <c r="Q20" i="36"/>
  <c r="Z20" i="36"/>
  <c r="Q16" i="36"/>
  <c r="Z16" i="36"/>
  <c r="Q14" i="36"/>
  <c r="Z14" i="36" s="1"/>
  <c r="Q13" i="36"/>
  <c r="Z13" i="36"/>
  <c r="Q12" i="36"/>
  <c r="Z12" i="36"/>
  <c r="Q11" i="36"/>
  <c r="Z11" i="36"/>
  <c r="Q10" i="36"/>
  <c r="Z10" i="36" s="1"/>
  <c r="F10" i="36"/>
  <c r="AA10" i="36" s="1"/>
  <c r="Q9" i="36"/>
  <c r="Z9" i="36" s="1"/>
  <c r="J9" i="36"/>
  <c r="AC9" i="36"/>
  <c r="H9" i="36"/>
  <c r="AB9" i="36"/>
  <c r="F9" i="36"/>
  <c r="AA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H36" i="35" s="1"/>
  <c r="B99" i="35"/>
  <c r="B97" i="35"/>
  <c r="B77" i="35"/>
  <c r="B75" i="35"/>
  <c r="J24" i="35" s="1"/>
  <c r="B73" i="35"/>
  <c r="J23" i="35" s="1"/>
  <c r="B57" i="35"/>
  <c r="B61" i="35"/>
  <c r="B59" i="35"/>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c r="G96" i="35"/>
  <c r="D94" i="35"/>
  <c r="D84" i="35"/>
  <c r="E84" i="35"/>
  <c r="F84" i="35" s="1"/>
  <c r="G84" i="35" s="1"/>
  <c r="H84" i="35" s="1"/>
  <c r="I84" i="35" s="1"/>
  <c r="J84" i="35" s="1"/>
  <c r="K84" i="35" s="1"/>
  <c r="L84" i="35" s="1"/>
  <c r="M84" i="35" s="1"/>
  <c r="D80" i="35"/>
  <c r="D72" i="35"/>
  <c r="D70" i="35"/>
  <c r="E70" i="35" s="1"/>
  <c r="F70" i="35"/>
  <c r="G70" i="35" s="1"/>
  <c r="D66" i="35"/>
  <c r="E66" i="35"/>
  <c r="F66" i="35" s="1"/>
  <c r="G66" i="35" s="1"/>
  <c r="D64" i="35"/>
  <c r="E64" i="35" s="1"/>
  <c r="F64" i="35"/>
  <c r="G64" i="35"/>
  <c r="C53" i="35"/>
  <c r="H9" i="35"/>
  <c r="AB9" i="35" s="1"/>
  <c r="P39" i="35"/>
  <c r="P38" i="35"/>
  <c r="V37" i="35"/>
  <c r="T37" i="35"/>
  <c r="R37" i="35"/>
  <c r="P37" i="35"/>
  <c r="Q36" i="35"/>
  <c r="Z36" i="35" s="1"/>
  <c r="Q35" i="35"/>
  <c r="Z35" i="35"/>
  <c r="Q34" i="35"/>
  <c r="Z34" i="35" s="1"/>
  <c r="Q33" i="35"/>
  <c r="Z33" i="35" s="1"/>
  <c r="Q32" i="35"/>
  <c r="Z32" i="35" s="1"/>
  <c r="H32" i="35"/>
  <c r="AB32" i="35" s="1"/>
  <c r="F32" i="35"/>
  <c r="AA32" i="35"/>
  <c r="Q31" i="35"/>
  <c r="Z31" i="35" s="1"/>
  <c r="AC31" i="35"/>
  <c r="AB31" i="35"/>
  <c r="Q30" i="35"/>
  <c r="Z30" i="35" s="1"/>
  <c r="Q29" i="35"/>
  <c r="Z29" i="35"/>
  <c r="Q28" i="35"/>
  <c r="Z28" i="35"/>
  <c r="J28" i="35"/>
  <c r="H28" i="35"/>
  <c r="F28" i="35"/>
  <c r="AA28" i="35" s="1"/>
  <c r="Q27" i="35"/>
  <c r="Z27" i="35"/>
  <c r="Q26" i="35"/>
  <c r="Z26" i="35"/>
  <c r="Q25" i="35"/>
  <c r="Z25" i="35" s="1"/>
  <c r="Q24" i="35"/>
  <c r="Z24" i="35" s="1"/>
  <c r="Q23" i="35"/>
  <c r="Z23" i="35"/>
  <c r="AC23" i="35"/>
  <c r="Q22" i="35"/>
  <c r="Z22" i="35" s="1"/>
  <c r="Q20" i="35"/>
  <c r="Z20" i="35" s="1"/>
  <c r="Q16" i="35"/>
  <c r="Z16" i="35"/>
  <c r="Q14" i="35"/>
  <c r="Z14" i="35"/>
  <c r="Q13" i="35"/>
  <c r="Z13" i="35" s="1"/>
  <c r="Q12" i="35"/>
  <c r="Z12" i="35" s="1"/>
  <c r="Q11" i="35"/>
  <c r="Z11" i="35" s="1"/>
  <c r="Q10" i="35"/>
  <c r="Z10" i="35" s="1"/>
  <c r="Q9" i="35"/>
  <c r="Z9" i="35"/>
  <c r="J9" i="35"/>
  <c r="W9" i="35"/>
  <c r="F9" i="35"/>
  <c r="AA9" i="35" s="1"/>
  <c r="J8" i="35"/>
  <c r="W8" i="35" s="1"/>
  <c r="H8" i="35"/>
  <c r="F8" i="35"/>
  <c r="AA8" i="35"/>
  <c r="D120" i="34"/>
  <c r="E120" i="34"/>
  <c r="F120" i="34"/>
  <c r="G120" i="34" s="1"/>
  <c r="H120" i="34" s="1"/>
  <c r="I120" i="34" s="1"/>
  <c r="J120" i="34" s="1"/>
  <c r="K120" i="34" s="1"/>
  <c r="L120" i="34" s="1"/>
  <c r="M120" i="34" s="1"/>
  <c r="D90" i="34"/>
  <c r="C15" i="34"/>
  <c r="H10" i="34"/>
  <c r="AB10" i="34" s="1"/>
  <c r="D126" i="34"/>
  <c r="E126" i="34" s="1"/>
  <c r="F126" i="34"/>
  <c r="G126" i="34" s="1"/>
  <c r="D124" i="34"/>
  <c r="E124" i="34"/>
  <c r="F124" i="34" s="1"/>
  <c r="G124" i="34" s="1"/>
  <c r="H124" i="34" s="1"/>
  <c r="I124" i="34" s="1"/>
  <c r="J124" i="34" s="1"/>
  <c r="K124" i="34" s="1"/>
  <c r="L124" i="34" s="1"/>
  <c r="M124" i="34" s="1"/>
  <c r="J43" i="34"/>
  <c r="D118" i="34"/>
  <c r="E118" i="34" s="1"/>
  <c r="F118" i="34" s="1"/>
  <c r="G118" i="34" s="1"/>
  <c r="H40" i="34"/>
  <c r="U40" i="34"/>
  <c r="D116" i="34"/>
  <c r="E116" i="34" s="1"/>
  <c r="F116" i="34"/>
  <c r="G116" i="34" s="1"/>
  <c r="H116" i="34" s="1"/>
  <c r="I116" i="34"/>
  <c r="J116" i="34" s="1"/>
  <c r="K116" i="34"/>
  <c r="L116" i="34"/>
  <c r="M116" i="34" s="1"/>
  <c r="F110" i="34"/>
  <c r="E110" i="34"/>
  <c r="D110" i="34"/>
  <c r="C110" i="34"/>
  <c r="D109" i="34"/>
  <c r="E109" i="34"/>
  <c r="F109" i="34"/>
  <c r="G109" i="34" s="1"/>
  <c r="H109" i="34"/>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s="1"/>
  <c r="AA28" i="34" s="1"/>
  <c r="S28" i="34"/>
  <c r="B89" i="34"/>
  <c r="J27" i="34" s="1"/>
  <c r="D88" i="34"/>
  <c r="E88" i="34" s="1"/>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c r="Q44" i="34"/>
  <c r="Z44" i="34"/>
  <c r="H44" i="34"/>
  <c r="AB44" i="34" s="1"/>
  <c r="Q43" i="34"/>
  <c r="Z43" i="34" s="1"/>
  <c r="F43" i="34"/>
  <c r="AA43" i="34"/>
  <c r="Q42" i="34"/>
  <c r="Z42" i="34"/>
  <c r="Q41" i="34"/>
  <c r="Z41" i="34" s="1"/>
  <c r="Q40" i="34"/>
  <c r="Z40" i="34" s="1"/>
  <c r="F40" i="34"/>
  <c r="S40" i="34"/>
  <c r="Q39" i="34"/>
  <c r="Z39" i="34"/>
  <c r="J39" i="34"/>
  <c r="AC39" i="34" s="1"/>
  <c r="H39" i="34"/>
  <c r="U39" i="34" s="1"/>
  <c r="F39" i="34"/>
  <c r="Q38" i="34"/>
  <c r="Z38" i="34" s="1"/>
  <c r="Q37" i="34"/>
  <c r="Z37" i="34" s="1"/>
  <c r="Q36" i="34"/>
  <c r="Z36" i="34"/>
  <c r="Q35" i="34"/>
  <c r="Z35" i="34" s="1"/>
  <c r="Q34" i="34"/>
  <c r="Z34" i="34" s="1"/>
  <c r="J34" i="34"/>
  <c r="H34" i="34"/>
  <c r="AB34" i="34" s="1"/>
  <c r="F34" i="34"/>
  <c r="Q33" i="34"/>
  <c r="Z33" i="34"/>
  <c r="Q32" i="34"/>
  <c r="Z32" i="34"/>
  <c r="Q31" i="34"/>
  <c r="Z31" i="34" s="1"/>
  <c r="Q30" i="34"/>
  <c r="Z30" i="34" s="1"/>
  <c r="Q29" i="34"/>
  <c r="Z29" i="34"/>
  <c r="Q28" i="34"/>
  <c r="Z28" i="34"/>
  <c r="Q27" i="34"/>
  <c r="Z27" i="34" s="1"/>
  <c r="Q25" i="34"/>
  <c r="Z25" i="34" s="1"/>
  <c r="Q23" i="34"/>
  <c r="Z23" i="34"/>
  <c r="C23" i="34"/>
  <c r="Q19" i="34"/>
  <c r="Z19" i="34" s="1"/>
  <c r="C19" i="34"/>
  <c r="Q17" i="34"/>
  <c r="Z17" i="34" s="1"/>
  <c r="C17" i="34"/>
  <c r="Q15" i="34"/>
  <c r="Z15" i="34" s="1"/>
  <c r="Q14" i="34"/>
  <c r="Z14" i="34" s="1"/>
  <c r="Q13" i="34"/>
  <c r="Z13" i="34"/>
  <c r="Q12" i="34"/>
  <c r="Z12" i="34" s="1"/>
  <c r="Q11" i="34"/>
  <c r="Z11" i="34" s="1"/>
  <c r="Q10" i="34"/>
  <c r="Z10" i="34" s="1"/>
  <c r="F10" i="34"/>
  <c r="S10" i="34" s="1"/>
  <c r="Q9" i="34"/>
  <c r="Z9" i="34" s="1"/>
  <c r="J9" i="34"/>
  <c r="AC9" i="34"/>
  <c r="F9" i="34"/>
  <c r="AA9" i="34" s="1"/>
  <c r="J8" i="34"/>
  <c r="AC8" i="34" s="1"/>
  <c r="H8" i="34"/>
  <c r="U8" i="34"/>
  <c r="F8" i="34"/>
  <c r="AA8"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s="1"/>
  <c r="U27" i="33"/>
  <c r="D87" i="33"/>
  <c r="E87" i="33"/>
  <c r="D85" i="33"/>
  <c r="E85" i="33" s="1"/>
  <c r="D81" i="33"/>
  <c r="E81" i="33" s="1"/>
  <c r="F81" i="33" s="1"/>
  <c r="G81" i="33" s="1"/>
  <c r="D79" i="33"/>
  <c r="E79" i="33"/>
  <c r="D77" i="33"/>
  <c r="E77" i="33" s="1"/>
  <c r="F77" i="33"/>
  <c r="G77" i="33" s="1"/>
  <c r="D69" i="33"/>
  <c r="E69" i="33"/>
  <c r="F69" i="33" s="1"/>
  <c r="G69" i="33" s="1"/>
  <c r="H69" i="33"/>
  <c r="I69" i="33" s="1"/>
  <c r="J69" i="33"/>
  <c r="K69" i="33"/>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s="1"/>
  <c r="Q43" i="33"/>
  <c r="Z43" i="33"/>
  <c r="Q42" i="33"/>
  <c r="Z42" i="33"/>
  <c r="J42" i="33"/>
  <c r="AC42" i="33" s="1"/>
  <c r="Q41" i="33"/>
  <c r="Z41" i="33"/>
  <c r="Q40" i="33"/>
  <c r="Z40" i="33" s="1"/>
  <c r="J40" i="33"/>
  <c r="W40" i="33" s="1"/>
  <c r="H40" i="33"/>
  <c r="AA40" i="33"/>
  <c r="Q39" i="33"/>
  <c r="Z39" i="33"/>
  <c r="J39" i="33"/>
  <c r="AC39" i="33" s="1"/>
  <c r="Q38" i="33"/>
  <c r="Z38" i="33"/>
  <c r="J38" i="33"/>
  <c r="AC38" i="33"/>
  <c r="H38" i="33"/>
  <c r="AB38" i="33"/>
  <c r="F38" i="33"/>
  <c r="Q37" i="33"/>
  <c r="Z37" i="33" s="1"/>
  <c r="Q36" i="33"/>
  <c r="Z36" i="33"/>
  <c r="Q35" i="33"/>
  <c r="Z35" i="33"/>
  <c r="H35" i="33"/>
  <c r="AB35" i="33" s="1"/>
  <c r="Q34" i="33"/>
  <c r="Z34" i="33"/>
  <c r="Q33" i="33"/>
  <c r="Z33" i="33"/>
  <c r="J33" i="33"/>
  <c r="AC33" i="33"/>
  <c r="H33" i="33"/>
  <c r="AB33" i="33" s="1"/>
  <c r="F33" i="33"/>
  <c r="S33" i="33" s="1"/>
  <c r="AA33" i="33"/>
  <c r="Q32" i="33"/>
  <c r="Z32" i="33"/>
  <c r="Q31" i="33"/>
  <c r="Z31" i="33"/>
  <c r="Q30" i="33"/>
  <c r="Z30" i="33" s="1"/>
  <c r="Q29" i="33"/>
  <c r="Z29" i="33"/>
  <c r="Q28" i="33"/>
  <c r="Z28" i="33"/>
  <c r="Q27" i="33"/>
  <c r="Z27" i="33"/>
  <c r="Q26" i="33"/>
  <c r="Z26" i="33" s="1"/>
  <c r="Q25" i="33"/>
  <c r="Z25" i="33" s="1"/>
  <c r="Q23" i="33"/>
  <c r="Z23" i="33"/>
  <c r="Q19" i="33"/>
  <c r="Z19" i="33"/>
  <c r="Q17" i="33"/>
  <c r="Z17" i="33" s="1"/>
  <c r="Q15" i="33"/>
  <c r="Z15" i="33"/>
  <c r="F15" i="33"/>
  <c r="AA15" i="33"/>
  <c r="Q14" i="33"/>
  <c r="Z14" i="33"/>
  <c r="Q13" i="33"/>
  <c r="Z13" i="33" s="1"/>
  <c r="Q12" i="33"/>
  <c r="Z12" i="33" s="1"/>
  <c r="J12" i="33"/>
  <c r="W12" i="33"/>
  <c r="H12" i="33"/>
  <c r="U12" i="33"/>
  <c r="F12" i="33"/>
  <c r="S12" i="33" s="1"/>
  <c r="Q11" i="33"/>
  <c r="Z11" i="33"/>
  <c r="Q10" i="33"/>
  <c r="Z10" i="33"/>
  <c r="Q9" i="33"/>
  <c r="Z9" i="33"/>
  <c r="J9" i="33"/>
  <c r="AC9" i="33" s="1"/>
  <c r="H9" i="33"/>
  <c r="AB9" i="33" s="1"/>
  <c r="F9" i="33"/>
  <c r="AA9" i="33"/>
  <c r="J8" i="33"/>
  <c r="W8" i="33"/>
  <c r="H8" i="33"/>
  <c r="F8" i="33"/>
  <c r="M102" i="21"/>
  <c r="D102" i="21"/>
  <c r="E102" i="21"/>
  <c r="F102" i="21"/>
  <c r="G102" i="21"/>
  <c r="H102" i="21"/>
  <c r="I102" i="21"/>
  <c r="J102" i="21"/>
  <c r="K102" i="21"/>
  <c r="L102" i="21"/>
  <c r="C102" i="21"/>
  <c r="C63" i="21"/>
  <c r="G18" i="20"/>
  <c r="B90" i="46" s="1"/>
  <c r="C25" i="40"/>
  <c r="G16" i="20"/>
  <c r="G15" i="20"/>
  <c r="B83" i="46"/>
  <c r="C24" i="20"/>
  <c r="B75" i="46"/>
  <c r="C21" i="20"/>
  <c r="C20" i="20"/>
  <c r="C18" i="20"/>
  <c r="B73" i="46" s="1"/>
  <c r="C17" i="20"/>
  <c r="B61" i="46" s="1"/>
  <c r="C16" i="20"/>
  <c r="B50" i="46"/>
  <c r="C15" i="20"/>
  <c r="B72" i="46"/>
  <c r="E54" i="21"/>
  <c r="F54" i="21" s="1"/>
  <c r="I54" i="21"/>
  <c r="J54" i="21" s="1"/>
  <c r="G54" i="21"/>
  <c r="H54" i="21"/>
  <c r="D125" i="21"/>
  <c r="E125" i="21"/>
  <c r="F125" i="21" s="1"/>
  <c r="G125" i="21" s="1"/>
  <c r="D123" i="21"/>
  <c r="E123" i="21" s="1"/>
  <c r="F123" i="2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c r="F113" i="21"/>
  <c r="G113" i="21" s="1"/>
  <c r="H113" i="21"/>
  <c r="D110" i="21"/>
  <c r="E110" i="21" s="1"/>
  <c r="F110" i="21"/>
  <c r="G110" i="21" s="1"/>
  <c r="H110" i="21" s="1"/>
  <c r="I110" i="21"/>
  <c r="J110" i="21" s="1"/>
  <c r="K110" i="21"/>
  <c r="L110" i="21" s="1"/>
  <c r="M110" i="21" s="1"/>
  <c r="J36" i="21"/>
  <c r="W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c r="D85" i="21"/>
  <c r="E85" i="21"/>
  <c r="D81" i="21"/>
  <c r="E81" i="21"/>
  <c r="F81" i="21"/>
  <c r="G81" i="21" s="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s="1"/>
  <c r="Q12" i="21"/>
  <c r="Z12" i="21"/>
  <c r="Q13" i="21"/>
  <c r="Z13" i="21"/>
  <c r="Q14" i="21"/>
  <c r="Z14" i="21"/>
  <c r="Q15" i="21"/>
  <c r="Z15" i="21" s="1"/>
  <c r="Q17" i="21"/>
  <c r="Z17" i="21" s="1"/>
  <c r="Q19" i="21"/>
  <c r="Z19" i="21"/>
  <c r="Q23" i="21"/>
  <c r="Z23" i="21"/>
  <c r="Q25" i="21"/>
  <c r="Z25" i="21" s="1"/>
  <c r="Q26" i="21"/>
  <c r="Z26" i="21"/>
  <c r="Q27" i="21"/>
  <c r="Z27" i="21"/>
  <c r="Q28" i="21"/>
  <c r="Z28" i="21"/>
  <c r="Q29" i="21"/>
  <c r="Z29" i="21" s="1"/>
  <c r="Q30" i="21"/>
  <c r="Z30" i="21" s="1"/>
  <c r="Q31" i="21"/>
  <c r="Z31" i="21"/>
  <c r="Q32" i="21"/>
  <c r="Z32" i="21"/>
  <c r="Q33" i="21"/>
  <c r="Z33" i="21" s="1"/>
  <c r="Q34" i="21"/>
  <c r="Z34" i="21"/>
  <c r="J35" i="21"/>
  <c r="W35" i="21"/>
  <c r="Q35" i="21"/>
  <c r="Z35" i="21"/>
  <c r="Q36" i="21"/>
  <c r="Z36" i="21" s="1"/>
  <c r="Q37" i="21"/>
  <c r="Z37" i="21" s="1"/>
  <c r="J38" i="21"/>
  <c r="W38" i="21"/>
  <c r="Q38" i="21"/>
  <c r="Z38" i="21"/>
  <c r="J39" i="21"/>
  <c r="AC39" i="21" s="1"/>
  <c r="Q39" i="21"/>
  <c r="Z39" i="21"/>
  <c r="Q40" i="21"/>
  <c r="Z40" i="21"/>
  <c r="Q41" i="21"/>
  <c r="Z41" i="21"/>
  <c r="Q42" i="21"/>
  <c r="Z42" i="21" s="1"/>
  <c r="J43" i="21"/>
  <c r="AC43" i="21"/>
  <c r="Q43" i="21"/>
  <c r="Z43" i="21"/>
  <c r="Q44" i="21"/>
  <c r="Z44" i="2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c r="H34" i="21"/>
  <c r="U34" i="21" s="1"/>
  <c r="F43" i="21"/>
  <c r="S43" i="21" s="1"/>
  <c r="H38" i="21"/>
  <c r="AB38" i="21" s="1"/>
  <c r="H43" i="21"/>
  <c r="AB43" i="21"/>
  <c r="F32" i="21"/>
  <c r="F38" i="21"/>
  <c r="S38" i="21"/>
  <c r="F36" i="21"/>
  <c r="S36" i="21"/>
  <c r="F39" i="21"/>
  <c r="AA39" i="21" s="1"/>
  <c r="J40" i="21"/>
  <c r="H35" i="21"/>
  <c r="AB35" i="21"/>
  <c r="J8" i="21"/>
  <c r="AC8" i="21"/>
  <c r="J9" i="21"/>
  <c r="AC9" i="21" s="1"/>
  <c r="H8" i="21"/>
  <c r="H10" i="21"/>
  <c r="U10" i="21" s="1"/>
  <c r="H39" i="21"/>
  <c r="AB39" i="21"/>
  <c r="J34" i="21"/>
  <c r="W34" i="21" s="1"/>
  <c r="H36" i="21"/>
  <c r="F35" i="21"/>
  <c r="AA35" i="21"/>
  <c r="J33" i="21"/>
  <c r="W33" i="21"/>
  <c r="H33" i="21"/>
  <c r="U33" i="21" s="1"/>
  <c r="F33" i="21"/>
  <c r="J10" i="21"/>
  <c r="AC10" i="21" s="1"/>
  <c r="H26" i="21"/>
  <c r="F19" i="21"/>
  <c r="AA19" i="21"/>
  <c r="H19" i="21"/>
  <c r="AB19" i="21" s="1"/>
  <c r="J19" i="21"/>
  <c r="W19" i="21" s="1"/>
  <c r="J12" i="21"/>
  <c r="H12" i="21"/>
  <c r="U12" i="21" s="1"/>
  <c r="J26" i="21"/>
  <c r="W26" i="21"/>
  <c r="F26" i="21"/>
  <c r="AA26" i="21"/>
  <c r="AB41" i="21"/>
  <c r="AA41" i="21"/>
  <c r="S10" i="39"/>
  <c r="U30" i="37"/>
  <c r="E103" i="37"/>
  <c r="F103" i="37"/>
  <c r="F39" i="37"/>
  <c r="S39" i="37" s="1"/>
  <c r="F29" i="36"/>
  <c r="AA29" i="36"/>
  <c r="F16" i="36"/>
  <c r="AA16" i="36"/>
  <c r="U22" i="36"/>
  <c r="W23" i="36"/>
  <c r="W22" i="36"/>
  <c r="U26" i="36"/>
  <c r="AC31" i="36"/>
  <c r="J33" i="36"/>
  <c r="W33" i="36" s="1"/>
  <c r="AC27" i="35"/>
  <c r="U31" i="35"/>
  <c r="W31" i="35"/>
  <c r="F36" i="34"/>
  <c r="S36" i="34" s="1"/>
  <c r="W9" i="34"/>
  <c r="W39" i="34"/>
  <c r="H39" i="33"/>
  <c r="AB39" i="33"/>
  <c r="F26" i="33"/>
  <c r="AA26" i="33" s="1"/>
  <c r="U33" i="33"/>
  <c r="W38" i="33"/>
  <c r="S40" i="33"/>
  <c r="W33" i="33"/>
  <c r="U38" i="33"/>
  <c r="S8" i="21"/>
  <c r="W8" i="21"/>
  <c r="H39" i="37"/>
  <c r="AB39" i="37" s="1"/>
  <c r="W10" i="40"/>
  <c r="U36" i="40"/>
  <c r="S40" i="39"/>
  <c r="F11" i="21"/>
  <c r="S11" i="21" s="1"/>
  <c r="AA38" i="21"/>
  <c r="AC35" i="21"/>
  <c r="C29" i="39"/>
  <c r="C23" i="39"/>
  <c r="U36" i="39"/>
  <c r="H32" i="33"/>
  <c r="AB32" i="33" s="1"/>
  <c r="H11" i="21"/>
  <c r="U11" i="21" s="1"/>
  <c r="J11" i="21"/>
  <c r="W11" i="21"/>
  <c r="F85" i="40"/>
  <c r="G85" i="40" s="1"/>
  <c r="J27" i="36"/>
  <c r="W27" i="36"/>
  <c r="W34" i="36"/>
  <c r="J30" i="35"/>
  <c r="W30" i="35"/>
  <c r="F22" i="35"/>
  <c r="AA22" i="35"/>
  <c r="H10" i="35"/>
  <c r="U10" i="35" s="1"/>
  <c r="E85" i="36"/>
  <c r="F85" i="36" s="1"/>
  <c r="G85" i="36" s="1"/>
  <c r="H85" i="36" s="1"/>
  <c r="I85" i="36" s="1"/>
  <c r="J85" i="36" s="1"/>
  <c r="K85" i="36" s="1"/>
  <c r="L85" i="36" s="1"/>
  <c r="M85" i="36" s="1"/>
  <c r="J29" i="36"/>
  <c r="AC29" i="36"/>
  <c r="F12" i="36"/>
  <c r="S12" i="36" s="1"/>
  <c r="F24" i="36"/>
  <c r="AA24" i="36" s="1"/>
  <c r="F34" i="36"/>
  <c r="S34" i="36"/>
  <c r="AB8" i="36"/>
  <c r="H16" i="35"/>
  <c r="U16" i="35" s="1"/>
  <c r="H33" i="35"/>
  <c r="AB33" i="35"/>
  <c r="F35" i="37"/>
  <c r="E101" i="37"/>
  <c r="F101" i="37" s="1"/>
  <c r="G101" i="37" s="1"/>
  <c r="H101" i="37" s="1"/>
  <c r="I101" i="37" s="1"/>
  <c r="J101" i="37" s="1"/>
  <c r="K101" i="37" s="1"/>
  <c r="L101" i="37" s="1"/>
  <c r="M101" i="37" s="1"/>
  <c r="J34" i="37"/>
  <c r="W34" i="37" s="1"/>
  <c r="AA39" i="37"/>
  <c r="H43" i="34"/>
  <c r="E114" i="34"/>
  <c r="H36" i="34"/>
  <c r="U36" i="34"/>
  <c r="F37" i="34"/>
  <c r="AA37" i="34"/>
  <c r="F33" i="34"/>
  <c r="S33" i="34"/>
  <c r="F19" i="34"/>
  <c r="AA19" i="34"/>
  <c r="J10" i="34"/>
  <c r="AC10" i="34" s="1"/>
  <c r="U9" i="34"/>
  <c r="W8" i="34"/>
  <c r="J28" i="34"/>
  <c r="W28" i="34" s="1"/>
  <c r="E113" i="33"/>
  <c r="F113" i="33" s="1"/>
  <c r="G113" i="33" s="1"/>
  <c r="H113" i="33" s="1"/>
  <c r="I113" i="33" s="1"/>
  <c r="J113" i="33" s="1"/>
  <c r="K113" i="33" s="1"/>
  <c r="L113" i="33" s="1"/>
  <c r="M113" i="33" s="1"/>
  <c r="F36" i="33"/>
  <c r="S36" i="33"/>
  <c r="F19" i="33"/>
  <c r="S19" i="33" s="1"/>
  <c r="J19" i="33"/>
  <c r="S10" i="21"/>
  <c r="AB30" i="36"/>
  <c r="AC34" i="36"/>
  <c r="S22" i="35"/>
  <c r="H29" i="35"/>
  <c r="U34" i="37"/>
  <c r="AA34" i="37"/>
  <c r="AC43" i="34"/>
  <c r="AB42" i="34"/>
  <c r="AB40" i="34"/>
  <c r="W36" i="34"/>
  <c r="J19" i="34"/>
  <c r="AC19" i="34" s="1"/>
  <c r="H37" i="33"/>
  <c r="AB37" i="33"/>
  <c r="S37" i="33"/>
  <c r="W43" i="34"/>
  <c r="AC42" i="34"/>
  <c r="W42" i="34"/>
  <c r="AA42" i="34"/>
  <c r="S42" i="34"/>
  <c r="W38" i="34"/>
  <c r="AA38" i="34"/>
  <c r="S38" i="34"/>
  <c r="J37" i="33"/>
  <c r="W37" i="33"/>
  <c r="J42" i="21"/>
  <c r="W42" i="21" s="1"/>
  <c r="AC42" i="21"/>
  <c r="J44" i="34"/>
  <c r="AC44" i="34"/>
  <c r="F44" i="34"/>
  <c r="S44" i="34" s="1"/>
  <c r="J10" i="35"/>
  <c r="W10" i="35" s="1"/>
  <c r="AL5" i="3"/>
  <c r="BQ13" i="3"/>
  <c r="BL572" i="3"/>
  <c r="J14" i="21"/>
  <c r="AC14" i="21" s="1"/>
  <c r="F14" i="21"/>
  <c r="AA14" i="21"/>
  <c r="H14" i="21"/>
  <c r="U14" i="21" s="1"/>
  <c r="H28" i="21"/>
  <c r="AB28" i="21"/>
  <c r="F28" i="21"/>
  <c r="S28" i="21" s="1"/>
  <c r="J28" i="21"/>
  <c r="AC28" i="21" s="1"/>
  <c r="H30" i="21"/>
  <c r="U30" i="21" s="1"/>
  <c r="F30" i="21"/>
  <c r="S30" i="21"/>
  <c r="J30" i="21"/>
  <c r="AC30" i="21" s="1"/>
  <c r="J44" i="21"/>
  <c r="AC44" i="21" s="1"/>
  <c r="H44" i="21"/>
  <c r="U44" i="21"/>
  <c r="F44" i="21"/>
  <c r="AA44" i="21" s="1"/>
  <c r="H46" i="21"/>
  <c r="U46" i="21" s="1"/>
  <c r="AB46" i="21"/>
  <c r="J46" i="21"/>
  <c r="W46" i="21" s="1"/>
  <c r="F46" i="21"/>
  <c r="AA46" i="21"/>
  <c r="H26" i="33"/>
  <c r="U26" i="33" s="1"/>
  <c r="H28" i="33"/>
  <c r="F28" i="33"/>
  <c r="AA28" i="33"/>
  <c r="J28" i="33"/>
  <c r="AC28" i="33" s="1"/>
  <c r="F33" i="35"/>
  <c r="S33" i="35" s="1"/>
  <c r="J33" i="35"/>
  <c r="W33" i="35"/>
  <c r="F30" i="35"/>
  <c r="AA30" i="35"/>
  <c r="E89" i="35"/>
  <c r="F89" i="35" s="1"/>
  <c r="G89" i="35" s="1"/>
  <c r="H89" i="35" s="1"/>
  <c r="I89" i="35" s="1"/>
  <c r="J89" i="35" s="1"/>
  <c r="K89" i="35" s="1"/>
  <c r="L89" i="35" s="1"/>
  <c r="M89" i="35" s="1"/>
  <c r="H10" i="36"/>
  <c r="AB10" i="36" s="1"/>
  <c r="F28" i="36"/>
  <c r="S28" i="36" s="1"/>
  <c r="F27" i="36"/>
  <c r="S27" i="36"/>
  <c r="H13" i="21"/>
  <c r="U13" i="21"/>
  <c r="J13" i="21"/>
  <c r="AC13" i="21" s="1"/>
  <c r="F13" i="21"/>
  <c r="AA13" i="21" s="1"/>
  <c r="H27" i="21"/>
  <c r="AB27" i="21"/>
  <c r="J27" i="21"/>
  <c r="W27" i="21"/>
  <c r="F27" i="21"/>
  <c r="AA27" i="21" s="1"/>
  <c r="J29" i="21"/>
  <c r="AC29" i="21" s="1"/>
  <c r="H29" i="21"/>
  <c r="U29" i="21"/>
  <c r="F29" i="21"/>
  <c r="S29" i="21"/>
  <c r="J31" i="21"/>
  <c r="AC31" i="21" s="1"/>
  <c r="H31" i="21"/>
  <c r="U31" i="21" s="1"/>
  <c r="F31" i="21"/>
  <c r="S31" i="21"/>
  <c r="J45" i="21"/>
  <c r="W45" i="21"/>
  <c r="F45" i="21"/>
  <c r="AA45" i="21" s="1"/>
  <c r="H45" i="21"/>
  <c r="U45" i="21" s="1"/>
  <c r="J27" i="33"/>
  <c r="AC27" i="33"/>
  <c r="F27" i="33"/>
  <c r="AA27" i="33" s="1"/>
  <c r="S27" i="33"/>
  <c r="F13" i="33"/>
  <c r="S13" i="33" s="1"/>
  <c r="J29" i="33"/>
  <c r="W29" i="33" s="1"/>
  <c r="J31" i="33"/>
  <c r="AC31" i="33"/>
  <c r="H31" i="33"/>
  <c r="AB31" i="33" s="1"/>
  <c r="U31" i="33"/>
  <c r="S31" i="33"/>
  <c r="J45" i="33"/>
  <c r="W45" i="33"/>
  <c r="F45" i="33"/>
  <c r="S45" i="33"/>
  <c r="F11" i="35"/>
  <c r="S11" i="35"/>
  <c r="H28" i="36"/>
  <c r="AB28" i="36" s="1"/>
  <c r="H32" i="36"/>
  <c r="AB32" i="36"/>
  <c r="J32" i="36"/>
  <c r="J11" i="36"/>
  <c r="W11" i="36"/>
  <c r="H13" i="36"/>
  <c r="AB13" i="36"/>
  <c r="J13" i="36"/>
  <c r="W13" i="36" s="1"/>
  <c r="F13" i="36"/>
  <c r="S13" i="36" s="1"/>
  <c r="E89" i="37"/>
  <c r="F89" i="37"/>
  <c r="G89" i="37"/>
  <c r="H89" i="37"/>
  <c r="I89" i="37" s="1"/>
  <c r="J89" i="37" s="1"/>
  <c r="K89" i="37" s="1"/>
  <c r="L89" i="37" s="1"/>
  <c r="M89" i="37" s="1"/>
  <c r="J29" i="37"/>
  <c r="W29" i="37"/>
  <c r="F29" i="37"/>
  <c r="AA29" i="37" s="1"/>
  <c r="F105" i="37"/>
  <c r="AB36" i="37"/>
  <c r="F107" i="37"/>
  <c r="J37" i="37"/>
  <c r="AC37" i="37"/>
  <c r="H37" i="37"/>
  <c r="U37" i="37"/>
  <c r="H40" i="37"/>
  <c r="U40" i="37" s="1"/>
  <c r="J40" i="37"/>
  <c r="F40" i="37"/>
  <c r="AA40" i="37"/>
  <c r="H14" i="33"/>
  <c r="U14" i="33"/>
  <c r="F14" i="33"/>
  <c r="AA14" i="33" s="1"/>
  <c r="J14" i="33"/>
  <c r="AC14" i="33"/>
  <c r="H30" i="33"/>
  <c r="AB30" i="33"/>
  <c r="F30" i="33"/>
  <c r="S30" i="33"/>
  <c r="J30" i="33"/>
  <c r="W30" i="33" s="1"/>
  <c r="H44" i="33"/>
  <c r="U44" i="33" s="1"/>
  <c r="J44" i="33"/>
  <c r="AC44" i="33" s="1"/>
  <c r="F44" i="33"/>
  <c r="S44" i="33"/>
  <c r="J46" i="33"/>
  <c r="AC46" i="33"/>
  <c r="F46" i="33"/>
  <c r="S46" i="33" s="1"/>
  <c r="H46" i="33"/>
  <c r="AB46" i="33" s="1"/>
  <c r="H13" i="34"/>
  <c r="U13" i="34"/>
  <c r="J13" i="34"/>
  <c r="W13" i="34"/>
  <c r="F13" i="34"/>
  <c r="AA13" i="34" s="1"/>
  <c r="J29" i="34"/>
  <c r="AC29" i="34" s="1"/>
  <c r="F29" i="34"/>
  <c r="S29" i="34"/>
  <c r="H29" i="34"/>
  <c r="U29" i="34"/>
  <c r="J31" i="34"/>
  <c r="AC31" i="34" s="1"/>
  <c r="H31" i="34"/>
  <c r="AB31" i="34" s="1"/>
  <c r="F31" i="34"/>
  <c r="S31" i="34"/>
  <c r="H45" i="34"/>
  <c r="U45" i="34"/>
  <c r="J45" i="34"/>
  <c r="W45" i="34" s="1"/>
  <c r="F45" i="34"/>
  <c r="AA45" i="34" s="1"/>
  <c r="H47" i="34"/>
  <c r="U47" i="34"/>
  <c r="F47" i="34"/>
  <c r="AA47" i="34"/>
  <c r="J47" i="34"/>
  <c r="AC47" i="34" s="1"/>
  <c r="F13" i="35"/>
  <c r="S13" i="35" s="1"/>
  <c r="J13" i="35"/>
  <c r="AC13" i="35"/>
  <c r="H13" i="35"/>
  <c r="U13" i="35"/>
  <c r="J25" i="35"/>
  <c r="AC25" i="35" s="1"/>
  <c r="F25" i="35"/>
  <c r="AA25" i="35" s="1"/>
  <c r="H25" i="35"/>
  <c r="AB25" i="35"/>
  <c r="J35" i="35"/>
  <c r="W35" i="35" s="1"/>
  <c r="AC35" i="35"/>
  <c r="F35" i="35"/>
  <c r="S35" i="35" s="1"/>
  <c r="H35" i="35"/>
  <c r="U35" i="35" s="1"/>
  <c r="J25" i="36"/>
  <c r="W25" i="36"/>
  <c r="F25" i="36"/>
  <c r="AA25" i="36"/>
  <c r="H25" i="36"/>
  <c r="AB25" i="36" s="1"/>
  <c r="H13" i="37"/>
  <c r="AB13" i="37" s="1"/>
  <c r="F13" i="37"/>
  <c r="S13" i="37"/>
  <c r="J13" i="37"/>
  <c r="AC13" i="37"/>
  <c r="F28" i="37"/>
  <c r="AA28" i="37" s="1"/>
  <c r="J28" i="37"/>
  <c r="AC28" i="37" s="1"/>
  <c r="H28" i="37"/>
  <c r="U28" i="37"/>
  <c r="H38" i="37"/>
  <c r="AB38" i="37"/>
  <c r="J38" i="37"/>
  <c r="AC38" i="37" s="1"/>
  <c r="F38" i="37"/>
  <c r="S38" i="37" s="1"/>
  <c r="F14" i="37"/>
  <c r="AA14" i="37"/>
  <c r="F27" i="37"/>
  <c r="AA27" i="37"/>
  <c r="J14" i="37"/>
  <c r="W14" i="37" s="1"/>
  <c r="J27" i="37"/>
  <c r="W27" i="37" s="1"/>
  <c r="AA38" i="37"/>
  <c r="AB13" i="35"/>
  <c r="W46" i="33"/>
  <c r="U30" i="33"/>
  <c r="J36" i="37"/>
  <c r="AC36" i="37" s="1"/>
  <c r="G105" i="37"/>
  <c r="AB31" i="21"/>
  <c r="AB13" i="21"/>
  <c r="S46" i="21"/>
  <c r="AB30" i="21"/>
  <c r="AA28" i="21"/>
  <c r="AB14" i="21"/>
  <c r="W14" i="21"/>
  <c r="U36" i="37"/>
  <c r="AC13" i="36"/>
  <c r="AB45" i="33"/>
  <c r="AB27"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c r="BA559" i="3"/>
  <c r="AZ559" i="3" s="1"/>
  <c r="BA557" i="3"/>
  <c r="AZ557" i="3" s="1"/>
  <c r="BA555" i="3"/>
  <c r="BA551" i="3"/>
  <c r="BA545" i="3"/>
  <c r="AZ545" i="3" s="1"/>
  <c r="BA543" i="3"/>
  <c r="BA541" i="3"/>
  <c r="AZ541" i="3" s="1"/>
  <c r="BA531" i="3"/>
  <c r="BA521" i="3"/>
  <c r="BA509" i="3"/>
  <c r="BA505" i="3"/>
  <c r="BA501" i="3"/>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G544" i="3"/>
  <c r="G538" i="3"/>
  <c r="G534" i="3"/>
  <c r="G530" i="3"/>
  <c r="G526" i="3"/>
  <c r="G522" i="3"/>
  <c r="BQ540" i="3"/>
  <c r="BL540" i="3"/>
  <c r="BQ538" i="3"/>
  <c r="BL538" i="3" s="1"/>
  <c r="BQ536" i="3"/>
  <c r="BQ534" i="3"/>
  <c r="BL534" i="3" s="1"/>
  <c r="BQ532" i="3"/>
  <c r="BL532" i="3" s="1"/>
  <c r="BQ530" i="3"/>
  <c r="BQ528" i="3"/>
  <c r="BQ526" i="3"/>
  <c r="BL526" i="3" s="1"/>
  <c r="BQ524" i="3"/>
  <c r="BL524" i="3" s="1"/>
  <c r="AZ524" i="3" s="1"/>
  <c r="BQ522" i="3"/>
  <c r="BQ520" i="3"/>
  <c r="BL520" i="3"/>
  <c r="BQ518" i="3"/>
  <c r="BQ516" i="3"/>
  <c r="BL516" i="3" s="1"/>
  <c r="BQ514" i="3"/>
  <c r="BL514" i="3" s="1"/>
  <c r="BQ512" i="3"/>
  <c r="BQ510" i="3"/>
  <c r="BL510" i="3" s="1"/>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c r="E125" i="33"/>
  <c r="F125" i="33"/>
  <c r="G125" i="33" s="1"/>
  <c r="H43" i="33"/>
  <c r="U43" i="33"/>
  <c r="H17" i="37"/>
  <c r="U17" i="37"/>
  <c r="F23" i="37"/>
  <c r="S23" i="37"/>
  <c r="F79" i="37"/>
  <c r="G79" i="37" s="1"/>
  <c r="AB27" i="37"/>
  <c r="F39" i="33"/>
  <c r="AA39" i="33"/>
  <c r="E123" i="33"/>
  <c r="F42" i="33"/>
  <c r="AA42" i="33"/>
  <c r="H28" i="34"/>
  <c r="AB28" i="34"/>
  <c r="F22" i="36"/>
  <c r="S22" i="36" s="1"/>
  <c r="H35" i="34"/>
  <c r="U35" i="34" s="1"/>
  <c r="F41" i="34"/>
  <c r="S41" i="34"/>
  <c r="H41" i="34"/>
  <c r="U41" i="34"/>
  <c r="J41" i="34"/>
  <c r="W41" i="34" s="1"/>
  <c r="F10" i="35"/>
  <c r="AA10" i="35" s="1"/>
  <c r="F24" i="35"/>
  <c r="AA24" i="35"/>
  <c r="H24" i="35"/>
  <c r="AB24" i="35"/>
  <c r="H23" i="37"/>
  <c r="AB23" i="37" s="1"/>
  <c r="J32" i="37"/>
  <c r="AC32" i="37"/>
  <c r="F36" i="37"/>
  <c r="S36" i="37"/>
  <c r="F37" i="37"/>
  <c r="AA37" i="37"/>
  <c r="U23" i="37"/>
  <c r="AC41" i="34"/>
  <c r="F123" i="33"/>
  <c r="G123" i="33"/>
  <c r="H123" i="33" s="1"/>
  <c r="I123" i="33" s="1"/>
  <c r="J123" i="33" s="1"/>
  <c r="K123" i="33" s="1"/>
  <c r="L123" i="33" s="1"/>
  <c r="M123" i="33" s="1"/>
  <c r="H42" i="33"/>
  <c r="U42" i="33"/>
  <c r="J43" i="33"/>
  <c r="AC43" i="33"/>
  <c r="J23" i="37"/>
  <c r="W23" i="37"/>
  <c r="F17" i="37"/>
  <c r="AA17" i="37" s="1"/>
  <c r="AB43" i="33"/>
  <c r="D3" i="21"/>
  <c r="AC33" i="36"/>
  <c r="W23" i="35"/>
  <c r="AC23" i="37"/>
  <c r="S27" i="37"/>
  <c r="U39" i="37"/>
  <c r="AC8" i="37"/>
  <c r="S25" i="37"/>
  <c r="AC36" i="34"/>
  <c r="AB8" i="34"/>
  <c r="AC37" i="33"/>
  <c r="AA13" i="33"/>
  <c r="AC45" i="33"/>
  <c r="AC33" i="21"/>
  <c r="AA36" i="21"/>
  <c r="S39" i="33"/>
  <c r="F43" i="33"/>
  <c r="AA43" i="33"/>
  <c r="AA23" i="37"/>
  <c r="AB44" i="33"/>
  <c r="G107" i="37"/>
  <c r="H107" i="37"/>
  <c r="I107" i="37"/>
  <c r="J107" i="37" s="1"/>
  <c r="K107" i="37" s="1"/>
  <c r="L107" i="37" s="1"/>
  <c r="M107" i="37" s="1"/>
  <c r="F37" i="21"/>
  <c r="S37" i="21"/>
  <c r="J37" i="21"/>
  <c r="W37" i="21" s="1"/>
  <c r="H19" i="34"/>
  <c r="AB19" i="34"/>
  <c r="J10" i="37"/>
  <c r="AC10" i="37" s="1"/>
  <c r="F36" i="35"/>
  <c r="S36" i="35" s="1"/>
  <c r="J9" i="37"/>
  <c r="W9" i="37" s="1"/>
  <c r="H9" i="37"/>
  <c r="U9" i="37"/>
  <c r="F9" i="37"/>
  <c r="S9" i="37"/>
  <c r="F11" i="37"/>
  <c r="S11" i="37" s="1"/>
  <c r="J12" i="37"/>
  <c r="AC12" i="37" s="1"/>
  <c r="H12" i="37"/>
  <c r="U12" i="37" s="1"/>
  <c r="AB12" i="37"/>
  <c r="F12" i="37"/>
  <c r="AA12" i="37"/>
  <c r="H15" i="37"/>
  <c r="U15" i="37" s="1"/>
  <c r="E94" i="37"/>
  <c r="F31" i="37"/>
  <c r="S31" i="37" s="1"/>
  <c r="F94" i="37"/>
  <c r="G94" i="37"/>
  <c r="H94" i="37"/>
  <c r="I94" i="37" s="1"/>
  <c r="J94" i="37" s="1"/>
  <c r="K94" i="37" s="1"/>
  <c r="L94" i="37" s="1"/>
  <c r="M94" i="37" s="1"/>
  <c r="H31" i="37"/>
  <c r="U31" i="37" s="1"/>
  <c r="AB31" i="37"/>
  <c r="J15" i="37"/>
  <c r="W15" i="37" s="1"/>
  <c r="J11" i="37"/>
  <c r="W1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AZ303" i="3" s="1"/>
  <c r="BL303" i="3"/>
  <c r="G304" i="3"/>
  <c r="BA305" i="3"/>
  <c r="G321" i="3"/>
  <c r="BL322" i="3"/>
  <c r="G323" i="3"/>
  <c r="BL324" i="3"/>
  <c r="BA326" i="3"/>
  <c r="AZ326" i="3"/>
  <c r="BA327" i="3"/>
  <c r="BL327" i="3"/>
  <c r="G328" i="3"/>
  <c r="BA329" i="3"/>
  <c r="G337" i="3"/>
  <c r="BL338" i="3"/>
  <c r="G339" i="3"/>
  <c r="BL340" i="3"/>
  <c r="BA342" i="3"/>
  <c r="AZ342" i="3" s="1"/>
  <c r="BA343" i="3"/>
  <c r="BL343" i="3"/>
  <c r="AZ343" i="3" s="1"/>
  <c r="G344" i="3"/>
  <c r="BA345" i="3"/>
  <c r="G353" i="3"/>
  <c r="BL354" i="3"/>
  <c r="AZ354" i="3" s="1"/>
  <c r="G355" i="3"/>
  <c r="BL356" i="3"/>
  <c r="G357" i="3"/>
  <c r="BL358" i="3"/>
  <c r="G359" i="3"/>
  <c r="BA360" i="3"/>
  <c r="BA361" i="3"/>
  <c r="BL361" i="3"/>
  <c r="G362" i="3"/>
  <c r="BA363" i="3"/>
  <c r="AZ363" i="3" s="1"/>
  <c r="G371" i="3"/>
  <c r="BL372" i="3"/>
  <c r="G373" i="3"/>
  <c r="BL374" i="3"/>
  <c r="BA376" i="3"/>
  <c r="BA377" i="3"/>
  <c r="AZ377" i="3" s="1"/>
  <c r="BL377" i="3"/>
  <c r="G378" i="3"/>
  <c r="BA379" i="3"/>
  <c r="BA114" i="3"/>
  <c r="AZ114" i="3" s="1"/>
  <c r="BL115" i="3"/>
  <c r="G116" i="3"/>
  <c r="BA118" i="3"/>
  <c r="BL119" i="3"/>
  <c r="AZ119" i="3" s="1"/>
  <c r="G120" i="3"/>
  <c r="BA122" i="3"/>
  <c r="BL123" i="3"/>
  <c r="G124" i="3"/>
  <c r="BA126" i="3"/>
  <c r="BL127" i="3"/>
  <c r="G128" i="3"/>
  <c r="BA130" i="3"/>
  <c r="AZ130" i="3"/>
  <c r="BL131" i="3"/>
  <c r="G132" i="3"/>
  <c r="BA134" i="3"/>
  <c r="BL135" i="3"/>
  <c r="AZ135" i="3" s="1"/>
  <c r="G136" i="3"/>
  <c r="BA138" i="3"/>
  <c r="AZ138" i="3"/>
  <c r="BL139" i="3"/>
  <c r="G140" i="3"/>
  <c r="BA142" i="3"/>
  <c r="BL143" i="3"/>
  <c r="AZ143" i="3" s="1"/>
  <c r="G144" i="3"/>
  <c r="BA146" i="3"/>
  <c r="AZ146" i="3" s="1"/>
  <c r="BL147" i="3"/>
  <c r="AZ147" i="3" s="1"/>
  <c r="G148" i="3"/>
  <c r="BA150" i="3"/>
  <c r="BL151" i="3"/>
  <c r="AZ151" i="3" s="1"/>
  <c r="BA153" i="3"/>
  <c r="AZ153" i="3"/>
  <c r="BL154" i="3"/>
  <c r="G155" i="3"/>
  <c r="BA157" i="3"/>
  <c r="BL158" i="3"/>
  <c r="G159" i="3"/>
  <c r="BA161" i="3"/>
  <c r="AZ161" i="3"/>
  <c r="BL162" i="3"/>
  <c r="G163" i="3"/>
  <c r="BA165" i="3"/>
  <c r="BL166" i="3"/>
  <c r="G167" i="3"/>
  <c r="BA169" i="3"/>
  <c r="AZ169" i="3"/>
  <c r="BL170" i="3"/>
  <c r="G171" i="3"/>
  <c r="BA173" i="3"/>
  <c r="BL174" i="3"/>
  <c r="AZ174" i="3" s="1"/>
  <c r="G175" i="3"/>
  <c r="BA178" i="3"/>
  <c r="BL179" i="3"/>
  <c r="G180" i="3"/>
  <c r="G537" i="3"/>
  <c r="BL181" i="3"/>
  <c r="G182" i="3"/>
  <c r="BA184" i="3"/>
  <c r="AZ184" i="3"/>
  <c r="BL185" i="3"/>
  <c r="G186" i="3"/>
  <c r="BA188" i="3"/>
  <c r="AZ188" i="3" s="1"/>
  <c r="BL189" i="3"/>
  <c r="AZ189" i="3" s="1"/>
  <c r="G190" i="3"/>
  <c r="BA192" i="3"/>
  <c r="AZ192" i="3" s="1"/>
  <c r="BL193" i="3"/>
  <c r="G194" i="3"/>
  <c r="BA196" i="3"/>
  <c r="AZ196" i="3" s="1"/>
  <c r="BL197" i="3"/>
  <c r="G198" i="3"/>
  <c r="BA200" i="3"/>
  <c r="AZ200" i="3" s="1"/>
  <c r="BL201" i="3"/>
  <c r="G491" i="3"/>
  <c r="BA298" i="3"/>
  <c r="AZ298" i="3"/>
  <c r="BA299" i="3"/>
  <c r="AZ299" i="3" s="1"/>
  <c r="BL299" i="3"/>
  <c r="G300" i="3"/>
  <c r="G303" i="3"/>
  <c r="BL304" i="3"/>
  <c r="BA306" i="3"/>
  <c r="AZ306" i="3"/>
  <c r="BA307" i="3"/>
  <c r="BL307" i="3"/>
  <c r="G308" i="3"/>
  <c r="G319" i="3"/>
  <c r="BL320" i="3"/>
  <c r="BA322" i="3"/>
  <c r="BA323" i="3"/>
  <c r="BL323" i="3"/>
  <c r="G324" i="3"/>
  <c r="G327" i="3"/>
  <c r="BL328" i="3"/>
  <c r="BA330" i="3"/>
  <c r="AZ330" i="3" s="1"/>
  <c r="BA331" i="3"/>
  <c r="BL331" i="3"/>
  <c r="G332" i="3"/>
  <c r="G335" i="3"/>
  <c r="BL336" i="3"/>
  <c r="BA338" i="3"/>
  <c r="AZ338" i="3" s="1"/>
  <c r="BA339" i="3"/>
  <c r="BL339" i="3"/>
  <c r="AZ339" i="3" s="1"/>
  <c r="G340" i="3"/>
  <c r="G343" i="3"/>
  <c r="BL344" i="3"/>
  <c r="BA346" i="3"/>
  <c r="AZ346" i="3" s="1"/>
  <c r="BA347" i="3"/>
  <c r="AZ347" i="3" s="1"/>
  <c r="BL347" i="3"/>
  <c r="G348" i="3"/>
  <c r="G351" i="3"/>
  <c r="BL352" i="3"/>
  <c r="BA354" i="3"/>
  <c r="BA355" i="3"/>
  <c r="BL355" i="3"/>
  <c r="G356" i="3"/>
  <c r="AZ127" i="3"/>
  <c r="BA358" i="3"/>
  <c r="AZ358" i="3" s="1"/>
  <c r="BA359" i="3"/>
  <c r="BL359" i="3"/>
  <c r="G360" i="3"/>
  <c r="G361" i="3"/>
  <c r="BL362" i="3"/>
  <c r="BA364" i="3"/>
  <c r="BA365" i="3"/>
  <c r="BL365" i="3"/>
  <c r="AZ365" i="3" s="1"/>
  <c r="G366" i="3"/>
  <c r="G369" i="3"/>
  <c r="BL370" i="3"/>
  <c r="BA372" i="3"/>
  <c r="AZ372" i="3" s="1"/>
  <c r="BA373" i="3"/>
  <c r="AZ373" i="3" s="1"/>
  <c r="BL373" i="3"/>
  <c r="G374" i="3"/>
  <c r="G377" i="3"/>
  <c r="BL378" i="3"/>
  <c r="BA380" i="3"/>
  <c r="AZ380" i="3" s="1"/>
  <c r="BA381" i="3"/>
  <c r="AZ381" i="3" s="1"/>
  <c r="BL381" i="3"/>
  <c r="G382" i="3"/>
  <c r="G385" i="3"/>
  <c r="AZ166" i="3"/>
  <c r="G523" i="3"/>
  <c r="BL297" i="3"/>
  <c r="AZ297" i="3"/>
  <c r="G298" i="3"/>
  <c r="BA300" i="3"/>
  <c r="AZ300" i="3" s="1"/>
  <c r="BL301" i="3"/>
  <c r="AZ301" i="3"/>
  <c r="G302" i="3"/>
  <c r="BA304" i="3"/>
  <c r="AZ304" i="3" s="1"/>
  <c r="BL305" i="3"/>
  <c r="G306" i="3"/>
  <c r="BA308" i="3"/>
  <c r="AZ308" i="3" s="1"/>
  <c r="BL309" i="3"/>
  <c r="G310" i="3"/>
  <c r="BA310" i="3"/>
  <c r="BL311" i="3"/>
  <c r="AZ311" i="3" s="1"/>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BL341" i="3"/>
  <c r="G342" i="3"/>
  <c r="BA344" i="3"/>
  <c r="BL345" i="3"/>
  <c r="AZ345" i="3" s="1"/>
  <c r="G346" i="3"/>
  <c r="BA348" i="3"/>
  <c r="AZ348" i="3" s="1"/>
  <c r="BL349" i="3"/>
  <c r="G350" i="3"/>
  <c r="BA352" i="3"/>
  <c r="BL353" i="3"/>
  <c r="AZ353" i="3" s="1"/>
  <c r="G354" i="3"/>
  <c r="BA356" i="3"/>
  <c r="AZ356" i="3" s="1"/>
  <c r="BL357" i="3"/>
  <c r="G358" i="3"/>
  <c r="BA362" i="3"/>
  <c r="BL363" i="3"/>
  <c r="G364" i="3"/>
  <c r="BA366" i="3"/>
  <c r="BL367" i="3"/>
  <c r="AZ367" i="3" s="1"/>
  <c r="AZ217" i="3"/>
  <c r="AZ225" i="3"/>
  <c r="AZ321" i="3"/>
  <c r="AZ341" i="3"/>
  <c r="G368" i="3"/>
  <c r="BA370" i="3"/>
  <c r="BL371" i="3"/>
  <c r="G372" i="3"/>
  <c r="BA374" i="3"/>
  <c r="AZ374" i="3" s="1"/>
  <c r="BL375" i="3"/>
  <c r="G376" i="3"/>
  <c r="BA378" i="3"/>
  <c r="AZ378" i="3" s="1"/>
  <c r="BL379" i="3"/>
  <c r="AZ379" i="3"/>
  <c r="G380" i="3"/>
  <c r="BA382" i="3"/>
  <c r="AZ382" i="3" s="1"/>
  <c r="BL383" i="3"/>
  <c r="G384" i="3"/>
  <c r="AZ383" i="3"/>
  <c r="AZ274" i="3"/>
  <c r="AZ331" i="3"/>
  <c r="AZ361" i="3"/>
  <c r="F37" i="46"/>
  <c r="AB16" i="35"/>
  <c r="AA43" i="21"/>
  <c r="U43" i="21"/>
  <c r="AA13" i="40"/>
  <c r="F77" i="40"/>
  <c r="G77" i="40" s="1"/>
  <c r="H77" i="40"/>
  <c r="I77" i="40" s="1"/>
  <c r="J77" i="40" s="1"/>
  <c r="K77" i="40" s="1"/>
  <c r="L77" i="40" s="1"/>
  <c r="M77" i="40" s="1"/>
  <c r="BH5" i="3"/>
  <c r="R16" i="4"/>
  <c r="D3" i="35"/>
  <c r="G4" i="4"/>
  <c r="S37" i="34"/>
  <c r="J16" i="35"/>
  <c r="W16" i="35"/>
  <c r="U42" i="21"/>
  <c r="AC26" i="36"/>
  <c r="W25" i="35"/>
  <c r="AZ322" i="3"/>
  <c r="H13" i="39"/>
  <c r="AB13" i="39" s="1"/>
  <c r="F13" i="39"/>
  <c r="J13" i="39"/>
  <c r="AC13" i="39" s="1"/>
  <c r="AA36" i="35"/>
  <c r="H11" i="37"/>
  <c r="AB11" i="37"/>
  <c r="W37" i="37"/>
  <c r="AA30" i="33"/>
  <c r="AA36" i="37"/>
  <c r="S42" i="33"/>
  <c r="U32" i="33"/>
  <c r="AB17" i="37"/>
  <c r="AZ508" i="3"/>
  <c r="AC29" i="33"/>
  <c r="AA45" i="33"/>
  <c r="AC11" i="36"/>
  <c r="AB45" i="34"/>
  <c r="AC14" i="37"/>
  <c r="AB35" i="35"/>
  <c r="S25" i="35"/>
  <c r="W44" i="33"/>
  <c r="AC29" i="37"/>
  <c r="W32" i="36"/>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c r="H37" i="21"/>
  <c r="U37" i="21"/>
  <c r="F40" i="21"/>
  <c r="S40" i="21" s="1"/>
  <c r="H40" i="21"/>
  <c r="AB40" i="21" s="1"/>
  <c r="E119" i="21"/>
  <c r="F119" i="21"/>
  <c r="G119" i="21" s="1"/>
  <c r="H119" i="21" s="1"/>
  <c r="I119" i="21" s="1"/>
  <c r="J119" i="21" s="1"/>
  <c r="K119" i="21" s="1"/>
  <c r="L119" i="21" s="1"/>
  <c r="M119" i="21" s="1"/>
  <c r="AA8" i="33"/>
  <c r="S8" i="33"/>
  <c r="AC8" i="33"/>
  <c r="F10" i="33"/>
  <c r="AA10" i="33" s="1"/>
  <c r="F11" i="33"/>
  <c r="S11" i="33" s="1"/>
  <c r="J15" i="33"/>
  <c r="W15" i="33"/>
  <c r="H19" i="33"/>
  <c r="AB19" i="33" s="1"/>
  <c r="F32" i="33"/>
  <c r="AA32" i="33"/>
  <c r="J32" i="33"/>
  <c r="AC32" i="33" s="1"/>
  <c r="F35" i="33"/>
  <c r="AA35" i="33"/>
  <c r="AB39" i="34"/>
  <c r="F11" i="34"/>
  <c r="S11" i="34"/>
  <c r="E80" i="34"/>
  <c r="F80" i="34" s="1"/>
  <c r="H17" i="34"/>
  <c r="AB17" i="34" s="1"/>
  <c r="AC27" i="34"/>
  <c r="W27" i="34"/>
  <c r="AB28" i="35"/>
  <c r="U28" i="35"/>
  <c r="J13" i="33"/>
  <c r="W13" i="33" s="1"/>
  <c r="H13" i="33"/>
  <c r="U13" i="33"/>
  <c r="H29" i="33"/>
  <c r="AB29" i="33" s="1"/>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AB46" i="34" s="1"/>
  <c r="F46" i="34"/>
  <c r="AA46" i="34"/>
  <c r="J46" i="34"/>
  <c r="AC46" i="34" s="1"/>
  <c r="H11" i="35"/>
  <c r="J11" i="35"/>
  <c r="AC11" i="35" s="1"/>
  <c r="F96" i="37"/>
  <c r="H32" i="37"/>
  <c r="AB32" i="37"/>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c r="G94" i="35"/>
  <c r="H94" i="35" s="1"/>
  <c r="I94" i="35" s="1"/>
  <c r="J94" i="35" s="1"/>
  <c r="K94" i="35" s="1"/>
  <c r="L94" i="35" s="1"/>
  <c r="M94" i="35" s="1"/>
  <c r="J32" i="35"/>
  <c r="AC32" i="35"/>
  <c r="H11" i="36"/>
  <c r="AB11" i="36"/>
  <c r="F11" i="36"/>
  <c r="S11" i="36" s="1"/>
  <c r="W16" i="36"/>
  <c r="AC16" i="36"/>
  <c r="E78" i="36"/>
  <c r="F78" i="36"/>
  <c r="G78" i="36" s="1"/>
  <c r="H78" i="36" s="1"/>
  <c r="I78" i="36" s="1"/>
  <c r="J78" i="36" s="1"/>
  <c r="K78" i="36" s="1"/>
  <c r="L78" i="36" s="1"/>
  <c r="M78" i="36" s="1"/>
  <c r="F26" i="36"/>
  <c r="S26" i="36" s="1"/>
  <c r="U34" i="36"/>
  <c r="AB34" i="36"/>
  <c r="H33" i="36"/>
  <c r="U33" i="36" s="1"/>
  <c r="F33" i="36"/>
  <c r="AA33" i="36"/>
  <c r="H27" i="36"/>
  <c r="AB27" i="36" s="1"/>
  <c r="AA31" i="36"/>
  <c r="AC25" i="37"/>
  <c r="AB29" i="37"/>
  <c r="AA30" i="37"/>
  <c r="S30" i="37"/>
  <c r="AC30" i="37"/>
  <c r="AC31" i="37"/>
  <c r="W31" i="37"/>
  <c r="AB14" i="37"/>
  <c r="F17" i="39"/>
  <c r="AA17" i="39" s="1"/>
  <c r="H17" i="39"/>
  <c r="U17" i="39"/>
  <c r="J17" i="39"/>
  <c r="W17" i="39" s="1"/>
  <c r="F21" i="39"/>
  <c r="S21" i="39" s="1"/>
  <c r="H21" i="39"/>
  <c r="J21" i="39"/>
  <c r="W21" i="39" s="1"/>
  <c r="F33" i="39"/>
  <c r="H33" i="39"/>
  <c r="U33" i="39" s="1"/>
  <c r="J33" i="39"/>
  <c r="F44" i="39"/>
  <c r="S44" i="39"/>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AC39" i="39" s="1"/>
  <c r="J29" i="35"/>
  <c r="AC29" i="35"/>
  <c r="F29" i="35"/>
  <c r="S29" i="35" s="1"/>
  <c r="W30" i="36"/>
  <c r="AC30" i="36"/>
  <c r="F37" i="39"/>
  <c r="S37" i="39"/>
  <c r="H37" i="39"/>
  <c r="U37" i="39"/>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AZ549" i="3" s="1"/>
  <c r="BL548" i="3"/>
  <c r="BA548" i="3"/>
  <c r="BL547" i="3"/>
  <c r="BA547" i="3"/>
  <c r="BL539" i="3"/>
  <c r="BA539" i="3"/>
  <c r="AZ539" i="3" s="1"/>
  <c r="BA538" i="3"/>
  <c r="AZ538" i="3" s="1"/>
  <c r="BL537" i="3"/>
  <c r="BA537" i="3"/>
  <c r="BL536" i="3"/>
  <c r="AZ536" i="3" s="1"/>
  <c r="BA535" i="3"/>
  <c r="AZ535" i="3" s="1"/>
  <c r="BA534" i="3"/>
  <c r="BA533" i="3"/>
  <c r="AZ533" i="3" s="1"/>
  <c r="BL531" i="3"/>
  <c r="AZ531" i="3" s="1"/>
  <c r="BL530" i="3"/>
  <c r="BA530" i="3"/>
  <c r="AZ530" i="3" s="1"/>
  <c r="BL529" i="3"/>
  <c r="BA529" i="3"/>
  <c r="AZ529" i="3" s="1"/>
  <c r="BL528" i="3"/>
  <c r="AZ528" i="3"/>
  <c r="BA527" i="3"/>
  <c r="AZ527" i="3" s="1"/>
  <c r="BA526" i="3"/>
  <c r="BA525" i="3"/>
  <c r="AZ525" i="3" s="1"/>
  <c r="BL523" i="3"/>
  <c r="BA523" i="3"/>
  <c r="BL522" i="3"/>
  <c r="BA522" i="3"/>
  <c r="AZ522" i="3" s="1"/>
  <c r="BL521" i="3"/>
  <c r="AZ521" i="3"/>
  <c r="BA519" i="3"/>
  <c r="AZ519" i="3"/>
  <c r="BL518" i="3"/>
  <c r="BA518" i="3"/>
  <c r="BL517" i="3"/>
  <c r="BA517" i="3"/>
  <c r="AZ517" i="3" s="1"/>
  <c r="BL515" i="3"/>
  <c r="AZ515" i="3" s="1"/>
  <c r="BA515" i="3"/>
  <c r="BA514" i="3"/>
  <c r="BL513" i="3"/>
  <c r="BA513" i="3"/>
  <c r="AZ513" i="3" s="1"/>
  <c r="BL512" i="3"/>
  <c r="AZ512" i="3" s="1"/>
  <c r="BA511" i="3"/>
  <c r="AZ511" i="3" s="1"/>
  <c r="BA510" i="3"/>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G494" i="3"/>
  <c r="BA491" i="3"/>
  <c r="AZ491" i="3" s="1"/>
  <c r="BL490" i="3"/>
  <c r="BA490" i="3"/>
  <c r="AZ490" i="3" s="1"/>
  <c r="BL489" i="3"/>
  <c r="BA489" i="3"/>
  <c r="BL487" i="3"/>
  <c r="AZ487" i="3" s="1"/>
  <c r="BL486" i="3"/>
  <c r="AZ486" i="3" s="1"/>
  <c r="BA486" i="3"/>
  <c r="BA485" i="3"/>
  <c r="AZ485" i="3" s="1"/>
  <c r="BA483" i="3"/>
  <c r="AZ483" i="3" s="1"/>
  <c r="BA482" i="3"/>
  <c r="AZ482" i="3" s="1"/>
  <c r="BL481" i="3"/>
  <c r="BJ5" i="3"/>
  <c r="BA481" i="3"/>
  <c r="BB5" i="3"/>
  <c r="BL19" i="3"/>
  <c r="AZ19" i="3"/>
  <c r="BA18" i="3"/>
  <c r="F114" i="34"/>
  <c r="G114" i="34" s="1"/>
  <c r="H114" i="34" s="1"/>
  <c r="I114" i="34" s="1"/>
  <c r="J114" i="34" s="1"/>
  <c r="K114" i="34" s="1"/>
  <c r="L114" i="34" s="1"/>
  <c r="M114" i="34" s="1"/>
  <c r="H38" i="34"/>
  <c r="U38" i="34"/>
  <c r="H30" i="40"/>
  <c r="AB30" i="40" s="1"/>
  <c r="G99" i="40"/>
  <c r="J30" i="40"/>
  <c r="AC30" i="40" s="1"/>
  <c r="F38" i="40"/>
  <c r="AA38" i="40" s="1"/>
  <c r="AA36" i="34"/>
  <c r="AC12" i="21"/>
  <c r="W12" i="21"/>
  <c r="AB33" i="21"/>
  <c r="S35" i="21"/>
  <c r="AB10" i="21"/>
  <c r="U8" i="21"/>
  <c r="AB8" i="21"/>
  <c r="S34" i="21"/>
  <c r="AC36" i="21"/>
  <c r="AB8" i="33"/>
  <c r="U8" i="33"/>
  <c r="E106" i="33"/>
  <c r="H34" i="33"/>
  <c r="U34" i="33"/>
  <c r="F34" i="33"/>
  <c r="S34" i="33" s="1"/>
  <c r="E121" i="33"/>
  <c r="F41" i="33"/>
  <c r="S41" i="33" s="1"/>
  <c r="AC34" i="34"/>
  <c r="W34" i="34"/>
  <c r="AA39" i="34"/>
  <c r="S39" i="34"/>
  <c r="S43" i="34"/>
  <c r="E78" i="34"/>
  <c r="F15" i="34"/>
  <c r="AC28" i="35"/>
  <c r="W28" i="35"/>
  <c r="J20" i="35"/>
  <c r="AC20" i="35"/>
  <c r="E72" i="35"/>
  <c r="F72" i="35" s="1"/>
  <c r="G72" i="35" s="1"/>
  <c r="H22" i="35"/>
  <c r="AB22" i="35" s="1"/>
  <c r="H23" i="35"/>
  <c r="AB23" i="35" s="1"/>
  <c r="F23" i="35"/>
  <c r="AA23" i="35"/>
  <c r="AB36" i="35"/>
  <c r="U36" i="35"/>
  <c r="U31" i="36"/>
  <c r="S8" i="37"/>
  <c r="AA8" i="37"/>
  <c r="F14" i="39"/>
  <c r="AA14" i="39" s="1"/>
  <c r="H14" i="39"/>
  <c r="AB14" i="39" s="1"/>
  <c r="J14" i="39"/>
  <c r="AC14" i="39" s="1"/>
  <c r="F16" i="39"/>
  <c r="AA16" i="39" s="1"/>
  <c r="H16" i="39"/>
  <c r="AB16" i="39" s="1"/>
  <c r="J16" i="39"/>
  <c r="AC16" i="39" s="1"/>
  <c r="F23" i="39"/>
  <c r="AA23" i="39" s="1"/>
  <c r="E96" i="39"/>
  <c r="F27" i="39"/>
  <c r="AA27" i="39" s="1"/>
  <c r="H27" i="39"/>
  <c r="AB27" i="39" s="1"/>
  <c r="J27" i="39"/>
  <c r="AC27" i="39" s="1"/>
  <c r="F15" i="40"/>
  <c r="AA15" i="40" s="1"/>
  <c r="J15" i="40"/>
  <c r="W15" i="40" s="1"/>
  <c r="H15" i="40"/>
  <c r="AB15" i="40" s="1"/>
  <c r="E91" i="40"/>
  <c r="F91" i="40" s="1"/>
  <c r="G91" i="40" s="1"/>
  <c r="H23" i="40"/>
  <c r="U23" i="40" s="1"/>
  <c r="H41" i="40"/>
  <c r="AB41" i="40" s="1"/>
  <c r="F41" i="40"/>
  <c r="J41" i="40"/>
  <c r="AC41" i="40" s="1"/>
  <c r="H36" i="33"/>
  <c r="AB36" i="33" s="1"/>
  <c r="H37" i="34"/>
  <c r="F15" i="39"/>
  <c r="AA15" i="39" s="1"/>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c r="J16" i="40"/>
  <c r="W16" i="40" s="1"/>
  <c r="J14" i="40"/>
  <c r="W14" i="40" s="1"/>
  <c r="H42" i="40"/>
  <c r="AB42" i="40" s="1"/>
  <c r="H40" i="40"/>
  <c r="U40" i="40" s="1"/>
  <c r="H34" i="40"/>
  <c r="U34" i="40" s="1"/>
  <c r="B41" i="1"/>
  <c r="M20" i="44" s="1"/>
  <c r="J42" i="40"/>
  <c r="AC42" i="40" s="1"/>
  <c r="J40" i="40"/>
  <c r="W40" i="40" s="1"/>
  <c r="AC40" i="40"/>
  <c r="J34" i="40"/>
  <c r="AC34" i="40" s="1"/>
  <c r="H16" i="40"/>
  <c r="U16" i="40" s="1"/>
  <c r="H14" i="40"/>
  <c r="U14" i="40"/>
  <c r="F32" i="40"/>
  <c r="AA32" i="40"/>
  <c r="F61" i="46"/>
  <c r="AZ137" i="3"/>
  <c r="AZ152" i="3"/>
  <c r="F72" i="46"/>
  <c r="H74" i="46" s="1"/>
  <c r="AZ63" i="3"/>
  <c r="J13" i="40"/>
  <c r="W13" i="40" s="1"/>
  <c r="AB14" i="40"/>
  <c r="AC14" i="40"/>
  <c r="S33" i="40"/>
  <c r="S47" i="39"/>
  <c r="U37" i="34"/>
  <c r="AB37" i="34"/>
  <c r="J23" i="40"/>
  <c r="W23" i="40" s="1"/>
  <c r="F23" i="40"/>
  <c r="S23" i="40" s="1"/>
  <c r="AC15" i="40"/>
  <c r="W14" i="39"/>
  <c r="H20" i="35"/>
  <c r="F20" i="35"/>
  <c r="S20" i="35"/>
  <c r="H15" i="34"/>
  <c r="AB15" i="34" s="1"/>
  <c r="F78" i="34"/>
  <c r="G78" i="34"/>
  <c r="J15" i="34"/>
  <c r="H41" i="33"/>
  <c r="U41" i="33" s="1"/>
  <c r="F121" i="33"/>
  <c r="G121" i="33"/>
  <c r="H121" i="33"/>
  <c r="I121" i="33" s="1"/>
  <c r="J121" i="33" s="1"/>
  <c r="K121" i="33" s="1"/>
  <c r="L121" i="33" s="1"/>
  <c r="M121" i="33" s="1"/>
  <c r="F30" i="40"/>
  <c r="AA30" i="40" s="1"/>
  <c r="H99" i="40"/>
  <c r="I99" i="40" s="1"/>
  <c r="J99" i="40" s="1"/>
  <c r="K99" i="40" s="1"/>
  <c r="L99" i="40" s="1"/>
  <c r="M99" i="40" s="1"/>
  <c r="AB38" i="34"/>
  <c r="AZ497" i="3"/>
  <c r="AZ547" i="3"/>
  <c r="AB37" i="39"/>
  <c r="AA29" i="35"/>
  <c r="U39" i="39"/>
  <c r="J29" i="39"/>
  <c r="AC29" i="39" s="1"/>
  <c r="AB21" i="39"/>
  <c r="U21" i="39"/>
  <c r="AB17" i="39"/>
  <c r="AB33" i="36"/>
  <c r="AA11" i="36"/>
  <c r="AA14" i="35"/>
  <c r="S14" i="35"/>
  <c r="G99" i="37"/>
  <c r="H99" i="37" s="1"/>
  <c r="I99" i="37" s="1"/>
  <c r="J99" i="37" s="1"/>
  <c r="K99" i="37" s="1"/>
  <c r="L99" i="37" s="1"/>
  <c r="M99" i="37" s="1"/>
  <c r="F33" i="37"/>
  <c r="AB19" i="39"/>
  <c r="U19" i="39"/>
  <c r="U46" i="34"/>
  <c r="AC30" i="34"/>
  <c r="AA14" i="34"/>
  <c r="W12" i="34"/>
  <c r="U29" i="33"/>
  <c r="AC13" i="33"/>
  <c r="U17" i="34"/>
  <c r="AA11" i="34"/>
  <c r="W32" i="33"/>
  <c r="H15" i="33"/>
  <c r="U15" i="33" s="1"/>
  <c r="AA11" i="33"/>
  <c r="AA40" i="21"/>
  <c r="U17" i="21"/>
  <c r="S13" i="39"/>
  <c r="AA13" i="39"/>
  <c r="W34" i="40"/>
  <c r="AB34" i="40"/>
  <c r="U42" i="40"/>
  <c r="AC16" i="40"/>
  <c r="W32" i="40"/>
  <c r="H25" i="40"/>
  <c r="AB25" i="40" s="1"/>
  <c r="F93" i="40"/>
  <c r="G93" i="40"/>
  <c r="U47" i="39"/>
  <c r="W15" i="39"/>
  <c r="J37" i="34"/>
  <c r="AC37" i="34"/>
  <c r="J36" i="33"/>
  <c r="W36" i="33" s="1"/>
  <c r="U27" i="39"/>
  <c r="H23" i="39"/>
  <c r="AB23" i="39" s="1"/>
  <c r="J23" i="39"/>
  <c r="AC23" i="39"/>
  <c r="F96" i="39"/>
  <c r="G96" i="39" s="1"/>
  <c r="S16" i="39"/>
  <c r="S15" i="34"/>
  <c r="AA15" i="34"/>
  <c r="AA41" i="33"/>
  <c r="AA34" i="33"/>
  <c r="F106" i="33"/>
  <c r="G106" i="33"/>
  <c r="H106" i="33" s="1"/>
  <c r="I106" i="33"/>
  <c r="J106" i="33" s="1"/>
  <c r="K106" i="33" s="1"/>
  <c r="L106" i="33" s="1"/>
  <c r="M106" i="33" s="1"/>
  <c r="J34" i="33"/>
  <c r="AC34" i="33" s="1"/>
  <c r="U30" i="40"/>
  <c r="AA37" i="39"/>
  <c r="W29" i="35"/>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c r="AC43" i="39"/>
  <c r="W43" i="39"/>
  <c r="AA43" i="39"/>
  <c r="S43" i="39"/>
  <c r="AA19" i="39"/>
  <c r="G96" i="37"/>
  <c r="H96" i="37"/>
  <c r="I96" i="37"/>
  <c r="J96" i="37" s="1"/>
  <c r="K96" i="37" s="1"/>
  <c r="L96" i="37" s="1"/>
  <c r="M96" i="37" s="1"/>
  <c r="F32" i="37"/>
  <c r="S32" i="37"/>
  <c r="U11" i="35"/>
  <c r="AB11" i="35"/>
  <c r="S46" i="34"/>
  <c r="U32" i="34"/>
  <c r="U14" i="34"/>
  <c r="AC14" i="34"/>
  <c r="U12" i="34"/>
  <c r="AB13" i="33"/>
  <c r="G80" i="34"/>
  <c r="F17" i="34"/>
  <c r="AA17" i="34" s="1"/>
  <c r="J17" i="34"/>
  <c r="AC17" i="34"/>
  <c r="H11" i="34"/>
  <c r="AB11" i="34" s="1"/>
  <c r="J35" i="33"/>
  <c r="W35" i="33" s="1"/>
  <c r="S32" i="33"/>
  <c r="AC15" i="33"/>
  <c r="H11" i="33"/>
  <c r="U11" i="33" s="1"/>
  <c r="H10" i="33"/>
  <c r="U10" i="33" s="1"/>
  <c r="J10" i="33"/>
  <c r="W10" i="33" s="1"/>
  <c r="U40" i="21"/>
  <c r="U11" i="37"/>
  <c r="U13" i="39"/>
  <c r="AC16" i="35"/>
  <c r="J11" i="34"/>
  <c r="W11" i="34"/>
  <c r="F25" i="40"/>
  <c r="AA25" i="40" s="1"/>
  <c r="J11" i="33"/>
  <c r="W11" i="33"/>
  <c r="H33" i="37"/>
  <c r="AB33" i="37" s="1"/>
  <c r="W15" i="34"/>
  <c r="AC15" i="34"/>
  <c r="U20" i="35"/>
  <c r="AB20" i="35"/>
  <c r="B11" i="1"/>
  <c r="E11" i="1" s="1"/>
  <c r="K11" i="1"/>
  <c r="M11" i="1" s="1"/>
  <c r="B9" i="1"/>
  <c r="E9" i="1" s="1"/>
  <c r="K9" i="1"/>
  <c r="M9" i="1" s="1"/>
  <c r="B7" i="1"/>
  <c r="E7" i="1" s="1"/>
  <c r="K7" i="1"/>
  <c r="M7" i="1" s="1"/>
  <c r="AC25" i="36"/>
  <c r="S23" i="36"/>
  <c r="S8" i="36"/>
  <c r="AA26" i="36"/>
  <c r="AA28" i="36"/>
  <c r="U25" i="36"/>
  <c r="H20" i="36"/>
  <c r="U20" i="36" s="1"/>
  <c r="F68" i="36"/>
  <c r="G68" i="36"/>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AA26" i="35" s="1"/>
  <c r="H26" i="35"/>
  <c r="AB9" i="37"/>
  <c r="W12" i="37"/>
  <c r="AA9" i="37"/>
  <c r="S17" i="37"/>
  <c r="W28" i="37"/>
  <c r="AB37" i="37"/>
  <c r="AA31" i="37"/>
  <c r="S33" i="37"/>
  <c r="AA33" i="37"/>
  <c r="U32" i="37"/>
  <c r="AA32" i="37"/>
  <c r="J33" i="37"/>
  <c r="W33"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AC25" i="33" s="1"/>
  <c r="F87" i="33"/>
  <c r="G87" i="33"/>
  <c r="H87" i="33" s="1"/>
  <c r="I87" i="33" s="1"/>
  <c r="J87" i="33" s="1"/>
  <c r="K87" i="33" s="1"/>
  <c r="L87" i="33" s="1"/>
  <c r="M87" i="33" s="1"/>
  <c r="F25" i="33"/>
  <c r="F85" i="33"/>
  <c r="G85" i="33" s="1"/>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c r="F23" i="21"/>
  <c r="AA23" i="21" s="1"/>
  <c r="H23" i="21"/>
  <c r="AA17" i="21"/>
  <c r="W17" i="21"/>
  <c r="F15" i="21"/>
  <c r="S15" i="21" s="1"/>
  <c r="F77" i="21"/>
  <c r="G77" i="21"/>
  <c r="J15" i="21"/>
  <c r="AC15" i="21" s="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U37" i="40" s="1"/>
  <c r="G112" i="40"/>
  <c r="H112" i="40" s="1"/>
  <c r="I112" i="40" s="1"/>
  <c r="J112" i="40" s="1"/>
  <c r="K112" i="40" s="1"/>
  <c r="L112" i="40" s="1"/>
  <c r="M112" i="40" s="1"/>
  <c r="F39" i="40"/>
  <c r="S38" i="40"/>
  <c r="H39" i="40"/>
  <c r="AB39" i="40" s="1"/>
  <c r="J39" i="40"/>
  <c r="W38" i="40"/>
  <c r="F29" i="40"/>
  <c r="S29" i="40" s="1"/>
  <c r="H29" i="40"/>
  <c r="U29" i="40" s="1"/>
  <c r="J29" i="40"/>
  <c r="F97" i="40"/>
  <c r="G97" i="40" s="1"/>
  <c r="H97" i="40" s="1"/>
  <c r="I97" i="40" s="1"/>
  <c r="J97" i="40" s="1"/>
  <c r="K97" i="40" s="1"/>
  <c r="L97" i="40" s="1"/>
  <c r="M97" i="40" s="1"/>
  <c r="S30" i="40"/>
  <c r="S25" i="40"/>
  <c r="AA23" i="40"/>
  <c r="F87" i="40"/>
  <c r="G87" i="40"/>
  <c r="F19" i="40"/>
  <c r="AA19" i="40" s="1"/>
  <c r="H19" i="40"/>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D96" i="9"/>
  <c r="M18" i="15"/>
  <c r="BA16" i="3"/>
  <c r="BA17" i="3"/>
  <c r="AZ17" i="3" s="1"/>
  <c r="F3" i="35"/>
  <c r="K1" i="43"/>
  <c r="K1" i="12"/>
  <c r="G1" i="44"/>
  <c r="I4" i="6"/>
  <c r="G3" i="46" s="1"/>
  <c r="Z7" i="46" s="1"/>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7" i="46"/>
  <c r="G87" i="46" s="1"/>
  <c r="AA12" i="36"/>
  <c r="W11" i="35"/>
  <c r="AA11" i="35"/>
  <c r="S14" i="37"/>
  <c r="U13" i="37"/>
  <c r="S13" i="21"/>
  <c r="C24" i="9"/>
  <c r="C25" i="9"/>
  <c r="B46" i="50"/>
  <c r="B4" i="63" s="1"/>
  <c r="H85" i="46"/>
  <c r="G85" i="46" s="1"/>
  <c r="H88" i="46"/>
  <c r="G88" i="46" s="1"/>
  <c r="K10" i="1"/>
  <c r="M10" i="1" s="1"/>
  <c r="S13" i="1"/>
  <c r="R13" i="1"/>
  <c r="B6" i="1"/>
  <c r="E6" i="1" s="1"/>
  <c r="B10" i="1"/>
  <c r="E10" i="1" s="1"/>
  <c r="B8" i="1"/>
  <c r="E8" i="1" s="1"/>
  <c r="B12" i="1"/>
  <c r="E12" i="1" s="1"/>
  <c r="K6" i="1"/>
  <c r="M6" i="1" s="1"/>
  <c r="G1" i="15"/>
  <c r="F66" i="36"/>
  <c r="H18" i="36"/>
  <c r="U18" i="36" s="1"/>
  <c r="U16" i="36"/>
  <c r="S25" i="36"/>
  <c r="AA34" i="36"/>
  <c r="U23" i="36"/>
  <c r="AC27" i="36"/>
  <c r="W28" i="36"/>
  <c r="AA32" i="36"/>
  <c r="U13" i="36"/>
  <c r="AA22"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A15" i="21"/>
  <c r="AC27" i="21"/>
  <c r="W29" i="21"/>
  <c r="G95" i="40"/>
  <c r="J27" i="40"/>
  <c r="W27" i="40" s="1"/>
  <c r="W37" i="40"/>
  <c r="W30" i="40"/>
  <c r="S34" i="40"/>
  <c r="U38"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AB18" i="36"/>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U15" i="21"/>
  <c r="AB15" i="21"/>
  <c r="U39" i="40"/>
  <c r="AC39" i="40"/>
  <c r="W39" i="40"/>
  <c r="AA39" i="40"/>
  <c r="S39" i="40"/>
  <c r="AB37" i="40"/>
  <c r="AA37" i="40"/>
  <c r="S37" i="40"/>
  <c r="AC29" i="40"/>
  <c r="W29" i="40"/>
  <c r="W19" i="40"/>
  <c r="AC19" i="40"/>
  <c r="AB19" i="40"/>
  <c r="U19" i="40"/>
  <c r="B20" i="31"/>
  <c r="R22" i="31"/>
  <c r="B21" i="31" s="1"/>
  <c r="AT6" i="3"/>
  <c r="AZ16" i="3"/>
  <c r="E4" i="4"/>
  <c r="B21" i="55" s="1"/>
  <c r="B72" i="63" s="1"/>
  <c r="G66" i="36"/>
  <c r="J18" i="36"/>
  <c r="AC18" i="36" s="1"/>
  <c r="L20" i="6"/>
  <c r="C45" i="9"/>
  <c r="B7" i="66" s="1"/>
  <c r="C44" i="9"/>
  <c r="B6" i="66" s="1"/>
  <c r="K29" i="9"/>
  <c r="K30" i="9"/>
  <c r="N76" i="9"/>
  <c r="C46" i="9"/>
  <c r="K33" i="9"/>
  <c r="O41" i="9"/>
  <c r="R8" i="54" s="1"/>
  <c r="B54" i="63" s="1"/>
  <c r="B8" i="66"/>
  <c r="H61" i="46"/>
  <c r="J21" i="46"/>
  <c r="F38" i="46"/>
  <c r="F41" i="46"/>
  <c r="F40" i="46"/>
  <c r="H117" i="46"/>
  <c r="D24" i="59"/>
  <c r="C23" i="59"/>
  <c r="D23" i="59"/>
  <c r="U21" i="59"/>
  <c r="F24" i="59"/>
  <c r="F23" i="59"/>
  <c r="F22" i="59"/>
  <c r="F21" i="59"/>
  <c r="F20" i="59" s="1"/>
  <c r="F19" i="59" s="1"/>
  <c r="F18" i="59" s="1"/>
  <c r="F17"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c r="C20" i="59" s="1"/>
  <c r="C19" i="59" s="1"/>
  <c r="C18" i="59" s="1"/>
  <c r="T21" i="59"/>
  <c r="D22" i="59"/>
  <c r="D20" i="59"/>
  <c r="D19" i="59"/>
  <c r="N6" i="65"/>
  <c r="C20" i="9"/>
  <c r="N7" i="65"/>
  <c r="B9" i="67"/>
  <c r="F15" i="44"/>
  <c r="B10" i="67"/>
  <c r="N3" i="65"/>
  <c r="F43" i="44"/>
  <c r="D19" i="9"/>
  <c r="M25" i="44"/>
  <c r="M11" i="44"/>
  <c r="M6" i="15"/>
  <c r="F10" i="44"/>
  <c r="E10" i="67"/>
  <c r="F40" i="15"/>
  <c r="J3" i="65"/>
  <c r="F9" i="15"/>
  <c r="I5" i="65"/>
  <c r="E14" i="67"/>
  <c r="M31" i="44"/>
  <c r="F12" i="67"/>
  <c r="F6" i="15"/>
  <c r="F43" i="15"/>
  <c r="M26" i="15"/>
  <c r="L48" i="44"/>
  <c r="E8" i="67"/>
  <c r="C21" i="9"/>
  <c r="J15" i="15"/>
  <c r="M22" i="15"/>
  <c r="N5" i="65"/>
  <c r="M30" i="44"/>
  <c r="F14" i="67"/>
  <c r="J6" i="65"/>
  <c r="J17" i="44"/>
  <c r="D20" i="9"/>
  <c r="F8" i="44"/>
  <c r="N4" i="65"/>
  <c r="F11" i="67"/>
  <c r="M28" i="15"/>
  <c r="D21" i="9"/>
  <c r="F9" i="67"/>
  <c r="F7" i="15"/>
  <c r="F37" i="15"/>
  <c r="M10" i="44"/>
  <c r="M8" i="44"/>
  <c r="J36" i="15"/>
  <c r="F16" i="15"/>
  <c r="M8" i="15"/>
  <c r="F13" i="15"/>
  <c r="F28" i="44"/>
  <c r="F8" i="67"/>
  <c r="E11" i="67"/>
  <c r="F40" i="44"/>
  <c r="F10" i="67"/>
  <c r="I7" i="65"/>
  <c r="C19" i="9"/>
  <c r="B14" i="67"/>
  <c r="I4" i="65"/>
  <c r="B8" i="67"/>
  <c r="F11" i="44"/>
  <c r="M26" i="44"/>
  <c r="B13" i="67"/>
  <c r="J5" i="65"/>
  <c r="J4" i="65"/>
  <c r="B12" i="67"/>
  <c r="F9" i="44"/>
  <c r="F18" i="44"/>
  <c r="F45" i="44"/>
  <c r="M24" i="15"/>
  <c r="F36" i="15"/>
  <c r="M9" i="15"/>
  <c r="J7" i="65"/>
  <c r="F39" i="44"/>
  <c r="L49" i="44"/>
  <c r="L47" i="15"/>
  <c r="F13" i="67"/>
  <c r="E13" i="67"/>
  <c r="M28" i="44"/>
  <c r="M29" i="15"/>
  <c r="B11" i="67"/>
  <c r="E9" i="67"/>
  <c r="F26" i="15"/>
  <c r="E12" i="67"/>
  <c r="L48" i="15"/>
  <c r="F72" i="9" l="1"/>
  <c r="U11" i="40"/>
  <c r="AC13" i="40"/>
  <c r="V21" i="59"/>
  <c r="AC27" i="40"/>
  <c r="AA29" i="40"/>
  <c r="W15" i="21"/>
  <c r="W25" i="33"/>
  <c r="AB25" i="39"/>
  <c r="AZ548" i="3"/>
  <c r="AC24" i="35"/>
  <c r="W24" i="35"/>
  <c r="AC36" i="33"/>
  <c r="AZ496" i="3"/>
  <c r="W18" i="36"/>
  <c r="K88" i="46"/>
  <c r="J88" i="46" s="1"/>
  <c r="M88" i="46"/>
  <c r="N88" i="46" s="1"/>
  <c r="K34" i="9"/>
  <c r="S17" i="34"/>
  <c r="U23" i="35"/>
  <c r="AC23" i="40"/>
  <c r="U16" i="39"/>
  <c r="D18" i="59"/>
  <c r="C17" i="59"/>
  <c r="F16" i="59"/>
  <c r="F15" i="59" s="1"/>
  <c r="F14" i="59" s="1"/>
  <c r="F13" i="59" s="1"/>
  <c r="V17" i="59"/>
  <c r="M85" i="46"/>
  <c r="N85" i="46" s="1"/>
  <c r="K85" i="46"/>
  <c r="J85" i="46" s="1"/>
  <c r="S19" i="40"/>
  <c r="AB29" i="40"/>
  <c r="S23" i="21"/>
  <c r="AB23" i="40"/>
  <c r="U41" i="40"/>
  <c r="AA41" i="40"/>
  <c r="S41" i="40"/>
  <c r="AC39" i="37"/>
  <c r="W39" i="37"/>
  <c r="S23" i="39"/>
  <c r="W41" i="40"/>
  <c r="AB16" i="40"/>
  <c r="M87" i="46"/>
  <c r="N87" i="46" s="1"/>
  <c r="K87" i="46"/>
  <c r="J87" i="46" s="1"/>
  <c r="W27" i="39"/>
  <c r="AZ494" i="3"/>
  <c r="AZ506" i="3"/>
  <c r="AZ518" i="3"/>
  <c r="AZ523" i="3"/>
  <c r="D21" i="59"/>
  <c r="O40" i="9"/>
  <c r="K31" i="9" s="1"/>
  <c r="K32" i="9" s="1"/>
  <c r="AC30" i="33"/>
  <c r="AZ532" i="3"/>
  <c r="AZ556" i="3"/>
  <c r="AZ569" i="3"/>
  <c r="S45" i="21"/>
  <c r="W31" i="34"/>
  <c r="W30" i="21"/>
  <c r="AA12" i="33"/>
  <c r="B94" i="46"/>
  <c r="B84" i="46"/>
  <c r="W41" i="33"/>
  <c r="AZ481" i="3"/>
  <c r="AZ504" i="3"/>
  <c r="AZ510" i="3"/>
  <c r="AZ352" i="3"/>
  <c r="AZ520" i="3"/>
  <c r="AZ534" i="3"/>
  <c r="AZ551" i="3"/>
  <c r="AB27" i="35"/>
  <c r="BA572" i="3"/>
  <c r="AZ572" i="3" s="1"/>
  <c r="AB29" i="36"/>
  <c r="U29" i="36"/>
  <c r="AZ489" i="3"/>
  <c r="AB15" i="37"/>
  <c r="AZ340" i="3"/>
  <c r="AZ329" i="3"/>
  <c r="AZ305" i="3"/>
  <c r="U19" i="21"/>
  <c r="AZ502" i="3"/>
  <c r="AZ555" i="3"/>
  <c r="AB40" i="37"/>
  <c r="AA46" i="33"/>
  <c r="W28" i="33"/>
  <c r="AC8" i="35"/>
  <c r="U9" i="33"/>
  <c r="AC40" i="21"/>
  <c r="W40" i="21"/>
  <c r="B101" i="46"/>
  <c r="B79" i="46"/>
  <c r="S34" i="34"/>
  <c r="AA34" i="34"/>
  <c r="AZ537" i="3"/>
  <c r="AZ362" i="3"/>
  <c r="AZ327" i="3"/>
  <c r="U28" i="36"/>
  <c r="H5" i="3"/>
  <c r="BA570" i="3"/>
  <c r="AZ570" i="3" s="1"/>
  <c r="BE5" i="3"/>
  <c r="B99" i="46"/>
  <c r="B76" i="46"/>
  <c r="F9" i="21"/>
  <c r="H9" i="21"/>
  <c r="AC40" i="33"/>
  <c r="H24" i="36"/>
  <c r="J24" i="36"/>
  <c r="S31" i="35"/>
  <c r="AA31" i="35"/>
  <c r="AZ307" i="3"/>
  <c r="AZ526" i="3"/>
  <c r="AZ544" i="3"/>
  <c r="J34" i="35"/>
  <c r="H34" i="35"/>
  <c r="AZ355" i="3"/>
  <c r="AZ514" i="3"/>
  <c r="AZ546" i="3"/>
  <c r="AZ550" i="3"/>
  <c r="J12" i="35"/>
  <c r="H12" i="35"/>
  <c r="F12" i="35"/>
  <c r="H12" i="36"/>
  <c r="J12" i="36"/>
  <c r="J26" i="37"/>
  <c r="F26" i="37"/>
  <c r="AZ567" i="3"/>
  <c r="AZ370" i="3"/>
  <c r="AZ344" i="3"/>
  <c r="AZ359" i="3"/>
  <c r="AZ323" i="3"/>
  <c r="AZ201" i="3"/>
  <c r="AZ516" i="3"/>
  <c r="AB36" i="21"/>
  <c r="U36" i="21"/>
  <c r="AA38" i="33"/>
  <c r="S38" i="33"/>
  <c r="F34" i="35"/>
  <c r="W41" i="21"/>
  <c r="AC41" i="21"/>
  <c r="G563" i="3"/>
  <c r="G519" i="3"/>
  <c r="G559" i="3"/>
  <c r="G14" i="3"/>
  <c r="BF5" i="3"/>
  <c r="G527" i="3"/>
  <c r="J36" i="35"/>
  <c r="G564" i="3"/>
  <c r="G547" i="3"/>
  <c r="G390" i="3"/>
  <c r="G393" i="3"/>
  <c r="BL395" i="3"/>
  <c r="BA427" i="3"/>
  <c r="BL434" i="3"/>
  <c r="AZ434" i="3" s="1"/>
  <c r="BL436" i="3"/>
  <c r="BL438" i="3"/>
  <c r="AZ438" i="3" s="1"/>
  <c r="BL440" i="3"/>
  <c r="BL449" i="3"/>
  <c r="BL462" i="3"/>
  <c r="BA401" i="3"/>
  <c r="AZ401" i="3" s="1"/>
  <c r="BA404" i="3"/>
  <c r="AZ404" i="3" s="1"/>
  <c r="BA407" i="3"/>
  <c r="AZ407" i="3" s="1"/>
  <c r="BA409" i="3"/>
  <c r="AZ409" i="3" s="1"/>
  <c r="BA410" i="3"/>
  <c r="AZ410" i="3" s="1"/>
  <c r="AZ412" i="3"/>
  <c r="BA414" i="3"/>
  <c r="AZ420" i="3"/>
  <c r="AZ240" i="3"/>
  <c r="AZ291" i="3"/>
  <c r="G398" i="3"/>
  <c r="BL398" i="3"/>
  <c r="AZ398" i="3" s="1"/>
  <c r="BA403" i="3"/>
  <c r="BA408" i="3"/>
  <c r="AZ408" i="3" s="1"/>
  <c r="BA411" i="3"/>
  <c r="BA418" i="3"/>
  <c r="BA421" i="3"/>
  <c r="AZ421" i="3" s="1"/>
  <c r="AZ423" i="3"/>
  <c r="BL448" i="3"/>
  <c r="BL460" i="3"/>
  <c r="AZ129" i="3"/>
  <c r="A30" i="64"/>
  <c r="A30" i="51"/>
  <c r="B22" i="63" s="1"/>
  <c r="AZ399" i="3"/>
  <c r="BL401" i="3"/>
  <c r="AZ414" i="3"/>
  <c r="AZ418" i="3"/>
  <c r="AZ458" i="3"/>
  <c r="AZ248" i="3"/>
  <c r="BL416" i="3"/>
  <c r="BL420" i="3"/>
  <c r="BL422" i="3"/>
  <c r="BA389" i="3"/>
  <c r="AZ389" i="3" s="1"/>
  <c r="BA390" i="3"/>
  <c r="AZ390" i="3" s="1"/>
  <c r="BA391" i="3"/>
  <c r="AZ391" i="3" s="1"/>
  <c r="BA393" i="3"/>
  <c r="BA394" i="3"/>
  <c r="AZ394" i="3" s="1"/>
  <c r="BL442" i="3"/>
  <c r="BA392" i="3"/>
  <c r="AZ392" i="3" s="1"/>
  <c r="BA395" i="3"/>
  <c r="BA396" i="3"/>
  <c r="AZ396" i="3" s="1"/>
  <c r="BA438" i="3"/>
  <c r="BL441" i="3"/>
  <c r="AZ441" i="3" s="1"/>
  <c r="AZ449" i="3"/>
  <c r="BL453" i="3"/>
  <c r="AZ453" i="3" s="1"/>
  <c r="BL456" i="3"/>
  <c r="BA462" i="3"/>
  <c r="AZ462" i="3" s="1"/>
  <c r="AZ232" i="3"/>
  <c r="BL390" i="3"/>
  <c r="BL393" i="3"/>
  <c r="BA428" i="3"/>
  <c r="AZ428" i="3" s="1"/>
  <c r="BA429" i="3"/>
  <c r="AZ429" i="3" s="1"/>
  <c r="BA431" i="3"/>
  <c r="AZ431" i="3" s="1"/>
  <c r="BA432" i="3"/>
  <c r="AZ432" i="3" s="1"/>
  <c r="BA434" i="3"/>
  <c r="BA439" i="3"/>
  <c r="G441" i="3"/>
  <c r="BL450" i="3"/>
  <c r="BA461" i="3"/>
  <c r="AZ461" i="3" s="1"/>
  <c r="BA463" i="3"/>
  <c r="BA466" i="3"/>
  <c r="AZ256" i="3"/>
  <c r="BL478" i="3"/>
  <c r="AZ478" i="3" s="1"/>
  <c r="AZ333" i="3"/>
  <c r="BA357" i="3"/>
  <c r="AZ357" i="3" s="1"/>
  <c r="BL205" i="3"/>
  <c r="AZ205" i="3" s="1"/>
  <c r="BL213" i="3"/>
  <c r="AZ213" i="3" s="1"/>
  <c r="BL221" i="3"/>
  <c r="AZ221" i="3" s="1"/>
  <c r="BL229" i="3"/>
  <c r="AZ229" i="3" s="1"/>
  <c r="BL237" i="3"/>
  <c r="AZ237" i="3" s="1"/>
  <c r="BL245" i="3"/>
  <c r="AZ245" i="3" s="1"/>
  <c r="BL253" i="3"/>
  <c r="AZ253" i="3" s="1"/>
  <c r="BA279" i="3"/>
  <c r="BA132" i="3"/>
  <c r="AZ132" i="3" s="1"/>
  <c r="BA133" i="3"/>
  <c r="AZ133" i="3" s="1"/>
  <c r="BA167" i="3"/>
  <c r="AZ167" i="3" s="1"/>
  <c r="BA171" i="3"/>
  <c r="BL175" i="3"/>
  <c r="AZ175" i="3" s="1"/>
  <c r="BA183" i="3"/>
  <c r="AZ83" i="3"/>
  <c r="AZ103" i="3"/>
  <c r="BL415" i="3"/>
  <c r="AZ415" i="3" s="1"/>
  <c r="BA426" i="3"/>
  <c r="AZ426" i="3" s="1"/>
  <c r="BL439" i="3"/>
  <c r="AZ439" i="3" s="1"/>
  <c r="BA442" i="3"/>
  <c r="AZ442" i="3" s="1"/>
  <c r="BL447" i="3"/>
  <c r="BA450" i="3"/>
  <c r="BL463" i="3"/>
  <c r="BL471" i="3"/>
  <c r="AZ471" i="3" s="1"/>
  <c r="BL479" i="3"/>
  <c r="AZ479" i="3" s="1"/>
  <c r="BA368" i="3"/>
  <c r="AZ368" i="3" s="1"/>
  <c r="BA371" i="3"/>
  <c r="AZ371" i="3" s="1"/>
  <c r="BA384" i="3"/>
  <c r="AZ384" i="3" s="1"/>
  <c r="BA266" i="3"/>
  <c r="AZ266" i="3" s="1"/>
  <c r="BL277" i="3"/>
  <c r="BL280" i="3"/>
  <c r="BA285" i="3"/>
  <c r="AZ285" i="3" s="1"/>
  <c r="BA288" i="3"/>
  <c r="AZ288" i="3" s="1"/>
  <c r="BA289" i="3"/>
  <c r="AZ289" i="3" s="1"/>
  <c r="BA121" i="3"/>
  <c r="AZ121" i="3" s="1"/>
  <c r="BA124" i="3"/>
  <c r="BL128" i="3"/>
  <c r="BA131" i="3"/>
  <c r="AZ131" i="3" s="1"/>
  <c r="BA168" i="3"/>
  <c r="BL168" i="3"/>
  <c r="BL171" i="3"/>
  <c r="BL178" i="3"/>
  <c r="AZ178" i="3" s="1"/>
  <c r="AZ22" i="3"/>
  <c r="AZ67" i="3"/>
  <c r="BL392" i="3"/>
  <c r="BL408" i="3"/>
  <c r="BA419" i="3"/>
  <c r="AZ419" i="3" s="1"/>
  <c r="BL424" i="3"/>
  <c r="AZ424" i="3" s="1"/>
  <c r="BL432" i="3"/>
  <c r="BA435" i="3"/>
  <c r="AZ435" i="3" s="1"/>
  <c r="BL334" i="3"/>
  <c r="AZ334" i="3" s="1"/>
  <c r="BA386" i="3"/>
  <c r="AZ386" i="3" s="1"/>
  <c r="BA210" i="3"/>
  <c r="AZ210" i="3" s="1"/>
  <c r="BA218" i="3"/>
  <c r="AZ218" i="3" s="1"/>
  <c r="BA226" i="3"/>
  <c r="AZ226" i="3" s="1"/>
  <c r="BA234" i="3"/>
  <c r="AZ234" i="3" s="1"/>
  <c r="BA242" i="3"/>
  <c r="AZ242" i="3" s="1"/>
  <c r="BA250" i="3"/>
  <c r="AZ250" i="3" s="1"/>
  <c r="BA258" i="3"/>
  <c r="AZ258" i="3" s="1"/>
  <c r="BL264" i="3"/>
  <c r="AZ264" i="3" s="1"/>
  <c r="G277" i="3"/>
  <c r="G280" i="3"/>
  <c r="BA287" i="3"/>
  <c r="BA296" i="3"/>
  <c r="AZ296" i="3" s="1"/>
  <c r="BA120" i="3"/>
  <c r="AZ120" i="3" s="1"/>
  <c r="BA123" i="3"/>
  <c r="AZ123" i="3" s="1"/>
  <c r="BL124" i="3"/>
  <c r="G127" i="3"/>
  <c r="BL129" i="3"/>
  <c r="BL132" i="3"/>
  <c r="BL136" i="3"/>
  <c r="AZ160" i="3"/>
  <c r="BA162" i="3"/>
  <c r="AZ162" i="3" s="1"/>
  <c r="G168" i="3"/>
  <c r="G184" i="3"/>
  <c r="BL433" i="3"/>
  <c r="AZ433" i="3" s="1"/>
  <c r="BA436" i="3"/>
  <c r="AZ436" i="3" s="1"/>
  <c r="BL457" i="3"/>
  <c r="BA460" i="3"/>
  <c r="AZ460" i="3" s="1"/>
  <c r="BL465" i="3"/>
  <c r="BA468" i="3"/>
  <c r="AZ468" i="3" s="1"/>
  <c r="BL473" i="3"/>
  <c r="BA476" i="3"/>
  <c r="AZ476" i="3" s="1"/>
  <c r="BA319" i="3"/>
  <c r="AZ319" i="3" s="1"/>
  <c r="BA351" i="3"/>
  <c r="AZ351" i="3" s="1"/>
  <c r="BL366" i="3"/>
  <c r="AZ366" i="3" s="1"/>
  <c r="BL208" i="3"/>
  <c r="BL216" i="3"/>
  <c r="AZ216" i="3" s="1"/>
  <c r="BL224" i="3"/>
  <c r="AZ224" i="3" s="1"/>
  <c r="BL232" i="3"/>
  <c r="BL240" i="3"/>
  <c r="BL248" i="3"/>
  <c r="BL256" i="3"/>
  <c r="BL265" i="3"/>
  <c r="AZ265" i="3" s="1"/>
  <c r="BA269" i="3"/>
  <c r="AZ269" i="3" s="1"/>
  <c r="BA270" i="3"/>
  <c r="AZ270" i="3" s="1"/>
  <c r="BL285" i="3"/>
  <c r="BL288" i="3"/>
  <c r="BA293" i="3"/>
  <c r="BA295" i="3"/>
  <c r="AZ295" i="3" s="1"/>
  <c r="AZ117" i="3"/>
  <c r="BL121" i="3"/>
  <c r="BL122" i="3"/>
  <c r="AZ122" i="3" s="1"/>
  <c r="BA158" i="3"/>
  <c r="AZ158" i="3" s="1"/>
  <c r="AZ61" i="3"/>
  <c r="BL466" i="3"/>
  <c r="BA469" i="3"/>
  <c r="AZ469" i="3" s="1"/>
  <c r="BL474" i="3"/>
  <c r="AZ474" i="3" s="1"/>
  <c r="BA477" i="3"/>
  <c r="AZ477" i="3" s="1"/>
  <c r="AZ309" i="3"/>
  <c r="AZ313" i="3"/>
  <c r="AZ317" i="3"/>
  <c r="AZ349" i="3"/>
  <c r="AZ364" i="3"/>
  <c r="AZ369" i="3"/>
  <c r="BL385" i="3"/>
  <c r="AZ385" i="3" s="1"/>
  <c r="BL209" i="3"/>
  <c r="AZ209" i="3" s="1"/>
  <c r="BL233" i="3"/>
  <c r="AZ233" i="3" s="1"/>
  <c r="BL241" i="3"/>
  <c r="AZ241" i="3" s="1"/>
  <c r="BL249" i="3"/>
  <c r="AZ249" i="3" s="1"/>
  <c r="BL257" i="3"/>
  <c r="AZ257" i="3" s="1"/>
  <c r="BA271" i="3"/>
  <c r="BA272" i="3"/>
  <c r="AZ272" i="3" s="1"/>
  <c r="G285" i="3"/>
  <c r="AZ294" i="3"/>
  <c r="BL296" i="3"/>
  <c r="BA115" i="3"/>
  <c r="AZ115" i="3" s="1"/>
  <c r="BA144" i="3"/>
  <c r="AZ144" i="3" s="1"/>
  <c r="BL403" i="3"/>
  <c r="AZ403" i="3" s="1"/>
  <c r="BA406" i="3"/>
  <c r="AZ406" i="3" s="1"/>
  <c r="BL411" i="3"/>
  <c r="BA422" i="3"/>
  <c r="BL427" i="3"/>
  <c r="BA430" i="3"/>
  <c r="AZ430" i="3" s="1"/>
  <c r="BL443" i="3"/>
  <c r="BA446" i="3"/>
  <c r="AZ446" i="3" s="1"/>
  <c r="BL451" i="3"/>
  <c r="BA454" i="3"/>
  <c r="AZ454" i="3" s="1"/>
  <c r="BL459" i="3"/>
  <c r="AZ459" i="3" s="1"/>
  <c r="BL467" i="3"/>
  <c r="AZ467" i="3" s="1"/>
  <c r="BL475" i="3"/>
  <c r="AZ475" i="3" s="1"/>
  <c r="BL310" i="3"/>
  <c r="AZ310" i="3" s="1"/>
  <c r="BL314" i="3"/>
  <c r="AZ314" i="3" s="1"/>
  <c r="BA262" i="3"/>
  <c r="AZ262" i="3" s="1"/>
  <c r="BL269" i="3"/>
  <c r="BA273" i="3"/>
  <c r="AZ273" i="3" s="1"/>
  <c r="BL293" i="3"/>
  <c r="BL294" i="3"/>
  <c r="G296" i="3"/>
  <c r="BL113" i="3"/>
  <c r="AZ113" i="3" s="1"/>
  <c r="BL116" i="3"/>
  <c r="BL120" i="3"/>
  <c r="BA148" i="3"/>
  <c r="BA149" i="3"/>
  <c r="AZ149" i="3" s="1"/>
  <c r="BA154" i="3"/>
  <c r="AZ154" i="3" s="1"/>
  <c r="BL157" i="3"/>
  <c r="AZ157" i="3" s="1"/>
  <c r="G160" i="3"/>
  <c r="BA177" i="3"/>
  <c r="AZ177" i="3" s="1"/>
  <c r="AZ105" i="3"/>
  <c r="BL444" i="3"/>
  <c r="AZ444" i="3" s="1"/>
  <c r="BL452" i="3"/>
  <c r="AZ452" i="3" s="1"/>
  <c r="BA455" i="3"/>
  <c r="AZ455" i="3" s="1"/>
  <c r="BL318" i="3"/>
  <c r="AZ318" i="3" s="1"/>
  <c r="BL350" i="3"/>
  <c r="AZ350" i="3" s="1"/>
  <c r="BA375" i="3"/>
  <c r="AZ375" i="3" s="1"/>
  <c r="BL387" i="3"/>
  <c r="AZ387" i="3" s="1"/>
  <c r="BA206" i="3"/>
  <c r="BL211" i="3"/>
  <c r="BA214" i="3"/>
  <c r="AZ214" i="3" s="1"/>
  <c r="BL219" i="3"/>
  <c r="BA222" i="3"/>
  <c r="AZ222" i="3" s="1"/>
  <c r="BL227" i="3"/>
  <c r="BA230" i="3"/>
  <c r="AZ230" i="3" s="1"/>
  <c r="AZ238" i="3"/>
  <c r="AZ246" i="3"/>
  <c r="AZ254" i="3"/>
  <c r="BL164" i="3"/>
  <c r="BL397" i="3"/>
  <c r="BA400" i="3"/>
  <c r="AZ400" i="3" s="1"/>
  <c r="BL405" i="3"/>
  <c r="BL413" i="3"/>
  <c r="BA416" i="3"/>
  <c r="AZ416" i="3" s="1"/>
  <c r="BL437" i="3"/>
  <c r="BA440" i="3"/>
  <c r="BA448" i="3"/>
  <c r="AZ448" i="3" s="1"/>
  <c r="BA456" i="3"/>
  <c r="AZ456" i="3" s="1"/>
  <c r="BA464" i="3"/>
  <c r="AZ464" i="3" s="1"/>
  <c r="BA472" i="3"/>
  <c r="AZ472" i="3" s="1"/>
  <c r="BA480" i="3"/>
  <c r="AZ480" i="3" s="1"/>
  <c r="BA335" i="3"/>
  <c r="AZ335" i="3" s="1"/>
  <c r="BL360" i="3"/>
  <c r="AZ360" i="3" s="1"/>
  <c r="BL376" i="3"/>
  <c r="AZ376" i="3" s="1"/>
  <c r="BL388" i="3"/>
  <c r="AZ388" i="3" s="1"/>
  <c r="BA207" i="3"/>
  <c r="AZ207" i="3" s="1"/>
  <c r="BL212" i="3"/>
  <c r="AZ212" i="3" s="1"/>
  <c r="BA215" i="3"/>
  <c r="AZ215" i="3" s="1"/>
  <c r="BL220" i="3"/>
  <c r="AZ220" i="3" s="1"/>
  <c r="BA223" i="3"/>
  <c r="AZ223" i="3" s="1"/>
  <c r="BL228" i="3"/>
  <c r="AZ228" i="3" s="1"/>
  <c r="BA231" i="3"/>
  <c r="AZ231" i="3" s="1"/>
  <c r="BL236" i="3"/>
  <c r="AZ236" i="3" s="1"/>
  <c r="BA239" i="3"/>
  <c r="AZ239" i="3" s="1"/>
  <c r="BL244" i="3"/>
  <c r="AZ244" i="3" s="1"/>
  <c r="BA247" i="3"/>
  <c r="AZ247" i="3" s="1"/>
  <c r="BL252" i="3"/>
  <c r="AZ252" i="3" s="1"/>
  <c r="BA255" i="3"/>
  <c r="AZ255" i="3" s="1"/>
  <c r="BL260" i="3"/>
  <c r="AZ260" i="3" s="1"/>
  <c r="G261" i="3"/>
  <c r="BL261" i="3"/>
  <c r="AZ261" i="3" s="1"/>
  <c r="BA277" i="3"/>
  <c r="AZ277" i="3" s="1"/>
  <c r="BA280" i="3"/>
  <c r="AZ280" i="3" s="1"/>
  <c r="BA281" i="3"/>
  <c r="AZ281" i="3" s="1"/>
  <c r="BA128" i="3"/>
  <c r="BA136" i="3"/>
  <c r="AZ136" i="3" s="1"/>
  <c r="BA139" i="3"/>
  <c r="AZ139" i="3" s="1"/>
  <c r="BL140" i="3"/>
  <c r="AZ140" i="3" s="1"/>
  <c r="BL145" i="3"/>
  <c r="AZ145" i="3" s="1"/>
  <c r="BL148" i="3"/>
  <c r="AZ204" i="3"/>
  <c r="BA28" i="3"/>
  <c r="AZ28" i="3" s="1"/>
  <c r="BL33" i="3"/>
  <c r="BA44" i="3"/>
  <c r="AZ44" i="3" s="1"/>
  <c r="BL49" i="3"/>
  <c r="AZ49" i="3" s="1"/>
  <c r="BA66" i="3"/>
  <c r="AZ66" i="3" s="1"/>
  <c r="BL71" i="3"/>
  <c r="AZ71" i="3" s="1"/>
  <c r="BL80" i="3"/>
  <c r="BL82" i="3"/>
  <c r="C64" i="59"/>
  <c r="D63" i="59"/>
  <c r="D84" i="59"/>
  <c r="C83" i="59"/>
  <c r="D83" i="59" s="1"/>
  <c r="S25" i="59"/>
  <c r="B24" i="59"/>
  <c r="B23" i="59" s="1"/>
  <c r="B22" i="59" s="1"/>
  <c r="B21" i="59" s="1"/>
  <c r="BL187" i="3"/>
  <c r="AZ187" i="3" s="1"/>
  <c r="BA21" i="3"/>
  <c r="AZ21" i="3" s="1"/>
  <c r="BL26" i="3"/>
  <c r="AZ26" i="3" s="1"/>
  <c r="BA37" i="3"/>
  <c r="AZ37" i="3" s="1"/>
  <c r="BL42" i="3"/>
  <c r="AZ42" i="3" s="1"/>
  <c r="BA53" i="3"/>
  <c r="AZ53" i="3" s="1"/>
  <c r="BL64" i="3"/>
  <c r="AZ64" i="3" s="1"/>
  <c r="BA75" i="3"/>
  <c r="AZ75" i="3" s="1"/>
  <c r="BL83" i="3"/>
  <c r="BL84" i="3"/>
  <c r="BL96" i="3"/>
  <c r="BL98" i="3"/>
  <c r="BL100" i="3"/>
  <c r="C52" i="59"/>
  <c r="D51" i="59"/>
  <c r="BL279" i="3"/>
  <c r="BA282" i="3"/>
  <c r="AZ282" i="3" s="1"/>
  <c r="BL287" i="3"/>
  <c r="BA290" i="3"/>
  <c r="AZ290" i="3" s="1"/>
  <c r="BL295" i="3"/>
  <c r="BL126" i="3"/>
  <c r="AZ126" i="3" s="1"/>
  <c r="BL142" i="3"/>
  <c r="AZ142" i="3" s="1"/>
  <c r="BL156" i="3"/>
  <c r="AZ156" i="3" s="1"/>
  <c r="BA163" i="3"/>
  <c r="AZ163" i="3" s="1"/>
  <c r="BL173" i="3"/>
  <c r="AZ173" i="3" s="1"/>
  <c r="BL190" i="3"/>
  <c r="BA193" i="3"/>
  <c r="AZ193" i="3" s="1"/>
  <c r="BL27" i="3"/>
  <c r="AZ27" i="3" s="1"/>
  <c r="BA30" i="3"/>
  <c r="AZ30" i="3" s="1"/>
  <c r="BL43" i="3"/>
  <c r="AZ43" i="3" s="1"/>
  <c r="BA46" i="3"/>
  <c r="AZ46" i="3" s="1"/>
  <c r="BL58" i="3"/>
  <c r="AZ58" i="3" s="1"/>
  <c r="BA60" i="3"/>
  <c r="AZ60" i="3" s="1"/>
  <c r="BA68" i="3"/>
  <c r="AZ68" i="3" s="1"/>
  <c r="BA76" i="3"/>
  <c r="BA77" i="3"/>
  <c r="AZ77" i="3" s="1"/>
  <c r="BA88" i="3"/>
  <c r="AZ88" i="3" s="1"/>
  <c r="G100" i="3"/>
  <c r="BA104" i="3"/>
  <c r="AZ104" i="3" s="1"/>
  <c r="D32" i="59"/>
  <c r="C33" i="59"/>
  <c r="V41" i="59"/>
  <c r="M23" i="46"/>
  <c r="C44" i="59"/>
  <c r="D43" i="59"/>
  <c r="BL159" i="3"/>
  <c r="AZ159" i="3" s="1"/>
  <c r="BA164" i="3"/>
  <c r="AZ164" i="3" s="1"/>
  <c r="BA180" i="3"/>
  <c r="AZ180" i="3" s="1"/>
  <c r="BL191" i="3"/>
  <c r="AZ191" i="3" s="1"/>
  <c r="BL204" i="3"/>
  <c r="BA31" i="3"/>
  <c r="AZ31" i="3" s="1"/>
  <c r="BL36" i="3"/>
  <c r="AZ36" i="3" s="1"/>
  <c r="BA47" i="3"/>
  <c r="AZ47" i="3" s="1"/>
  <c r="BL52" i="3"/>
  <c r="AZ52" i="3" s="1"/>
  <c r="BL59" i="3"/>
  <c r="AZ59" i="3" s="1"/>
  <c r="G74" i="3"/>
  <c r="BL74" i="3"/>
  <c r="AZ74" i="3" s="1"/>
  <c r="BA78" i="3"/>
  <c r="AZ78" i="3" s="1"/>
  <c r="D84" i="46"/>
  <c r="C56" i="59"/>
  <c r="D55" i="59"/>
  <c r="N68" i="59"/>
  <c r="B67" i="59"/>
  <c r="BL176" i="3"/>
  <c r="BA179" i="3"/>
  <c r="AZ179" i="3" s="1"/>
  <c r="BA181" i="3"/>
  <c r="AZ181" i="3" s="1"/>
  <c r="BL194" i="3"/>
  <c r="BA197" i="3"/>
  <c r="AZ197" i="3" s="1"/>
  <c r="BL29" i="3"/>
  <c r="BA32" i="3"/>
  <c r="AZ32" i="3" s="1"/>
  <c r="BL45" i="3"/>
  <c r="BA48" i="3"/>
  <c r="AZ48" i="3" s="1"/>
  <c r="BA62" i="3"/>
  <c r="AZ62" i="3" s="1"/>
  <c r="BL67" i="3"/>
  <c r="BL76" i="3"/>
  <c r="BA79" i="3"/>
  <c r="AZ79" i="3" s="1"/>
  <c r="BL87" i="3"/>
  <c r="AZ87" i="3" s="1"/>
  <c r="BL103" i="3"/>
  <c r="AZ109" i="3"/>
  <c r="BL177" i="3"/>
  <c r="BL195" i="3"/>
  <c r="AZ195" i="3" s="1"/>
  <c r="BL22" i="3"/>
  <c r="AZ25" i="3"/>
  <c r="AZ41" i="3"/>
  <c r="AZ95" i="3"/>
  <c r="AZ111" i="3"/>
  <c r="D47" i="59"/>
  <c r="C48" i="59"/>
  <c r="D48" i="59" s="1"/>
  <c r="P68" i="59"/>
  <c r="E67" i="59"/>
  <c r="BL275" i="3"/>
  <c r="AZ275" i="3" s="1"/>
  <c r="BA278" i="3"/>
  <c r="AZ278" i="3" s="1"/>
  <c r="BL283" i="3"/>
  <c r="AZ283" i="3" s="1"/>
  <c r="BA286" i="3"/>
  <c r="AZ286" i="3" s="1"/>
  <c r="BL291" i="3"/>
  <c r="BL118" i="3"/>
  <c r="AZ118" i="3" s="1"/>
  <c r="BL134" i="3"/>
  <c r="AZ134" i="3" s="1"/>
  <c r="BL150" i="3"/>
  <c r="AZ150" i="3" s="1"/>
  <c r="BA155" i="3"/>
  <c r="AZ155" i="3" s="1"/>
  <c r="BL165" i="3"/>
  <c r="AZ165" i="3" s="1"/>
  <c r="BL182" i="3"/>
  <c r="BA185" i="3"/>
  <c r="AZ185" i="3" s="1"/>
  <c r="BL198" i="3"/>
  <c r="BA201" i="3"/>
  <c r="BA202" i="3"/>
  <c r="AZ202" i="3" s="1"/>
  <c r="BL23" i="3"/>
  <c r="AZ23" i="3" s="1"/>
  <c r="BA34" i="3"/>
  <c r="AZ34" i="3" s="1"/>
  <c r="BL39" i="3"/>
  <c r="AZ39" i="3" s="1"/>
  <c r="BA50" i="3"/>
  <c r="AZ50" i="3" s="1"/>
  <c r="BL55" i="3"/>
  <c r="AZ55" i="3" s="1"/>
  <c r="BA57" i="3"/>
  <c r="AZ57" i="3" s="1"/>
  <c r="BL61" i="3"/>
  <c r="BL69" i="3"/>
  <c r="BA81" i="3"/>
  <c r="AZ81" i="3" s="1"/>
  <c r="BA82" i="3"/>
  <c r="AZ82" i="3" s="1"/>
  <c r="BL90" i="3"/>
  <c r="AZ90" i="3" s="1"/>
  <c r="BL92" i="3"/>
  <c r="BL106" i="3"/>
  <c r="AZ106" i="3" s="1"/>
  <c r="BL108" i="3"/>
  <c r="BA112" i="3"/>
  <c r="AZ112" i="3" s="1"/>
  <c r="C60" i="59"/>
  <c r="D59" i="59"/>
  <c r="V29" i="59"/>
  <c r="F28" i="59"/>
  <c r="F27" i="59" s="1"/>
  <c r="BA263" i="3"/>
  <c r="AZ263" i="3" s="1"/>
  <c r="BL268" i="3"/>
  <c r="AZ268" i="3" s="1"/>
  <c r="BL276" i="3"/>
  <c r="AZ276" i="3" s="1"/>
  <c r="BL284" i="3"/>
  <c r="AZ284" i="3" s="1"/>
  <c r="BL292" i="3"/>
  <c r="AZ292" i="3" s="1"/>
  <c r="BA125" i="3"/>
  <c r="AZ125" i="3" s="1"/>
  <c r="BA141" i="3"/>
  <c r="AZ141" i="3" s="1"/>
  <c r="BA170" i="3"/>
  <c r="AZ170" i="3" s="1"/>
  <c r="BA172" i="3"/>
  <c r="AZ172" i="3" s="1"/>
  <c r="BL183" i="3"/>
  <c r="BL199" i="3"/>
  <c r="AZ199" i="3" s="1"/>
  <c r="BA203" i="3"/>
  <c r="AZ203" i="3" s="1"/>
  <c r="BL24" i="3"/>
  <c r="AZ24" i="3" s="1"/>
  <c r="BA35" i="3"/>
  <c r="AZ35" i="3" s="1"/>
  <c r="BL40" i="3"/>
  <c r="AZ40" i="3" s="1"/>
  <c r="BA51" i="3"/>
  <c r="AZ51" i="3" s="1"/>
  <c r="BL56" i="3"/>
  <c r="AZ56" i="3" s="1"/>
  <c r="BA65" i="3"/>
  <c r="AZ65" i="3" s="1"/>
  <c r="BL70" i="3"/>
  <c r="AZ70" i="3" s="1"/>
  <c r="BA72" i="3"/>
  <c r="AZ72" i="3" s="1"/>
  <c r="BA84" i="3"/>
  <c r="AZ84" i="3" s="1"/>
  <c r="BA85" i="3"/>
  <c r="AZ85" i="3" s="1"/>
  <c r="G92" i="3"/>
  <c r="BL93" i="3"/>
  <c r="AZ93" i="3" s="1"/>
  <c r="BL94" i="3"/>
  <c r="AZ94" i="3" s="1"/>
  <c r="BA97" i="3"/>
  <c r="AZ97" i="3" s="1"/>
  <c r="BA98" i="3"/>
  <c r="AZ98" i="3" s="1"/>
  <c r="BA99" i="3"/>
  <c r="AZ99" i="3" s="1"/>
  <c r="BA100" i="3"/>
  <c r="BA101" i="3"/>
  <c r="AZ101" i="3" s="1"/>
  <c r="G108" i="3"/>
  <c r="BL109" i="3"/>
  <c r="BL110" i="3"/>
  <c r="AZ110" i="3" s="1"/>
  <c r="C41" i="59"/>
  <c r="D40" i="59"/>
  <c r="S21" i="37"/>
  <c r="AA21" i="21"/>
  <c r="O68" i="59"/>
  <c r="P16" i="4"/>
  <c r="C80" i="59"/>
  <c r="AB27" i="59"/>
  <c r="AA3" i="59"/>
  <c r="C35" i="59"/>
  <c r="E39" i="59"/>
  <c r="E40" i="59" s="1"/>
  <c r="E41" i="59" s="1"/>
  <c r="U41" i="59" s="1"/>
  <c r="Q67" i="59"/>
  <c r="U73" i="59"/>
  <c r="T81" i="59"/>
  <c r="D85" i="59"/>
  <c r="AB38" i="59"/>
  <c r="AA35" i="59"/>
  <c r="X34" i="59"/>
  <c r="AA19" i="59"/>
  <c r="Y14" i="59"/>
  <c r="Z14" i="59" s="1"/>
  <c r="AB11" i="59"/>
  <c r="X5" i="59"/>
  <c r="X8" i="59"/>
  <c r="X6" i="59"/>
  <c r="X7" i="59"/>
  <c r="AA30" i="59"/>
  <c r="X17" i="59"/>
  <c r="Y12" i="59"/>
  <c r="Z12" i="59" s="1"/>
  <c r="AB3" i="59"/>
  <c r="X28" i="59"/>
  <c r="V73" i="59"/>
  <c r="U81" i="59"/>
  <c r="AB36" i="59"/>
  <c r="C29" i="59"/>
  <c r="X24" i="59"/>
  <c r="X22" i="59"/>
  <c r="Y11" i="59"/>
  <c r="Z11" i="59" s="1"/>
  <c r="X11" i="59"/>
  <c r="BL73" i="3"/>
  <c r="AZ73" i="3" s="1"/>
  <c r="BL89" i="3"/>
  <c r="AZ89" i="3" s="1"/>
  <c r="BA92" i="3"/>
  <c r="AZ92" i="3" s="1"/>
  <c r="BL105" i="3"/>
  <c r="BA108" i="3"/>
  <c r="AB29" i="59"/>
  <c r="Y26" i="59"/>
  <c r="Z26" i="59" s="1"/>
  <c r="X27" i="59"/>
  <c r="AA36" i="59"/>
  <c r="AB31" i="59"/>
  <c r="B29" i="59"/>
  <c r="AA16" i="59"/>
  <c r="AA14" i="59"/>
  <c r="Y15" i="59"/>
  <c r="Z15" i="59" s="1"/>
  <c r="X10" i="59"/>
  <c r="C27" i="40"/>
  <c r="O66" i="59"/>
  <c r="AA29" i="59"/>
  <c r="Y7" i="59"/>
  <c r="Z7" i="59" s="1"/>
  <c r="Y8" i="59"/>
  <c r="Z8" i="59" s="1"/>
  <c r="Y5" i="59"/>
  <c r="Z5" i="59" s="1"/>
  <c r="Y6" i="59"/>
  <c r="Z6" i="59" s="1"/>
  <c r="Y10" i="59"/>
  <c r="Z10" i="59" s="1"/>
  <c r="AB34" i="59"/>
  <c r="X30" i="59"/>
  <c r="AB16" i="59"/>
  <c r="Y18" i="59"/>
  <c r="Z18" i="59" s="1"/>
  <c r="AB12" i="59"/>
  <c r="X13" i="59"/>
  <c r="BA86" i="3"/>
  <c r="AZ86" i="3" s="1"/>
  <c r="BL91" i="3"/>
  <c r="AZ91" i="3" s="1"/>
  <c r="BA102" i="3"/>
  <c r="AZ102" i="3" s="1"/>
  <c r="BL107" i="3"/>
  <c r="AZ107" i="3" s="1"/>
  <c r="S31" i="39"/>
  <c r="D67" i="59"/>
  <c r="D73" i="59"/>
  <c r="D31" i="59"/>
  <c r="Y29" i="59"/>
  <c r="Z29" i="59" s="1"/>
  <c r="AA28" i="59"/>
  <c r="E35" i="59"/>
  <c r="E36" i="59" s="1"/>
  <c r="E37" i="59" s="1"/>
  <c r="U37" i="59" s="1"/>
  <c r="AA8" i="59"/>
  <c r="AA6" i="59"/>
  <c r="AA5" i="59"/>
  <c r="AA7" i="59"/>
  <c r="AA10" i="59"/>
  <c r="X25" i="59"/>
  <c r="AA12" i="59"/>
  <c r="AB10" i="59"/>
  <c r="X12" i="59"/>
  <c r="AA27" i="59"/>
  <c r="D25" i="59"/>
  <c r="AA15" i="59"/>
  <c r="AB14" i="59"/>
  <c r="X14" i="59"/>
  <c r="AB8" i="59"/>
  <c r="AB6" i="59"/>
  <c r="AB7" i="59"/>
  <c r="AB5" i="59"/>
  <c r="AB13" i="59"/>
  <c r="AA40" i="40"/>
  <c r="S40" i="40"/>
  <c r="F9" i="1"/>
  <c r="AP9" i="1" s="1"/>
  <c r="F6" i="1"/>
  <c r="AP6" i="1" s="1"/>
  <c r="G29" i="6"/>
  <c r="E5" i="6"/>
  <c r="D12" i="11" s="1"/>
  <c r="C12" i="11" s="1"/>
  <c r="A11" i="55"/>
  <c r="B62" i="63" s="1"/>
  <c r="A18" i="64"/>
  <c r="B74" i="63" s="1"/>
  <c r="C53" i="10"/>
  <c r="A25" i="64" s="1"/>
  <c r="A18" i="51"/>
  <c r="B14" i="63" s="1"/>
  <c r="K5" i="54"/>
  <c r="B38" i="63" s="1"/>
  <c r="L5" i="54"/>
  <c r="B39" i="63" s="1"/>
  <c r="T41" i="4"/>
  <c r="A17" i="64" s="1"/>
  <c r="H72" i="46"/>
  <c r="H86" i="46"/>
  <c r="G86" i="46" s="1"/>
  <c r="H90" i="46"/>
  <c r="G90" i="46" s="1"/>
  <c r="H89" i="46"/>
  <c r="G89" i="46" s="1"/>
  <c r="H83" i="46"/>
  <c r="G83" i="46" s="1"/>
  <c r="G12" i="1"/>
  <c r="D65" i="46"/>
  <c r="D50" i="46"/>
  <c r="F36" i="44"/>
  <c r="M22" i="44"/>
  <c r="M20" i="15"/>
  <c r="C6" i="12"/>
  <c r="C24" i="12" s="1"/>
  <c r="E29" i="6"/>
  <c r="BL13" i="3"/>
  <c r="BL5" i="3" s="1"/>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11" i="1"/>
  <c r="G8" i="1"/>
  <c r="L16" i="4"/>
  <c r="K17" i="4" s="1"/>
  <c r="A22" i="51" s="1"/>
  <c r="B16" i="63" s="1"/>
  <c r="N16" i="4"/>
  <c r="O39" i="9"/>
  <c r="R6" i="54" s="1"/>
  <c r="B50" i="63" s="1"/>
  <c r="N69" i="9"/>
  <c r="R7" i="54"/>
  <c r="B52"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E17" i="59"/>
  <c r="X16" i="59"/>
  <c r="Y16" i="59"/>
  <c r="Z16" i="59" s="1"/>
  <c r="B4" i="52"/>
  <c r="B7" i="52"/>
  <c r="E14" i="52"/>
  <c r="E6" i="52"/>
  <c r="E11" i="52"/>
  <c r="C4" i="4" s="1"/>
  <c r="B20" i="55" s="1"/>
  <c r="B70" i="63" s="1"/>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L44" i="9"/>
  <c r="G20" i="9"/>
  <c r="G21" i="9"/>
  <c r="L43" i="9"/>
  <c r="G19" i="9"/>
  <c r="D22" i="9"/>
  <c r="Q73" i="44"/>
  <c r="C29" i="44"/>
  <c r="C8" i="44"/>
  <c r="C34" i="44" s="1"/>
  <c r="J1" i="65"/>
  <c r="F67"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8" i="44"/>
  <c r="F38" i="44"/>
  <c r="I6" i="65"/>
  <c r="F38" i="15"/>
  <c r="M24" i="44"/>
  <c r="F42" i="15"/>
  <c r="E3" i="65"/>
  <c r="F8" i="15"/>
  <c r="C16" i="15"/>
  <c r="M23" i="15"/>
  <c r="I3" i="65"/>
  <c r="G9" i="1" l="1"/>
  <c r="F50" i="15"/>
  <c r="C6" i="15"/>
  <c r="C32" i="15" s="1"/>
  <c r="F65" i="15"/>
  <c r="I1" i="65"/>
  <c r="D80" i="59"/>
  <c r="C79" i="59"/>
  <c r="D79" i="59" s="1"/>
  <c r="AZ440" i="3"/>
  <c r="AZ422" i="3"/>
  <c r="W36" i="35"/>
  <c r="AC36" i="35"/>
  <c r="C16" i="59"/>
  <c r="T17" i="59"/>
  <c r="E16" i="59"/>
  <c r="E15" i="59" s="1"/>
  <c r="E14" i="59" s="1"/>
  <c r="E13" i="59" s="1"/>
  <c r="U17" i="59"/>
  <c r="E15" i="6"/>
  <c r="I24" i="46"/>
  <c r="D56" i="59"/>
  <c r="C57" i="59"/>
  <c r="C45" i="59"/>
  <c r="D44" i="59"/>
  <c r="AA34" i="35"/>
  <c r="S34" i="35"/>
  <c r="AA26" i="37"/>
  <c r="S26" i="37"/>
  <c r="AB9" i="21"/>
  <c r="U9" i="21"/>
  <c r="P66" i="59"/>
  <c r="P67" i="59"/>
  <c r="C65" i="59"/>
  <c r="D64" i="59"/>
  <c r="AC26" i="37"/>
  <c r="W26" i="37"/>
  <c r="S9" i="21"/>
  <c r="AA9" i="21"/>
  <c r="D60" i="59"/>
  <c r="C61" i="59"/>
  <c r="AZ128" i="3"/>
  <c r="AZ148" i="3"/>
  <c r="AZ293" i="3"/>
  <c r="AZ463" i="3"/>
  <c r="AZ279" i="3"/>
  <c r="W12" i="36"/>
  <c r="AC12" i="36"/>
  <c r="M83" i="46"/>
  <c r="K83" i="46"/>
  <c r="J83" i="46" s="1"/>
  <c r="G6" i="1"/>
  <c r="G16" i="1" s="1"/>
  <c r="J12" i="40" s="1"/>
  <c r="M89" i="46"/>
  <c r="N89" i="46" s="1"/>
  <c r="K89" i="46"/>
  <c r="J89" i="46" s="1"/>
  <c r="AZ108" i="3"/>
  <c r="T33" i="59"/>
  <c r="D33" i="59"/>
  <c r="AZ466" i="3"/>
  <c r="AZ450" i="3"/>
  <c r="AZ393" i="3"/>
  <c r="U12" i="36"/>
  <c r="AB12" i="36"/>
  <c r="AB34" i="35"/>
  <c r="U34" i="35"/>
  <c r="J7" i="33"/>
  <c r="K90" i="46"/>
  <c r="M90" i="46"/>
  <c r="N90" i="46" s="1"/>
  <c r="C28" i="59"/>
  <c r="T29" i="59"/>
  <c r="D29" i="59"/>
  <c r="C36" i="59"/>
  <c r="D35" i="59"/>
  <c r="B20" i="59"/>
  <c r="B19" i="59" s="1"/>
  <c r="B18" i="59" s="1"/>
  <c r="B17" i="59" s="1"/>
  <c r="S21" i="59"/>
  <c r="AZ183" i="3"/>
  <c r="S12" i="35"/>
  <c r="AA12" i="35"/>
  <c r="AC34" i="35"/>
  <c r="W34" i="35"/>
  <c r="M86" i="46"/>
  <c r="K86" i="46"/>
  <c r="J86" i="46" s="1"/>
  <c r="S29" i="59"/>
  <c r="B28" i="59"/>
  <c r="B27" i="59" s="1"/>
  <c r="T41" i="59"/>
  <c r="D41" i="59"/>
  <c r="N67" i="59"/>
  <c r="N66" i="59"/>
  <c r="AZ124" i="3"/>
  <c r="U12" i="35"/>
  <c r="AB12" i="35"/>
  <c r="AC24" i="36"/>
  <c r="W24" i="36"/>
  <c r="C53" i="59"/>
  <c r="D52" i="59"/>
  <c r="AZ171" i="3"/>
  <c r="AC12" i="35"/>
  <c r="W12" i="35"/>
  <c r="AB24" i="36"/>
  <c r="U24" i="36"/>
  <c r="AP16" i="1"/>
  <c r="F22" i="11" s="1"/>
  <c r="A25" i="51"/>
  <c r="B18" i="63" s="1"/>
  <c r="A17" i="51"/>
  <c r="B13" i="63" s="1"/>
  <c r="A3" i="55"/>
  <c r="B56" i="63" s="1"/>
  <c r="J60" i="44"/>
  <c r="J61" i="44" s="1"/>
  <c r="Q50" i="44" s="1"/>
  <c r="D26" i="46"/>
  <c r="C25" i="46" s="1"/>
  <c r="C29" i="12"/>
  <c r="BA5" i="3"/>
  <c r="E12" i="6"/>
  <c r="E58" i="40" s="1"/>
  <c r="J7" i="21"/>
  <c r="E61" i="46"/>
  <c r="B59" i="46" s="1"/>
  <c r="E50" i="46"/>
  <c r="B4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66" i="39"/>
  <c r="E61" i="40"/>
  <c r="K14" i="1"/>
  <c r="H7" i="34"/>
  <c r="U7" i="34" s="1"/>
  <c r="F7" i="34"/>
  <c r="AA7" i="34" s="1"/>
  <c r="R49" i="34" s="1"/>
  <c r="J7" i="34"/>
  <c r="W7" i="34" s="1"/>
  <c r="F11" i="59"/>
  <c r="F7" i="21"/>
  <c r="AA7" i="21" s="1"/>
  <c r="R48" i="21" s="1"/>
  <c r="H7" i="21"/>
  <c r="AB7" i="21" s="1"/>
  <c r="T48" i="21" s="1"/>
  <c r="G48" i="21" s="1"/>
  <c r="E12" i="59"/>
  <c r="U13" i="59"/>
  <c r="F58" i="15"/>
  <c r="H7" i="35"/>
  <c r="U7" i="35" s="1"/>
  <c r="E64" i="40"/>
  <c r="D66" i="40"/>
  <c r="AC7" i="33"/>
  <c r="V48" i="33" s="1"/>
  <c r="I48" i="33" s="1"/>
  <c r="W7" i="33"/>
  <c r="S7" i="34"/>
  <c r="J7" i="37"/>
  <c r="W7" i="21"/>
  <c r="AC7" i="21"/>
  <c r="V48" i="21" s="1"/>
  <c r="I48" i="21" s="1"/>
  <c r="D71" i="39"/>
  <c r="E69" i="39"/>
  <c r="AB7" i="34"/>
  <c r="T49" i="34" s="1"/>
  <c r="G49" i="34" s="1"/>
  <c r="H7" i="33"/>
  <c r="F7" i="33"/>
  <c r="J46" i="36"/>
  <c r="J7" i="35"/>
  <c r="F7" i="35"/>
  <c r="H7" i="37"/>
  <c r="F7" i="37"/>
  <c r="M19" i="44"/>
  <c r="Q62" i="15"/>
  <c r="Q75" i="15"/>
  <c r="C32" i="9"/>
  <c r="N43" i="9"/>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E2" i="65"/>
  <c r="F46" i="44"/>
  <c r="F41" i="15"/>
  <c r="B40" i="1" l="1"/>
  <c r="C24" i="46"/>
  <c r="C3" i="72"/>
  <c r="T53" i="59"/>
  <c r="D53" i="59"/>
  <c r="D28" i="59"/>
  <c r="C27" i="59"/>
  <c r="D27" i="59" s="1"/>
  <c r="T65" i="59"/>
  <c r="D65" i="59"/>
  <c r="J90" i="46"/>
  <c r="D90" i="46"/>
  <c r="N83" i="46"/>
  <c r="D83" i="46"/>
  <c r="T61" i="59"/>
  <c r="D61" i="59"/>
  <c r="B16" i="59"/>
  <c r="B15" i="59" s="1"/>
  <c r="B14" i="59" s="1"/>
  <c r="B13" i="59" s="1"/>
  <c r="S17" i="59"/>
  <c r="D45" i="59"/>
  <c r="T45" i="59"/>
  <c r="D16" i="59"/>
  <c r="C15" i="59"/>
  <c r="N86" i="46"/>
  <c r="D86" i="46"/>
  <c r="T57" i="59"/>
  <c r="D57" i="59"/>
  <c r="C37" i="59"/>
  <c r="D36" i="59"/>
  <c r="D46" i="9"/>
  <c r="C21" i="4"/>
  <c r="O5" i="54" s="1"/>
  <c r="B45" i="63" s="1"/>
  <c r="E6" i="6"/>
  <c r="D13" i="11" s="1"/>
  <c r="C13" i="11" s="1"/>
  <c r="D44" i="9"/>
  <c r="AC7" i="34"/>
  <c r="V49" i="34" s="1"/>
  <c r="I49" i="34" s="1"/>
  <c r="J10" i="15"/>
  <c r="J5" i="15" s="1"/>
  <c r="J24" i="15" s="1"/>
  <c r="AG8" i="1"/>
  <c r="AG9" i="1"/>
  <c r="AG11" i="1"/>
  <c r="AG12" i="1"/>
  <c r="AG10" i="1"/>
  <c r="AG7" i="1"/>
  <c r="AG6" i="1"/>
  <c r="F68" i="15"/>
  <c r="D5" i="46"/>
  <c r="C5" i="46"/>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O43" i="9"/>
  <c r="C42" i="9"/>
  <c r="O38" i="9"/>
  <c r="C33" i="9"/>
  <c r="C52" i="15"/>
  <c r="C47" i="15" s="1"/>
  <c r="C10" i="15"/>
  <c r="C5" i="15" s="1"/>
  <c r="C38" i="15" s="1"/>
  <c r="M29" i="44"/>
  <c r="M27" i="15"/>
  <c r="L36" i="46" l="1"/>
  <c r="N36" i="46" s="1"/>
  <c r="F17" i="11"/>
  <c r="C17" i="11" s="1"/>
  <c r="C19" i="11" s="1"/>
  <c r="B12" i="59"/>
  <c r="B11" i="59" s="1"/>
  <c r="S13" i="59"/>
  <c r="D22" i="12"/>
  <c r="C22" i="12" s="1"/>
  <c r="C20" i="12" s="1"/>
  <c r="D15" i="59"/>
  <c r="C14" i="59"/>
  <c r="E83" i="46"/>
  <c r="B81" i="46" s="1"/>
  <c r="C28" i="46" s="1"/>
  <c r="T7" i="46" s="1"/>
  <c r="V7" i="46" s="1"/>
  <c r="D37" i="59"/>
  <c r="T37" i="59"/>
  <c r="C6" i="66"/>
  <c r="C8" i="66"/>
  <c r="E31" i="6"/>
  <c r="K21" i="6"/>
  <c r="S8" i="1" s="1"/>
  <c r="C16" i="12"/>
  <c r="G43" i="35"/>
  <c r="H43" i="35" s="1"/>
  <c r="C59" i="15"/>
  <c r="C65" i="15"/>
  <c r="K26" i="6"/>
  <c r="M26" i="6" s="1"/>
  <c r="I26" i="6" s="1"/>
  <c r="S26" i="6" s="1"/>
  <c r="K20" i="6"/>
  <c r="M20" i="6" s="1"/>
  <c r="I20" i="6" s="1"/>
  <c r="S20" i="6" s="1"/>
  <c r="M21" i="6"/>
  <c r="I21" i="6" s="1"/>
  <c r="S21" i="6" s="1"/>
  <c r="K23" i="6"/>
  <c r="K22" i="6"/>
  <c r="K24" i="6"/>
  <c r="K27" i="6" s="1"/>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F1" i="46" s="1"/>
  <c r="D33" i="46"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N38" i="9"/>
  <c r="K28" i="9" s="1"/>
  <c r="D42" i="9"/>
  <c r="Q5" i="54" s="1"/>
  <c r="B47" i="63" s="1"/>
  <c r="R5" i="54"/>
  <c r="B48" i="63" s="1"/>
  <c r="D63" i="9"/>
  <c r="N68" i="9"/>
  <c r="K26" i="9"/>
  <c r="K25" i="9"/>
  <c r="F7" i="67"/>
  <c r="C17" i="15"/>
  <c r="C39" i="46" l="1"/>
  <c r="G39" i="46" s="1"/>
  <c r="I39" i="46" s="1"/>
  <c r="T4" i="46"/>
  <c r="V4" i="46" s="1"/>
  <c r="T6" i="46"/>
  <c r="V6" i="46" s="1"/>
  <c r="T15" i="46"/>
  <c r="V15" i="46" s="1"/>
  <c r="C37" i="46"/>
  <c r="E37" i="46" s="1"/>
  <c r="T5" i="46"/>
  <c r="V5" i="46" s="1"/>
  <c r="T8" i="46"/>
  <c r="V8" i="46" s="1"/>
  <c r="T16" i="46"/>
  <c r="V16" i="46" s="1"/>
  <c r="C25" i="11"/>
  <c r="C26" i="11" s="1"/>
  <c r="C38" i="46"/>
  <c r="G38" i="46" s="1"/>
  <c r="I38" i="46" s="1"/>
  <c r="C41" i="46"/>
  <c r="G41" i="46" s="1"/>
  <c r="I41" i="46" s="1"/>
  <c r="C42" i="46"/>
  <c r="E42" i="46" s="1"/>
  <c r="T13" i="46"/>
  <c r="V13" i="46" s="1"/>
  <c r="T12" i="46"/>
  <c r="V12" i="46" s="1"/>
  <c r="T10" i="46"/>
  <c r="V10" i="46" s="1"/>
  <c r="T3" i="46"/>
  <c r="V3" i="46" s="1"/>
  <c r="T2" i="46"/>
  <c r="V2" i="46" s="1"/>
  <c r="C33" i="46"/>
  <c r="C34" i="46" s="1"/>
  <c r="E34" i="46" s="1"/>
  <c r="O36" i="46"/>
  <c r="L37" i="46"/>
  <c r="O37" i="46" s="1"/>
  <c r="P36" i="46"/>
  <c r="M36" i="46"/>
  <c r="Q36" i="46"/>
  <c r="C20" i="11"/>
  <c r="C21" i="11" s="1"/>
  <c r="C22" i="11" s="1"/>
  <c r="C23" i="11" s="1"/>
  <c r="B2" i="11" s="1"/>
  <c r="B3" i="11" s="1"/>
  <c r="T14" i="46"/>
  <c r="V14" i="46" s="1"/>
  <c r="C13" i="59"/>
  <c r="D14" i="59"/>
  <c r="T9" i="46"/>
  <c r="V9" i="46" s="1"/>
  <c r="C40" i="46"/>
  <c r="T11" i="46"/>
  <c r="V11" i="46" s="1"/>
  <c r="C5" i="72"/>
  <c r="C7" i="72" s="1"/>
  <c r="D1" i="46"/>
  <c r="E39" i="46"/>
  <c r="E38" i="46"/>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4" i="6"/>
  <c r="D12" i="6"/>
  <c r="H21" i="6"/>
  <c r="H20" i="6"/>
  <c r="H26" i="6"/>
  <c r="D23" i="6"/>
  <c r="E46" i="9"/>
  <c r="F45" i="9"/>
  <c r="D28" i="6"/>
  <c r="D30" i="6" s="1"/>
  <c r="G22" i="9"/>
  <c r="H25" i="6"/>
  <c r="H23" i="6"/>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C19" i="44"/>
  <c r="B7" i="67"/>
  <c r="E7" i="67"/>
  <c r="G42" i="46" l="1"/>
  <c r="I42" i="46" s="1"/>
  <c r="G37" i="46"/>
  <c r="I37" i="46" s="1"/>
  <c r="C27" i="66"/>
  <c r="E26" i="11"/>
  <c r="C26" i="66" s="1"/>
  <c r="E41" i="46"/>
  <c r="N37" i="46"/>
  <c r="Q37" i="46"/>
  <c r="P37" i="46"/>
  <c r="M37" i="46"/>
  <c r="B5" i="11"/>
  <c r="B4" i="11"/>
  <c r="S16" i="1"/>
  <c r="H22" i="6"/>
  <c r="R22" i="6" s="1"/>
  <c r="R9" i="1" s="1"/>
  <c r="G40" i="46"/>
  <c r="I40" i="46" s="1"/>
  <c r="E40" i="46"/>
  <c r="M27" i="6"/>
  <c r="D13" i="59"/>
  <c r="C12" i="59"/>
  <c r="T13" i="59"/>
  <c r="C6" i="72"/>
  <c r="C9" i="72"/>
  <c r="E33" i="46"/>
  <c r="T11" i="1"/>
  <c r="T9" i="1"/>
  <c r="T10" i="1"/>
  <c r="T13" i="1"/>
  <c r="T6" i="1"/>
  <c r="T8" i="1"/>
  <c r="T12" i="1"/>
  <c r="T7" i="1"/>
  <c r="I27" i="6"/>
  <c r="S19" i="6"/>
  <c r="S27" i="6" s="1"/>
  <c r="H19" i="6"/>
  <c r="R19" i="6"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C97" i="9"/>
  <c r="C98" i="9" s="1"/>
  <c r="E98" i="9" s="1"/>
  <c r="E99" i="9" s="1"/>
  <c r="B2" i="67"/>
  <c r="C113" i="9"/>
  <c r="C114" i="9" s="1"/>
  <c r="E114" i="9" s="1"/>
  <c r="E115" i="9" s="1"/>
  <c r="F35" i="15"/>
  <c r="C14" i="15"/>
  <c r="F37" i="44"/>
  <c r="M23" i="44"/>
  <c r="M21" i="15"/>
  <c r="C16" i="44"/>
  <c r="C31" i="46" l="1"/>
  <c r="C11" i="59"/>
  <c r="D12" i="59"/>
  <c r="C30" i="46"/>
  <c r="B2" i="46" s="1"/>
  <c r="D4" i="46" s="1"/>
  <c r="C10" i="72"/>
  <c r="B13" i="72" s="1"/>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H7" i="36"/>
  <c r="J64" i="40"/>
  <c r="I66" i="40"/>
  <c r="J69" i="39"/>
  <c r="I71" i="39"/>
  <c r="C99" i="9"/>
  <c r="C115" i="9"/>
  <c r="D76" i="9" s="1"/>
  <c r="D74" i="9" s="1"/>
  <c r="N74" i="9" s="1"/>
  <c r="O77" i="9" s="1"/>
  <c r="O78" i="9" s="1"/>
  <c r="B3" i="67"/>
  <c r="B4" i="67"/>
  <c r="B3" i="46" l="1"/>
  <c r="B4" i="46"/>
  <c r="C10" i="59"/>
  <c r="D11" i="59"/>
  <c r="F7" i="36"/>
  <c r="S7" i="36" s="1"/>
  <c r="C19" i="15"/>
  <c r="C20" i="15" s="1"/>
  <c r="C26" i="15" s="1"/>
  <c r="C21" i="44"/>
  <c r="C22" i="44" s="1"/>
  <c r="C28" i="44" s="1"/>
  <c r="F5" i="59"/>
  <c r="V5" i="59" s="1"/>
  <c r="B6" i="59"/>
  <c r="E6" i="59"/>
  <c r="C19" i="43"/>
  <c r="K69" i="39"/>
  <c r="J71" i="39"/>
  <c r="U7" i="36"/>
  <c r="AB7" i="36"/>
  <c r="T36" i="36" s="1"/>
  <c r="G36" i="36" s="1"/>
  <c r="AC7" i="36"/>
  <c r="V36" i="36" s="1"/>
  <c r="I36" i="36" s="1"/>
  <c r="W7" i="36"/>
  <c r="J66" i="40"/>
  <c r="K64" i="40"/>
  <c r="Q77" i="9"/>
  <c r="O79" i="9"/>
  <c r="O81" i="9" s="1"/>
  <c r="AA7" i="36" l="1"/>
  <c r="R36" i="36" s="1"/>
  <c r="C9" i="59"/>
  <c r="D10" i="59"/>
  <c r="E5" i="59"/>
  <c r="U5" i="59" s="1"/>
  <c r="B5" i="59"/>
  <c r="C21" i="43"/>
  <c r="R37" i="36"/>
  <c r="E36" i="36"/>
  <c r="I41" i="36" s="1"/>
  <c r="J41" i="36" s="1"/>
  <c r="K66" i="40"/>
  <c r="L64" i="40"/>
  <c r="G41" i="36"/>
  <c r="H41" i="36" s="1"/>
  <c r="G40" i="36"/>
  <c r="H40" i="36" s="1"/>
  <c r="I40" i="36"/>
  <c r="J40" i="36" s="1"/>
  <c r="L69" i="39"/>
  <c r="K71" i="39"/>
  <c r="O80" i="9"/>
  <c r="C8" i="59" l="1"/>
  <c r="T9" i="59"/>
  <c r="D9" i="59"/>
  <c r="S5" i="59"/>
  <c r="L71" i="39"/>
  <c r="M69" i="39"/>
  <c r="M64" i="40"/>
  <c r="L66" i="40"/>
  <c r="E40" i="36"/>
  <c r="F40" i="36" s="1"/>
  <c r="E41" i="36"/>
  <c r="F41" i="36" s="1"/>
  <c r="C37" i="36"/>
  <c r="B3" i="36" s="1"/>
  <c r="B2" i="36" s="1"/>
  <c r="C36" i="36"/>
  <c r="C7" i="59" l="1"/>
  <c r="D8" i="59"/>
  <c r="N64" i="40"/>
  <c r="N66" i="40" s="1"/>
  <c r="M66" i="40"/>
  <c r="N69" i="39"/>
  <c r="N71" i="39" s="1"/>
  <c r="M71" i="39"/>
  <c r="C6" i="59" l="1"/>
  <c r="D7" i="59"/>
  <c r="J9" i="40"/>
  <c r="H9" i="40"/>
  <c r="F9" i="40"/>
  <c r="J9" i="39"/>
  <c r="H9" i="39"/>
  <c r="F9" i="39"/>
  <c r="C5" i="59" l="1"/>
  <c r="D6"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T5" i="59" l="1"/>
  <c r="D5" i="59"/>
  <c r="M24" i="46"/>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14" i="72" s="1"/>
  <c r="B15" i="72" s="1"/>
  <c r="B27" i="72" s="1"/>
  <c r="C27" i="72" l="1"/>
  <c r="B26" i="66" s="1"/>
  <c r="B30" i="66" s="1"/>
  <c r="B27" i="66"/>
  <c r="B33" i="66" s="1"/>
  <c r="B32" i="66" s="1"/>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14" i="66" l="1"/>
  <c r="B38" i="66"/>
  <c r="B39" i="66" s="1"/>
  <c r="B5" i="39"/>
  <c r="B4" i="39"/>
  <c r="B3" i="39"/>
  <c r="B5" i="40"/>
  <c r="B4" i="40"/>
  <c r="B3" i="40"/>
  <c r="E14" i="66" l="1"/>
  <c r="B5" i="66"/>
  <c r="F14" i="66"/>
  <c r="F20" i="43"/>
  <c r="D20" i="43" s="1"/>
  <c r="F26" i="12"/>
  <c r="F26" i="44"/>
  <c r="F24" i="15"/>
  <c r="C5" i="66" l="1"/>
  <c r="D5" i="66"/>
  <c r="C20" i="43"/>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D15" i="7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KZ</author>
    <author>Han</author>
  </authors>
  <commentList>
    <comment ref="A12" authorId="0">
      <text>
        <r>
          <rPr>
            <b/>
            <sz val="9"/>
            <color indexed="81"/>
            <rFont val="宋体"/>
            <family val="3"/>
            <charset val="134"/>
          </rPr>
          <t>KZ:</t>
        </r>
        <r>
          <rPr>
            <sz val="9"/>
            <color indexed="81"/>
            <rFont val="宋体"/>
            <family val="3"/>
            <charset val="134"/>
          </rPr>
          <t xml:space="preserve">
中指未见，规自委可见</t>
        </r>
      </text>
    </comment>
    <comment ref="BC18" authorId="1">
      <text>
        <r>
          <rPr>
            <b/>
            <sz val="9"/>
            <color indexed="81"/>
            <rFont val="宋体"/>
            <family val="3"/>
            <charset val="134"/>
          </rPr>
          <t>Han:</t>
        </r>
        <r>
          <rPr>
            <sz val="9"/>
            <color indexed="81"/>
            <rFont val="宋体"/>
            <family val="3"/>
            <charset val="134"/>
          </rPr>
          <t xml:space="preserve">
107.33
2488.56</t>
        </r>
      </text>
    </comment>
    <comment ref="BC29" authorId="1">
      <text>
        <r>
          <rPr>
            <b/>
            <sz val="9"/>
            <color indexed="81"/>
            <rFont val="宋体"/>
            <family val="3"/>
            <charset val="134"/>
          </rPr>
          <t>Han:</t>
        </r>
        <r>
          <rPr>
            <sz val="9"/>
            <color indexed="81"/>
            <rFont val="宋体"/>
            <family val="3"/>
            <charset val="134"/>
          </rPr>
          <t xml:space="preserve">
107.33
2488.56</t>
        </r>
      </text>
    </comment>
    <comment ref="A43" authorId="0">
      <text>
        <r>
          <rPr>
            <b/>
            <sz val="9"/>
            <color indexed="81"/>
            <rFont val="宋体"/>
            <family val="3"/>
            <charset val="134"/>
          </rPr>
          <t>KZ:</t>
        </r>
        <r>
          <rPr>
            <sz val="9"/>
            <color indexed="81"/>
            <rFont val="宋体"/>
            <family val="3"/>
            <charset val="134"/>
          </rPr>
          <t xml:space="preserve">
中指未见，规自委可见</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KZ</author>
  </authors>
  <commentList>
    <comment ref="F2" authorId="0">
      <text>
        <r>
          <rPr>
            <b/>
            <sz val="9"/>
            <color indexed="81"/>
            <rFont val="宋体"/>
            <family val="3"/>
            <charset val="134"/>
          </rPr>
          <t>KZ:</t>
        </r>
        <r>
          <rPr>
            <sz val="9"/>
            <color indexed="81"/>
            <rFont val="宋体"/>
            <family val="3"/>
            <charset val="134"/>
          </rPr>
          <t xml:space="preserve">
依据：京港报告</t>
        </r>
      </text>
    </comment>
    <comment ref="L4" authorId="0">
      <text>
        <r>
          <rPr>
            <b/>
            <sz val="9"/>
            <color indexed="81"/>
            <rFont val="宋体"/>
            <family val="3"/>
            <charset val="134"/>
          </rPr>
          <t>KZ:</t>
        </r>
        <r>
          <rPr>
            <sz val="9"/>
            <color indexed="81"/>
            <rFont val="宋体"/>
            <family val="3"/>
            <charset val="134"/>
          </rPr>
          <t xml:space="preserve">
还建依据：京港报告</t>
        </r>
      </text>
    </comment>
    <comment ref="F8" authorId="0">
      <text>
        <r>
          <rPr>
            <b/>
            <sz val="9"/>
            <color indexed="81"/>
            <rFont val="宋体"/>
            <family val="3"/>
            <charset val="134"/>
          </rPr>
          <t>KZ:</t>
        </r>
        <r>
          <rPr>
            <sz val="9"/>
            <color indexed="81"/>
            <rFont val="宋体"/>
            <family val="3"/>
            <charset val="134"/>
          </rPr>
          <t xml:space="preserve">
依据：京港报告</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rgb="FF000000"/>
            <rFont val="仿宋_GB2312"/>
            <family val="3"/>
            <charset val="134"/>
          </rPr>
          <t>委托估价方尚未取得《建筑工程施工许可证》，但已开始进行土方工程建设，并建有数幢临时工程用房。</t>
        </r>
        <r>
          <rPr>
            <sz val="10"/>
            <color rgb="FF000000"/>
            <rFont val="仿宋_GB2312"/>
            <family val="3"/>
            <charset val="134"/>
          </rPr>
          <t xml:space="preserve">
</t>
        </r>
        <r>
          <rPr>
            <sz val="10"/>
            <color rgb="FF000000"/>
            <rFont val="仿宋_GB2312"/>
            <family val="3"/>
            <charset val="134"/>
          </rPr>
          <t>宗地内有需要移除的树木。</t>
        </r>
        <r>
          <rPr>
            <sz val="9"/>
            <color rgb="FF000000"/>
            <rFont val="宋体"/>
            <family val="3"/>
            <charset val="134"/>
          </rPr>
          <t xml:space="preserve">
</t>
        </r>
        <r>
          <rPr>
            <sz val="10"/>
            <color rgb="FF000000"/>
            <rFont val="仿宋_GB2312"/>
            <family val="3"/>
            <charset val="134"/>
          </rPr>
          <t>尚有部分待拆迁建筑物。</t>
        </r>
      </text>
    </comment>
    <comment ref="E36" authorId="0">
      <text>
        <r>
          <rPr>
            <sz val="10"/>
            <color rgb="FF000000"/>
            <rFont val="仿宋_GB2312"/>
            <family val="3"/>
            <charset val="134"/>
          </rPr>
          <t>依据该宗地《挂牌出让公告》</t>
        </r>
        <r>
          <rPr>
            <sz val="10"/>
            <color rgb="FF000000"/>
            <rFont val="仿宋_GB2312"/>
            <family val="3"/>
            <charset val="134"/>
          </rPr>
          <t>/</t>
        </r>
        <r>
          <rPr>
            <sz val="10"/>
            <color rgb="FF000000"/>
            <rFont val="仿宋_GB2312"/>
            <family val="3"/>
            <charset val="134"/>
          </rPr>
          <t>《开发补偿协议》，该宗地以“</t>
        </r>
        <r>
          <rPr>
            <sz val="10"/>
            <color rgb="FF000000"/>
            <rFont val="仿宋_GB2312"/>
            <family val="3"/>
            <charset val="134"/>
          </rPr>
          <t>X</t>
        </r>
        <r>
          <rPr>
            <sz val="10"/>
            <color rgb="FF000000"/>
            <rFont val="仿宋_GB2312"/>
            <family val="3"/>
            <charset val="134"/>
          </rPr>
          <t>通一平”的形式供地</t>
        </r>
        <r>
          <rPr>
            <sz val="9"/>
            <color rgb="FF000000"/>
            <rFont val="宋体"/>
            <family val="3"/>
            <charset val="134"/>
          </rPr>
          <t xml:space="preserve">
</t>
        </r>
      </text>
    </comment>
    <comment ref="H36" authorId="0">
      <text>
        <r>
          <rPr>
            <sz val="10"/>
            <color rgb="FF000000"/>
            <rFont val="仿宋_GB2312"/>
            <family val="3"/>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rgb="FF000000"/>
            <rFont val="宋体"/>
            <family val="3"/>
            <charset val="134"/>
          </rPr>
          <t xml:space="preserve">moqikay:
</t>
        </r>
        <r>
          <rPr>
            <b/>
            <sz val="8"/>
            <color rgb="FF000000"/>
            <rFont val="宋体"/>
            <family val="3"/>
            <charset val="134"/>
          </rPr>
          <t>东城区、西城区、北京经济技术开发区范围内，以及在朝阳、海淀、丰台、石景山、门头沟、燕山六个区所属的街道办事处管辖范围内的，税率为</t>
        </r>
        <r>
          <rPr>
            <b/>
            <sz val="8"/>
            <color rgb="FF000000"/>
            <rFont val="宋体"/>
            <family val="3"/>
            <charset val="134"/>
          </rPr>
          <t>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<sst xmlns="http://schemas.openxmlformats.org/spreadsheetml/2006/main" count="9668" uniqueCount="3831">
  <si>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</si>
  <si>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</si>
  <si>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</si>
  <si>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</si>
  <si>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</si>
  <si>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</si>
  <si>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</si>
  <si>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</si>
  <si>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</si>
  <si>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</si>
  <si>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</si>
  <si>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</si>
  <si>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</si>
  <si>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</si>
  <si>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</si>
  <si>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</si>
  <si>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</si>
  <si>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</si>
  <si>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</si>
  <si>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</si>
  <si>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</si>
  <si>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</si>
  <si>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</si>
  <si>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</si>
  <si>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</si>
  <si>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</si>
  <si>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</si>
  <si>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</si>
  <si>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</si>
  <si>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</si>
  <si>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</si>
  <si>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</si>
  <si>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</si>
  <si>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</si>
  <si>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</si>
  <si>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</si>
  <si>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</si>
  <si>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</si>
  <si>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</si>
  <si>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</si>
  <si>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</si>
  <si>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</si>
  <si>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</si>
  <si>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</si>
  <si>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</si>
  <si>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</si>
  <si>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</si>
  <si>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</si>
  <si>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</si>
  <si>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</si>
  <si>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</si>
  <si>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</si>
  <si>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</si>
  <si>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</si>
  <si>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</si>
  <si>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</si>
  <si>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</si>
  <si>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</si>
  <si>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</si>
  <si>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</si>
  <si>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</si>
  <si>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</si>
  <si>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</si>
  <si>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</si>
  <si>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</si>
  <si>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</si>
  <si>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</si>
  <si>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</si>
  <si>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</si>
  <si>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</si>
  <si>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</si>
  <si>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</si>
  <si>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</si>
  <si>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</si>
  <si>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</si>
  <si>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</si>
  <si>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</si>
  <si>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</si>
  <si>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</si>
  <si>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</si>
  <si>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</si>
  <si>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</si>
  <si>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</si>
  <si>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</si>
  <si>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</si>
  <si>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</si>
  <si>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</si>
  <si>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</si>
  <si>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</si>
  <si>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</si>
  <si>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</si>
  <si>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</si>
  <si>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</si>
  <si>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</si>
  <si>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</si>
  <si>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</si>
  <si>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</si>
  <si>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</si>
  <si>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</si>
  <si>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</si>
  <si>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</si>
  <si>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</si>
  <si>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</si>
  <si>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</si>
  <si>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</si>
  <si>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</si>
  <si>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</si>
  <si>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</si>
  <si>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</si>
  <si>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</si>
  <si>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</si>
  <si>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</si>
  <si>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</si>
  <si>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</si>
  <si>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</si>
  <si>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</si>
  <si>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</si>
  <si>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</si>
  <si>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</si>
  <si>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</si>
  <si>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</si>
  <si>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</si>
  <si>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</si>
  <si>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</si>
  <si>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</si>
  <si>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</si>
  <si>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</si>
  <si>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</si>
  <si>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</si>
  <si>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</si>
  <si>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</si>
  <si>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</si>
  <si>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</si>
  <si>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</si>
  <si>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</si>
  <si>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</si>
  <si>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</si>
  <si>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</si>
  <si>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</si>
  <si>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</si>
  <si>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</si>
  <si>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</si>
  <si>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</si>
  <si>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</si>
  <si>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</si>
  <si>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</si>
  <si>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</si>
  <si>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</si>
  <si>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</si>
  <si>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</si>
  <si>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</si>
  <si>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</si>
  <si>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</si>
  <si>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</si>
  <si>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</si>
  <si>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</si>
  <si>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</si>
  <si>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</si>
  <si>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</si>
  <si>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</si>
  <si>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</si>
  <si>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</si>
  <si>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</si>
  <si>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</si>
  <si>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</si>
  <si>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</si>
  <si>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</si>
  <si>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</si>
  <si>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</si>
  <si>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</si>
  <si>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</si>
  <si>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</si>
  <si>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</si>
  <si>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</si>
  <si>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</si>
  <si>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</si>
  <si>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</si>
  <si>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</si>
  <si>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</si>
  <si>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</si>
  <si>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</si>
  <si>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</si>
  <si>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</si>
  <si>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</si>
  <si>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</si>
  <si>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</si>
  <si>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</si>
  <si>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</si>
  <si>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</si>
  <si>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</si>
  <si>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</si>
  <si>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</si>
  <si>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</si>
  <si>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</si>
  <si>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</si>
  <si>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</si>
  <si>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</si>
  <si>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</si>
  <si>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</si>
  <si>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</si>
  <si>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</si>
  <si>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</si>
  <si>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</si>
  <si>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</si>
  <si>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</si>
  <si>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</si>
  <si>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</si>
  <si>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</si>
  <si>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</si>
  <si>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</si>
  <si>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</si>
  <si>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</si>
  <si>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</si>
  <si>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</si>
  <si>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</si>
  <si>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</si>
  <si>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</si>
  <si>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</si>
  <si>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</si>
  <si>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</si>
  <si>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</si>
  <si>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</si>
  <si>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</si>
  <si>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</si>
  <si>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</si>
  <si>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</si>
  <si>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</si>
  <si>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</si>
  <si>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</si>
  <si>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</si>
  <si>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</si>
  <si>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</si>
  <si>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</si>
  <si>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</si>
  <si>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</si>
  <si>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</si>
  <si>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</si>
  <si>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</si>
  <si>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</si>
  <si>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</si>
  <si>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</si>
  <si>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</si>
  <si>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</si>
  <si>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</si>
  <si>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</si>
  <si>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</si>
  <si>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</si>
  <si>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</si>
  <si>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</si>
  <si>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</si>
  <si>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</si>
  <si>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</si>
  <si>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</si>
  <si>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</si>
  <si>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</si>
  <si>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</si>
  <si>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</si>
  <si>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</si>
  <si>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</si>
  <si>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</si>
  <si>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</si>
  <si>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</si>
  <si>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</si>
  <si>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</si>
  <si>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</si>
  <si>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</si>
  <si>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</si>
  <si>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</si>
  <si>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</si>
  <si>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</si>
  <si>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</si>
  <si>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</si>
  <si>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</si>
  <si>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</si>
  <si>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</si>
  <si>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</si>
  <si>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</si>
  <si>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</si>
  <si>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</si>
  <si>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</si>
  <si>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</si>
  <si>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</si>
  <si>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</si>
  <si>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</si>
  <si>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</si>
  <si>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</si>
  <si>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</si>
  <si>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</si>
  <si>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</si>
  <si>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</si>
  <si>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</si>
  <si>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</si>
  <si>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</si>
  <si>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</si>
  <si>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</si>
  <si>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</si>
  <si>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</si>
  <si>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</si>
  <si>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</si>
  <si>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</si>
  <si>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</si>
  <si>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</si>
  <si>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</si>
  <si>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</si>
  <si>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</si>
  <si>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</si>
  <si>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</si>
  <si>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</si>
  <si>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</si>
  <si>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</si>
  <si>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</si>
  <si>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</si>
  <si>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</si>
  <si>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</si>
  <si>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</si>
  <si>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</si>
  <si>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</si>
  <si>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</si>
  <si>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</si>
  <si>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</si>
  <si>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</si>
  <si>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</si>
  <si>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</si>
  <si>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</si>
  <si>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</si>
  <si>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</si>
  <si>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</si>
  <si>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</si>
  <si>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</si>
  <si>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</si>
  <si>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</si>
  <si>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</si>
  <si>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</si>
  <si>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</si>
  <si>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</si>
  <si>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</si>
  <si>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</si>
  <si>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</si>
  <si>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</si>
  <si>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</si>
  <si>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</si>
  <si>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</si>
  <si>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</si>
  <si>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</si>
  <si>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</si>
  <si>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</si>
  <si>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</si>
  <si>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</si>
  <si>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</si>
  <si>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</si>
  <si>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</si>
  <si>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</si>
  <si>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</si>
  <si>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</si>
  <si>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</si>
  <si>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</si>
  <si>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</si>
  <si>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</si>
  <si>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</si>
  <si>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</si>
  <si>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</si>
  <si>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</si>
  <si>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</si>
  <si>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</si>
  <si>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</si>
  <si>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</si>
  <si>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</si>
  <si>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</si>
  <si>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</si>
  <si>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</si>
  <si>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</si>
  <si>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</si>
  <si>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</si>
  <si>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</si>
  <si>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</si>
  <si>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</si>
  <si>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</si>
  <si>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</si>
  <si>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</si>
  <si>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</si>
  <si>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</si>
  <si>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</si>
  <si>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</si>
  <si>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</si>
  <si>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</si>
  <si>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</si>
  <si>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</si>
  <si>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</si>
  <si>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</si>
  <si>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</si>
  <si>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</si>
  <si>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</si>
  <si>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</si>
  <si>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</si>
  <si>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</si>
  <si>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</si>
  <si>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</si>
  <si>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</si>
  <si>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</si>
  <si>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</si>
  <si>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</si>
  <si>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</si>
  <si>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</si>
  <si>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</si>
  <si>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</si>
  <si>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</si>
  <si>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</si>
  <si>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</si>
  <si>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</si>
  <si>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</si>
  <si>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</si>
  <si>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</si>
  <si>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</si>
  <si>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</si>
  <si>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</si>
  <si>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</si>
  <si>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</si>
  <si>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</si>
  <si>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</si>
  <si>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</si>
  <si>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</si>
  <si>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</si>
  <si>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</si>
  <si>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</si>
  <si>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</si>
  <si>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</si>
  <si>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</si>
  <si>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</si>
  <si>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</si>
  <si>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</si>
  <si>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</si>
  <si>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</si>
  <si>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</si>
  <si>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</si>
  <si>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</si>
  <si>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</si>
  <si>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</si>
  <si>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</si>
  <si>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</si>
  <si>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</si>
  <si>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</si>
  <si>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</si>
  <si>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</si>
  <si>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</si>
  <si>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</si>
  <si>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</si>
  <si>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</si>
  <si>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</si>
  <si>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</si>
  <si>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</si>
  <si>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</si>
  <si>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</si>
  <si>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</si>
  <si>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</si>
  <si>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</si>
  <si>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</si>
  <si>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</si>
  <si>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</si>
  <si>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</si>
  <si>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</si>
  <si>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</si>
  <si>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</si>
  <si>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</si>
  <si>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</si>
  <si>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</si>
  <si>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</si>
  <si>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</si>
  <si>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</si>
  <si>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</si>
  <si>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</si>
  <si>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</si>
  <si>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</si>
  <si>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</si>
  <si>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</si>
  <si>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</si>
  <si>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</si>
  <si>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</si>
  <si>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</si>
  <si>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</si>
  <si>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</si>
  <si>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</si>
  <si>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</si>
  <si>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</si>
  <si>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</si>
  <si>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</si>
  <si>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</si>
  <si>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</si>
  <si>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</si>
  <si>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</si>
  <si>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</si>
  <si>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</si>
  <si>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</si>
  <si>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</si>
  <si>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</si>
  <si>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</si>
  <si>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</si>
  <si>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</si>
  <si>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</si>
  <si>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</si>
  <si>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</si>
  <si>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</si>
  <si>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</si>
  <si>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</si>
  <si>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</si>
  <si>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</si>
  <si>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</si>
  <si>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</si>
  <si>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</si>
  <si>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</si>
  <si>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</si>
  <si>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</si>
  <si>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</si>
  <si>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</si>
  <si>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</si>
  <si>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</si>
  <si>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</si>
  <si>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</si>
  <si>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</si>
  <si>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</si>
  <si>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</si>
  <si>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</si>
  <si>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</si>
  <si>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</si>
  <si>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</si>
  <si>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</si>
  <si>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</si>
  <si>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</si>
  <si>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</si>
  <si>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</si>
  <si>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</si>
  <si>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</si>
  <si>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</si>
  <si>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</si>
  <si>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</si>
  <si>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</si>
  <si>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</si>
  <si>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</si>
  <si>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</si>
  <si>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</si>
  <si>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</si>
  <si>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</si>
  <si>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</si>
  <si>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</si>
  <si>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</si>
  <si>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</si>
  <si>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</si>
  <si>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</si>
  <si>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</si>
  <si>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</si>
  <si>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</si>
  <si>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</si>
  <si>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</si>
  <si>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</si>
  <si>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</si>
  <si>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</si>
  <si>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</si>
  <si>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</si>
  <si>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</si>
  <si>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</si>
  <si>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</si>
  <si>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</si>
  <si>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</si>
  <si>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</si>
  <si>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</si>
  <si>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</si>
  <si>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</si>
  <si>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</si>
  <si>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</si>
  <si>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</si>
  <si>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</si>
  <si>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</si>
  <si>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</si>
  <si>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</si>
  <si>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</si>
  <si>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</si>
  <si>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</si>
  <si>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</si>
  <si>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</si>
  <si>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</si>
  <si>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</si>
  <si>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</si>
  <si>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</si>
  <si>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</si>
  <si>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</si>
  <si>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</si>
  <si>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</si>
  <si>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</si>
  <si>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</si>
  <si>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</si>
  <si>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</si>
  <si>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</si>
  <si>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</si>
  <si>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</si>
  <si>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</si>
  <si>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</si>
  <si>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</si>
  <si>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</si>
  <si>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</si>
  <si>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</si>
  <si>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</si>
  <si>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</si>
  <si>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</si>
  <si>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</si>
  <si>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</si>
  <si>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</si>
  <si>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</si>
  <si>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</si>
  <si>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</si>
  <si>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</si>
  <si>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</si>
  <si>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</si>
  <si>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</si>
  <si>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</si>
  <si>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</si>
  <si>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</si>
  <si>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</si>
  <si>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</si>
  <si>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</si>
  <si>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</si>
  <si>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</si>
  <si>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</si>
  <si>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</si>
  <si>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</si>
  <si>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</si>
  <si>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</si>
  <si>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</si>
  <si>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</si>
  <si>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</si>
  <si>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</si>
  <si>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</si>
  <si>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</si>
  <si>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</si>
  <si>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</si>
  <si>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</si>
  <si>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</si>
  <si>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</si>
  <si>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</si>
  <si>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</si>
  <si>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</si>
  <si>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</si>
  <si>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</si>
  <si>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</si>
  <si>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</si>
  <si>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</si>
  <si>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</si>
  <si>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</si>
  <si>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</si>
  <si>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</si>
  <si>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</si>
  <si>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</si>
  <si>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</si>
  <si>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</si>
  <si>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</si>
  <si>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</si>
  <si>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</si>
  <si>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</si>
  <si>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</si>
  <si>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</si>
  <si>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</si>
  <si>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</si>
  <si>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</si>
  <si>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</si>
  <si>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</si>
  <si>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</si>
  <si>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</si>
  <si>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</si>
  <si>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</si>
  <si>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</si>
  <si>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</si>
  <si>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</si>
  <si>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</si>
  <si>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</si>
  <si>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</si>
  <si>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</si>
  <si>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</si>
  <si>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</si>
  <si>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</si>
  <si>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</si>
  <si>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</si>
  <si>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</si>
  <si>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</si>
  <si>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</si>
  <si>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</si>
  <si>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</si>
  <si>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</si>
  <si>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</si>
  <si>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</si>
  <si>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</si>
  <si>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</si>
  <si>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</si>
  <si>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</si>
  <si>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</si>
  <si>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</si>
  <si>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</si>
  <si>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</si>
  <si>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</si>
  <si>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</si>
  <si>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</si>
  <si>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</si>
  <si>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</si>
  <si>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</si>
  <si>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</si>
  <si>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</si>
  <si>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</si>
  <si>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</si>
  <si>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</si>
  <si>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</si>
  <si>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</si>
  <si>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</si>
  <si>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</si>
  <si>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</si>
  <si>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</si>
  <si>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</si>
  <si>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</si>
  <si>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</si>
  <si>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</si>
  <si>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</si>
  <si>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</si>
  <si>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</si>
  <si>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</si>
  <si>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</si>
  <si>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</si>
  <si>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</si>
  <si>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</si>
  <si>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</si>
  <si>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</si>
  <si>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</si>
  <si>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</si>
  <si>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</si>
  <si>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</si>
  <si>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</si>
  <si>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</si>
  <si>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</si>
  <si>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</si>
  <si>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</si>
  <si>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</si>
  <si>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</si>
  <si>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</si>
  <si>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</si>
  <si>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</si>
  <si>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</si>
  <si>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</si>
  <si>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</si>
  <si>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</si>
  <si>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</si>
  <si>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</si>
  <si>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</si>
  <si>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</si>
  <si>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</si>
  <si>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</si>
  <si>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</si>
  <si>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</si>
  <si>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</si>
  <si>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</si>
  <si>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</si>
  <si>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</si>
  <si>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</si>
  <si>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</si>
  <si>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</si>
  <si>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</si>
  <si>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</si>
  <si>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</si>
  <si>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</si>
  <si>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</si>
  <si>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</si>
  <si>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</si>
  <si>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</si>
  <si>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</si>
  <si>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</si>
  <si>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</si>
  <si>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</si>
  <si>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</si>
  <si>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</si>
  <si>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</si>
  <si>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</si>
  <si>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</si>
  <si>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</si>
  <si>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</si>
  <si>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</si>
  <si>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</si>
  <si>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</si>
  <si>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</si>
  <si>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</si>
  <si>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</si>
  <si>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</si>
  <si>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</si>
  <si>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</si>
  <si>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</si>
  <si>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</si>
  <si>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</si>
  <si>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</si>
  <si>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</si>
  <si>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</si>
  <si>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</si>
  <si>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</si>
  <si>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</si>
  <si>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</si>
  <si>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</si>
  <si>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</si>
  <si>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</si>
  <si>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</si>
  <si>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</si>
  <si>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</si>
  <si>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</si>
  <si>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</si>
  <si>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</si>
  <si>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</si>
  <si>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</si>
  <si>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</si>
  <si>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</si>
  <si>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</si>
  <si>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</si>
  <si>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</si>
  <si>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</si>
  <si>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</si>
  <si>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</si>
  <si>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</si>
  <si>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</si>
  <si>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</si>
  <si>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</si>
  <si>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</si>
  <si>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</si>
  <si>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</si>
  <si>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</si>
  <si>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</si>
  <si>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</si>
  <si>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</si>
  <si>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</si>
  <si>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</si>
  <si>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</si>
  <si>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</si>
  <si>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</si>
  <si>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</si>
  <si>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</si>
  <si>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</si>
  <si>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</si>
  <si>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</si>
  <si>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</si>
  <si>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</si>
  <si>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</si>
  <si>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</si>
  <si>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</si>
  <si>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</si>
  <si>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</si>
  <si>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</si>
  <si>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</si>
  <si>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</si>
  <si>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</si>
  <si>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</si>
  <si>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</si>
  <si>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</si>
  <si>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</si>
  <si>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</si>
  <si>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</si>
  <si>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</si>
  <si>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</si>
  <si>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</si>
  <si>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</si>
  <si>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</si>
  <si>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</si>
  <si>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</si>
  <si>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</si>
  <si>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</si>
  <si>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</si>
  <si>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</si>
  <si>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</si>
  <si>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</si>
  <si>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</si>
  <si>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</si>
  <si>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</si>
  <si>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</si>
  <si>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</si>
  <si>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</si>
  <si>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</si>
  <si>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</si>
  <si>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</si>
  <si>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</si>
  <si>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</si>
  <si>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</si>
  <si>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</si>
  <si>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</si>
  <si>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</si>
  <si>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</si>
  <si>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</si>
  <si>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</si>
  <si>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</si>
  <si>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</si>
  <si>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</si>
  <si>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</si>
  <si>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</si>
  <si>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</si>
  <si>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</si>
  <si>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</si>
  <si>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</si>
  <si>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</si>
  <si>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</si>
  <si>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</si>
  <si>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</si>
  <si>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</si>
  <si>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</si>
  <si>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</si>
  <si>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</si>
  <si>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</si>
  <si>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</si>
  <si>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</si>
  <si>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</si>
  <si>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</si>
  <si>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</si>
  <si>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</si>
  <si>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</si>
  <si>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</si>
  <si>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</si>
  <si>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</si>
  <si>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</si>
  <si>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</si>
  <si>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</si>
  <si>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</si>
  <si>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</si>
  <si>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</si>
  <si>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</si>
  <si>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</si>
  <si>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</si>
  <si>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</si>
  <si>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</si>
  <si>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</si>
  <si>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</si>
  <si>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</si>
  <si>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</si>
  <si>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</si>
  <si>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</si>
  <si>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</si>
  <si>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</si>
  <si>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</si>
  <si>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</si>
  <si>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</si>
  <si>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</si>
  <si>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</si>
  <si>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</si>
  <si>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</si>
  <si>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</si>
  <si>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</si>
  <si>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</si>
  <si>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</si>
  <si>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</si>
  <si>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</si>
  <si>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</si>
  <si>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</si>
  <si>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</si>
  <si>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</si>
  <si>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</si>
  <si>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</si>
  <si>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</si>
  <si>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</si>
  <si>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</si>
  <si>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</si>
  <si>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</si>
  <si>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</si>
  <si>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</si>
  <si>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</si>
  <si>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</si>
  <si>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</si>
  <si>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</si>
  <si>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</si>
  <si>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</si>
  <si>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</si>
  <si>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</si>
  <si>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</si>
  <si>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</si>
  <si>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</si>
  <si>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</si>
  <si>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</si>
  <si>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</si>
  <si>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</si>
  <si>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</si>
  <si>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</si>
  <si>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</si>
  <si>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</si>
  <si>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</si>
  <si>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</si>
  <si>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</si>
  <si>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</si>
  <si>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</si>
  <si>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</si>
  <si>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</si>
  <si>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</si>
  <si>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</si>
  <si>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</si>
  <si>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</si>
  <si>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</si>
  <si>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</si>
  <si>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</si>
  <si>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</si>
  <si>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</si>
  <si>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</si>
  <si>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</si>
  <si>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</si>
  <si>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</si>
  <si>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</si>
  <si>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</si>
  <si>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</si>
  <si>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</si>
  <si>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</si>
  <si>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</si>
  <si>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</si>
  <si>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</si>
  <si>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</si>
  <si>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</si>
  <si>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</si>
  <si>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</si>
  <si>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</si>
  <si>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</si>
  <si>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</si>
  <si>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</si>
  <si>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</si>
  <si>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</si>
  <si>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</si>
  <si>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</si>
  <si>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</si>
  <si>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</si>
  <si>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</si>
  <si>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</si>
  <si>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</si>
  <si>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</si>
  <si>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</si>
  <si>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</si>
  <si>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</si>
  <si>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</si>
  <si>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</si>
  <si>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</si>
  <si>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</si>
  <si>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</si>
  <si>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</si>
  <si>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</si>
  <si>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</si>
  <si>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</si>
  <si>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</si>
  <si>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</si>
  <si>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</si>
  <si>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</si>
  <si>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</si>
  <si>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</si>
  <si>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</si>
  <si>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</si>
  <si>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</si>
  <si>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</si>
  <si>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</si>
  <si>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</si>
  <si>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</si>
  <si>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</si>
  <si>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</si>
  <si>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</si>
  <si>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</si>
  <si>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</si>
  <si>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</si>
  <si>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</si>
  <si>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</si>
  <si>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</si>
  <si>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</si>
  <si>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</si>
  <si>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</si>
  <si>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</si>
  <si>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</si>
  <si>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</si>
  <si>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</si>
  <si>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</si>
  <si>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</si>
  <si>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</si>
  <si>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</si>
  <si>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</si>
  <si>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</si>
  <si>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</si>
  <si>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</si>
  <si>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</si>
  <si>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</si>
  <si>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</si>
  <si>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</si>
  <si>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</si>
  <si>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</si>
  <si>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</si>
  <si>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</si>
  <si>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</si>
  <si>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</si>
  <si>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</si>
  <si>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</si>
  <si>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</si>
  <si>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</si>
  <si>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</si>
  <si>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</si>
  <si>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</si>
  <si>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</si>
  <si>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</si>
  <si>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</si>
  <si>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</si>
  <si>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</si>
  <si>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</si>
  <si>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</si>
  <si>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</si>
  <si>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</si>
  <si>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</si>
  <si>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</si>
  <si>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</si>
  <si>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</si>
  <si>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</si>
  <si>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</si>
  <si>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</si>
  <si>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</si>
  <si>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</si>
  <si>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</si>
  <si>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</si>
  <si>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</si>
  <si>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</si>
  <si>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</si>
  <si>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</si>
  <si>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</si>
  <si>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</si>
  <si>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</si>
  <si>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</si>
  <si>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</si>
  <si>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</si>
  <si>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</si>
  <si>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</si>
  <si>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</si>
  <si>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</si>
  <si>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</si>
  <si>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</si>
  <si>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</si>
  <si>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</si>
  <si>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</si>
  <si>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</si>
  <si>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</si>
  <si>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</si>
  <si>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</si>
  <si>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</si>
  <si>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</si>
  <si>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</si>
  <si>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</si>
  <si>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</si>
  <si>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</si>
  <si>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</si>
  <si>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</si>
  <si>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</si>
  <si>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</si>
  <si>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</si>
  <si>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</si>
  <si>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</si>
  <si>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</si>
  <si>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</si>
  <si>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</si>
  <si>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</si>
  <si>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</si>
  <si>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</si>
  <si>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</si>
  <si>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</si>
  <si>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</si>
  <si>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</si>
  <si>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</si>
  <si>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</si>
  <si>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</si>
  <si>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</si>
  <si>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</si>
  <si>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</si>
  <si>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</si>
  <si>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</si>
  <si>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</si>
  <si>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</si>
  <si>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</si>
  <si>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</si>
  <si>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</si>
  <si>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</si>
  <si>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</si>
  <si>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</si>
  <si>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</si>
  <si>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</si>
  <si>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</si>
  <si>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</si>
  <si>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</si>
  <si>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</si>
  <si>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</si>
  <si>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</si>
  <si>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</si>
  <si>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</si>
  <si>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</si>
  <si>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</si>
  <si>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</si>
  <si>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</si>
  <si>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</si>
  <si>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</si>
  <si>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</si>
  <si>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</si>
  <si>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</si>
  <si>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</si>
  <si>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</si>
  <si>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</si>
  <si>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</si>
  <si>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</si>
  <si>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</si>
  <si>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</si>
  <si>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</si>
  <si>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</si>
  <si>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</si>
  <si>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</si>
  <si>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</si>
  <si>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</si>
  <si>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</si>
  <si>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</si>
  <si>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</si>
  <si>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</si>
  <si>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</si>
  <si>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</si>
  <si>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</si>
  <si>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</si>
  <si>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</si>
  <si>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</si>
  <si>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</si>
  <si>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</si>
  <si>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</si>
  <si>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</si>
  <si>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</si>
  <si>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</si>
  <si>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</si>
  <si>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</si>
  <si>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</si>
  <si>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</si>
  <si>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</si>
  <si>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</si>
  <si>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</si>
  <si>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</si>
  <si>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</si>
  <si>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</si>
  <si>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</si>
  <si>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</si>
  <si>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</si>
  <si>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</si>
  <si>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</si>
  <si>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</si>
  <si>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</si>
  <si>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</si>
  <si>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</si>
  <si>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</si>
  <si>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</si>
  <si>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</si>
  <si>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</si>
  <si>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</si>
  <si>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</si>
  <si>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</si>
  <si>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</si>
  <si>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</si>
  <si>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</si>
  <si>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</si>
  <si>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</si>
  <si>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</si>
  <si>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</si>
  <si>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</si>
  <si>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</si>
  <si>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</si>
  <si>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</si>
  <si>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</si>
  <si>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</si>
  <si>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</si>
  <si>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</si>
  <si>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</si>
  <si>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</si>
  <si>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</si>
  <si>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</si>
  <si>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</si>
  <si>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</si>
  <si>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</si>
  <si>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</si>
  <si>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</si>
  <si>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</si>
  <si>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</si>
  <si>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</si>
  <si>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</si>
  <si>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</si>
  <si>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</si>
  <si>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</si>
  <si>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</si>
  <si>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</si>
  <si>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</si>
  <si>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</si>
  <si>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</si>
  <si>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</si>
  <si>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</si>
  <si>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</si>
  <si>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</si>
  <si>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</si>
  <si>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</si>
  <si>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</si>
  <si>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</si>
  <si>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</si>
  <si>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</si>
  <si>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</si>
  <si>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</si>
  <si>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</si>
  <si>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</si>
  <si>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</si>
  <si>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</si>
  <si>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</si>
  <si>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</si>
  <si>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</si>
  <si>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</si>
  <si>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</si>
  <si>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</si>
  <si>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</si>
  <si>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</si>
  <si>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</si>
  <si>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</si>
  <si>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</si>
  <si>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</si>
  <si>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</si>
  <si>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</si>
  <si>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</si>
  <si>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</si>
  <si>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</si>
  <si>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</si>
  <si>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</si>
  <si>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</si>
  <si>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</si>
  <si>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</si>
  <si>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</si>
  <si>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</si>
  <si>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</si>
  <si>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</si>
  <si>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</si>
  <si>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</si>
  <si>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</si>
  <si>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</si>
  <si>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</si>
  <si>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</si>
  <si>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</si>
  <si>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</si>
  <si>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</si>
  <si>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</si>
  <si>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</si>
  <si>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</si>
  <si>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</si>
  <si>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</si>
  <si>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</si>
  <si>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</si>
  <si>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</si>
  <si>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</si>
  <si>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</si>
  <si>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</si>
  <si>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</si>
  <si>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</si>
  <si>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</si>
  <si>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</si>
  <si>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</si>
  <si>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</si>
  <si>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</si>
  <si>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</si>
  <si>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</si>
  <si>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</si>
  <si>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</si>
  <si>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</si>
  <si>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</si>
  <si>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</si>
  <si>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</si>
  <si>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</si>
  <si>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</si>
  <si>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</si>
  <si>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</si>
  <si>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</si>
  <si>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</si>
  <si>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</si>
  <si>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</si>
  <si>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</si>
  <si>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</si>
  <si>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</si>
  <si>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</si>
  <si>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</si>
  <si>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</si>
  <si>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</si>
  <si>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</si>
  <si>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</si>
  <si>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</si>
  <si>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</si>
  <si>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</si>
  <si>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</si>
  <si>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</si>
  <si>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</si>
  <si>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</si>
  <si>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</si>
  <si>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</si>
  <si>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</si>
  <si>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</si>
  <si>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</si>
  <si>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</si>
  <si>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</si>
  <si>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</si>
  <si>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</si>
  <si>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</si>
  <si>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</si>
  <si>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</si>
  <si>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</si>
  <si>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</si>
  <si>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</si>
  <si>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</si>
  <si>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</si>
  <si>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</si>
  <si>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</si>
  <si>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</si>
  <si>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</si>
  <si>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</si>
  <si>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</si>
  <si>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</si>
  <si>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</si>
  <si>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</si>
  <si>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</si>
  <si>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</si>
  <si>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</si>
  <si>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</si>
  <si>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</si>
  <si>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</si>
  <si>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</si>
  <si>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</si>
  <si>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</si>
  <si>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</si>
  <si>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</si>
  <si>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</si>
  <si>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</si>
  <si>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</si>
  <si>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</si>
  <si>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</si>
  <si>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</si>
  <si>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</si>
  <si>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</si>
  <si>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</si>
  <si>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</si>
  <si>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</si>
  <si>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</si>
  <si>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</si>
  <si>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</si>
  <si>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</si>
  <si>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</si>
  <si>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</si>
  <si>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</si>
  <si>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</si>
  <si>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</si>
  <si>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</si>
  <si>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</si>
  <si>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</si>
  <si>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</si>
  <si>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</si>
  <si>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</si>
  <si>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</si>
  <si>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</si>
  <si>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</si>
  <si>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</si>
  <si>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</si>
  <si>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</si>
  <si>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</si>
  <si>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</si>
  <si>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</si>
  <si>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</si>
  <si>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</si>
  <si>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</si>
  <si>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</si>
  <si>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</si>
  <si>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</si>
  <si>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</si>
  <si>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</si>
  <si>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</si>
  <si>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</si>
  <si>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</si>
  <si>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</si>
  <si>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</si>
  <si>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</si>
  <si>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</si>
  <si>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</si>
  <si>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</si>
  <si>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</si>
  <si>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</si>
  <si>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</si>
  <si>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</si>
  <si>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</si>
  <si>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</si>
  <si>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</si>
  <si>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</si>
  <si>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</si>
  <si>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</si>
  <si>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</si>
  <si>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</si>
  <si>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</si>
  <si>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</si>
  <si>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</si>
  <si>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</si>
  <si>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</si>
  <si>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</si>
  <si>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</si>
  <si>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</si>
  <si>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</si>
  <si>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</si>
  <si>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</si>
  <si>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</si>
  <si>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</si>
  <si>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</si>
  <si>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</si>
  <si>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</si>
  <si>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</si>
  <si>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</si>
  <si>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</si>
  <si>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</si>
  <si>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</si>
  <si>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</si>
  <si>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</si>
  <si>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</si>
  <si>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</si>
  <si>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</si>
  <si>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</si>
  <si>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</si>
  <si>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</si>
  <si>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</si>
  <si>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</si>
  <si>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</si>
  <si>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</si>
  <si>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</si>
  <si>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</si>
  <si>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</si>
  <si>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</si>
  <si>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</si>
  <si>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</si>
  <si>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</si>
  <si>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</si>
  <si>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</si>
  <si>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</si>
  <si>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</si>
  <si>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</si>
  <si>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</si>
  <si>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</si>
  <si>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</si>
  <si>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</si>
  <si>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</si>
  <si>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</si>
  <si>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</si>
  <si>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</si>
  <si>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</si>
  <si>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</si>
  <si>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</si>
  <si>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</si>
  <si>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</si>
  <si>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</si>
  <si>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</si>
  <si>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</si>
  <si>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</si>
  <si>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</si>
  <si>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</si>
  <si>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</si>
  <si>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</si>
  <si>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</si>
  <si>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</si>
  <si>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</si>
  <si>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</si>
  <si>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</si>
  <si>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</si>
  <si>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</si>
  <si>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</si>
  <si>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</si>
  <si>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</si>
  <si>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</si>
  <si>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</si>
  <si>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</si>
  <si>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</si>
  <si>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</si>
  <si>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</si>
  <si>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</si>
  <si>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</si>
  <si>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</si>
  <si>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</si>
  <si>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</si>
  <si>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</si>
  <si>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7" type="noConversion"/>
  </si>
  <si>
    <t>估价对象范围</t>
    <phoneticPr fontId="137" type="noConversion"/>
  </si>
  <si>
    <t>估价对象状态</t>
    <phoneticPr fontId="137"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</si>
  <si>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</si>
  <si>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</si>
  <si>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</si>
  <si>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</si>
  <si>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</si>
  <si>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</si>
  <si>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</si>
  <si>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</si>
  <si>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</si>
  <si>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</si>
  <si>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</si>
  <si>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</si>
  <si>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</si>
  <si>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</si>
  <si>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</si>
  <si>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</si>
  <si>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</si>
  <si>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</si>
  <si>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</si>
  <si>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</si>
  <si>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</si>
  <si>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</si>
  <si>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</si>
  <si>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</si>
  <si>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</si>
  <si>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</si>
  <si>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</si>
  <si>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</si>
  <si>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</si>
  <si>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</si>
  <si>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</si>
  <si>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</si>
  <si>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</si>
  <si>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</si>
  <si>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</si>
  <si>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</si>
  <si>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</si>
  <si>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</si>
  <si>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</si>
  <si>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</si>
  <si>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</si>
  <si>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</si>
  <si>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</si>
  <si>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</si>
  <si>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</si>
  <si>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</si>
  <si>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</si>
  <si>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</si>
  <si>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</si>
  <si>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</si>
  <si>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</si>
  <si>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</si>
  <si>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</si>
  <si>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</si>
  <si>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</si>
  <si>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</si>
  <si>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</si>
  <si>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</si>
  <si>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</si>
  <si>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</si>
  <si>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</si>
  <si>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</si>
  <si>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</si>
  <si>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</si>
  <si>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</si>
  <si>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</si>
  <si>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</si>
  <si>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</si>
  <si>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</si>
  <si>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</si>
  <si>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</si>
  <si>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</si>
  <si>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</si>
  <si>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</si>
  <si>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</si>
  <si>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</si>
  <si>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</si>
  <si>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</si>
  <si>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</si>
  <si>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</si>
  <si>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</si>
  <si>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</si>
  <si>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</si>
  <si>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</si>
  <si>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</si>
  <si>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</si>
  <si>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</si>
  <si>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</si>
  <si>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</si>
  <si>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</si>
  <si>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</si>
  <si>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</si>
  <si>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</si>
  <si>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</si>
  <si>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</si>
  <si>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</si>
  <si>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</si>
  <si>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</si>
  <si>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</si>
  <si>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</si>
  <si>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</si>
  <si>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</si>
  <si>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</si>
  <si>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</si>
  <si>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</si>
  <si>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</si>
  <si>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</si>
  <si>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</si>
  <si>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</si>
  <si>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</si>
  <si>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</si>
  <si>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</si>
  <si>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</si>
  <si>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</si>
  <si>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</si>
  <si>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</si>
  <si>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</si>
  <si>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</si>
  <si>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</si>
  <si>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</si>
  <si>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</si>
  <si>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</si>
  <si>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</si>
  <si>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</si>
  <si>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</si>
  <si>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</si>
  <si>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</si>
  <si>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</si>
  <si>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</si>
  <si>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</si>
  <si>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</si>
  <si>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</si>
  <si>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</si>
  <si>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</si>
  <si>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</si>
  <si>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</si>
  <si>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</si>
  <si>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</si>
  <si>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</si>
  <si>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</si>
  <si>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</si>
  <si>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</si>
  <si>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</si>
  <si>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</si>
  <si>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</si>
  <si>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</si>
  <si>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</si>
  <si>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</si>
  <si>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</si>
  <si>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</si>
  <si>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</si>
  <si>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</si>
  <si>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</si>
  <si>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</si>
  <si>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</si>
  <si>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</si>
  <si>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</si>
  <si>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</si>
  <si>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</si>
  <si>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</si>
  <si>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</si>
  <si>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</si>
  <si>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</si>
  <si>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</si>
  <si>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</si>
  <si>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</si>
  <si>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</si>
  <si>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</si>
  <si>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</si>
  <si>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</si>
  <si>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</si>
  <si>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</si>
  <si>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</si>
  <si>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</si>
  <si>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</si>
  <si>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</si>
  <si>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</si>
  <si>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</si>
  <si>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</si>
  <si>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</si>
  <si>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</si>
  <si>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</si>
  <si>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</si>
  <si>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</si>
  <si>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</si>
  <si>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</si>
  <si>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</si>
  <si>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</si>
  <si>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</si>
  <si>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</si>
  <si>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</si>
  <si>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</si>
  <si>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</si>
  <si>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</si>
  <si>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</si>
  <si>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</si>
  <si>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</si>
  <si>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</si>
  <si>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</si>
  <si>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</si>
  <si>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</si>
  <si>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</si>
  <si>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</si>
  <si>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</si>
  <si>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</si>
  <si>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</si>
  <si>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</si>
  <si>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</si>
  <si>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</si>
  <si>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</si>
  <si>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</si>
  <si>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</si>
  <si>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</si>
  <si>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</si>
  <si>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</si>
  <si>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</si>
  <si>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</si>
  <si>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</si>
  <si>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</si>
  <si>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</si>
  <si>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</si>
  <si>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</si>
  <si>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</si>
  <si>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</si>
  <si>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</si>
  <si>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</si>
  <si>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</si>
  <si>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</si>
  <si>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</si>
  <si>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</si>
  <si>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</si>
  <si>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</si>
  <si>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</si>
  <si>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</si>
  <si>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</si>
  <si>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</si>
  <si>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</si>
  <si>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</si>
  <si>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</si>
  <si>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</si>
  <si>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</si>
  <si>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</si>
  <si>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</si>
  <si>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</si>
  <si>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</si>
  <si>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</si>
  <si>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</si>
  <si>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</si>
  <si>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</si>
  <si>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</si>
  <si>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</si>
  <si>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</si>
  <si>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</si>
  <si>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</si>
  <si>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</si>
  <si>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</si>
  <si>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</si>
  <si>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</si>
  <si>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</si>
  <si>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</si>
  <si>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</si>
  <si>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</si>
  <si>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</si>
  <si>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</si>
  <si>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</si>
  <si>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</si>
  <si>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</si>
  <si>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</si>
  <si>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</si>
  <si>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</si>
  <si>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</si>
  <si>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</si>
  <si>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</si>
  <si>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</si>
  <si>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</si>
  <si>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</si>
  <si>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</si>
  <si>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</si>
  <si>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</si>
  <si>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</si>
  <si>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</si>
  <si>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0" type="noConversion"/>
  </si>
  <si>
    <r>
      <rPr>
        <b/>
        <sz val="10"/>
        <color theme="1"/>
        <rFont val="楷体_GB2312"/>
        <family val="2"/>
        <charset val="134"/>
      </rPr>
      <t>公示增长率</t>
    </r>
    <phoneticPr fontId="230" type="noConversion"/>
  </si>
  <si>
    <r>
      <rPr>
        <b/>
        <sz val="10"/>
        <color theme="1"/>
        <rFont val="楷体_GB2312"/>
        <family val="2"/>
        <charset val="134"/>
      </rPr>
      <t>核算至百分数</t>
    </r>
    <phoneticPr fontId="230" type="noConversion"/>
  </si>
  <si>
    <r>
      <rPr>
        <b/>
        <sz val="10"/>
        <color theme="1"/>
        <rFont val="楷体_GB2312"/>
        <family val="2"/>
        <charset val="134"/>
      </rPr>
      <t>验证</t>
    </r>
    <phoneticPr fontId="230" type="noConversion"/>
  </si>
  <si>
    <t>综合</t>
    <phoneticPr fontId="3" type="noConversion"/>
  </si>
  <si>
    <t>2017-2</t>
    <phoneticPr fontId="3" type="noConversion"/>
  </si>
  <si>
    <t>2017-1</t>
    <phoneticPr fontId="3" type="noConversion"/>
  </si>
  <si>
    <t>2013-4</t>
    <phoneticPr fontId="223" type="noConversion"/>
  </si>
  <si>
    <t>2013-3</t>
    <phoneticPr fontId="223" type="noConversion"/>
  </si>
  <si>
    <t>2013-2</t>
    <phoneticPr fontId="223" type="noConversion"/>
  </si>
  <si>
    <t>2013-1</t>
    <phoneticPr fontId="223" type="noConversion"/>
  </si>
  <si>
    <r>
      <t>2</t>
    </r>
    <r>
      <rPr>
        <sz val="10"/>
        <color theme="1"/>
        <rFont val="Arial"/>
        <family val="2"/>
      </rPr>
      <t>012-4</t>
    </r>
    <phoneticPr fontId="223" type="noConversion"/>
  </si>
  <si>
    <r>
      <t>2</t>
    </r>
    <r>
      <rPr>
        <sz val="10"/>
        <color theme="1"/>
        <rFont val="Arial"/>
        <family val="2"/>
      </rPr>
      <t>012-3</t>
    </r>
    <phoneticPr fontId="223" type="noConversion"/>
  </si>
  <si>
    <r>
      <t>2</t>
    </r>
    <r>
      <rPr>
        <sz val="10"/>
        <color theme="1"/>
        <rFont val="Arial"/>
        <family val="2"/>
      </rPr>
      <t>012-2</t>
    </r>
    <phoneticPr fontId="223" type="noConversion"/>
  </si>
  <si>
    <r>
      <t>2</t>
    </r>
    <r>
      <rPr>
        <sz val="10"/>
        <color theme="1"/>
        <rFont val="Arial"/>
        <family val="2"/>
      </rPr>
      <t>012-1</t>
    </r>
    <phoneticPr fontId="223" type="noConversion"/>
  </si>
  <si>
    <r>
      <t>2</t>
    </r>
    <r>
      <rPr>
        <sz val="10"/>
        <color theme="1"/>
        <rFont val="Arial"/>
        <family val="2"/>
      </rPr>
      <t>011-4</t>
    </r>
    <phoneticPr fontId="223" type="noConversion"/>
  </si>
  <si>
    <r>
      <t>2</t>
    </r>
    <r>
      <rPr>
        <sz val="10"/>
        <color theme="1"/>
        <rFont val="Arial"/>
        <family val="2"/>
      </rPr>
      <t>011-3</t>
    </r>
    <phoneticPr fontId="223" type="noConversion"/>
  </si>
  <si>
    <r>
      <t>2</t>
    </r>
    <r>
      <rPr>
        <sz val="10"/>
        <color theme="1"/>
        <rFont val="Arial"/>
        <family val="2"/>
      </rPr>
      <t>011-2</t>
    </r>
    <phoneticPr fontId="223" type="noConversion"/>
  </si>
  <si>
    <r>
      <t>2</t>
    </r>
    <r>
      <rPr>
        <sz val="10"/>
        <color theme="1"/>
        <rFont val="Arial"/>
        <family val="2"/>
      </rPr>
      <t>011-1</t>
    </r>
    <phoneticPr fontId="223" type="noConversion"/>
  </si>
  <si>
    <r>
      <t>2</t>
    </r>
    <r>
      <rPr>
        <sz val="10"/>
        <color theme="1"/>
        <rFont val="Arial"/>
        <family val="2"/>
      </rPr>
      <t>010-4</t>
    </r>
    <phoneticPr fontId="223" type="noConversion"/>
  </si>
  <si>
    <r>
      <t>2</t>
    </r>
    <r>
      <rPr>
        <sz val="10"/>
        <color theme="1"/>
        <rFont val="Arial"/>
        <family val="2"/>
      </rPr>
      <t>010-3</t>
    </r>
    <phoneticPr fontId="223" type="noConversion"/>
  </si>
  <si>
    <r>
      <t>2</t>
    </r>
    <r>
      <rPr>
        <sz val="10"/>
        <color theme="1"/>
        <rFont val="Arial"/>
        <family val="2"/>
      </rPr>
      <t>010-2</t>
    </r>
    <phoneticPr fontId="223" type="noConversion"/>
  </si>
  <si>
    <r>
      <t>2</t>
    </r>
    <r>
      <rPr>
        <sz val="10"/>
        <color theme="1"/>
        <rFont val="Arial"/>
        <family val="2"/>
      </rPr>
      <t>010-1</t>
    </r>
    <phoneticPr fontId="223" type="noConversion"/>
  </si>
  <si>
    <r>
      <t>2</t>
    </r>
    <r>
      <rPr>
        <sz val="10"/>
        <color theme="1"/>
        <rFont val="Arial"/>
        <family val="2"/>
      </rPr>
      <t>009-4</t>
    </r>
    <phoneticPr fontId="223" type="noConversion"/>
  </si>
  <si>
    <r>
      <t>2</t>
    </r>
    <r>
      <rPr>
        <sz val="10"/>
        <color theme="1"/>
        <rFont val="Arial"/>
        <family val="2"/>
      </rPr>
      <t>009-3</t>
    </r>
    <phoneticPr fontId="223" type="noConversion"/>
  </si>
  <si>
    <r>
      <t>2</t>
    </r>
    <r>
      <rPr>
        <sz val="10"/>
        <color theme="1"/>
        <rFont val="Arial"/>
        <family val="2"/>
      </rPr>
      <t>009-2</t>
    </r>
    <phoneticPr fontId="223" type="noConversion"/>
  </si>
  <si>
    <r>
      <t>2</t>
    </r>
    <r>
      <rPr>
        <sz val="10"/>
        <color theme="1"/>
        <rFont val="Arial"/>
        <family val="2"/>
      </rPr>
      <t>009-1</t>
    </r>
    <phoneticPr fontId="223" type="noConversion"/>
  </si>
  <si>
    <r>
      <t>2</t>
    </r>
    <r>
      <rPr>
        <sz val="10"/>
        <color theme="1"/>
        <rFont val="Arial"/>
        <family val="2"/>
      </rPr>
      <t>008-4</t>
    </r>
    <phoneticPr fontId="223" type="noConversion"/>
  </si>
  <si>
    <r>
      <t>2</t>
    </r>
    <r>
      <rPr>
        <sz val="10"/>
        <color theme="1"/>
        <rFont val="Arial"/>
        <family val="2"/>
      </rPr>
      <t>008-3</t>
    </r>
    <phoneticPr fontId="223" type="noConversion"/>
  </si>
  <si>
    <r>
      <t>2</t>
    </r>
    <r>
      <rPr>
        <sz val="10"/>
        <color theme="1"/>
        <rFont val="Arial"/>
        <family val="2"/>
      </rPr>
      <t>008-2</t>
    </r>
    <phoneticPr fontId="223" type="noConversion"/>
  </si>
  <si>
    <r>
      <t>2</t>
    </r>
    <r>
      <rPr>
        <sz val="10"/>
        <color theme="1"/>
        <rFont val="Arial"/>
        <family val="2"/>
      </rPr>
      <t>008-1</t>
    </r>
    <phoneticPr fontId="223" type="noConversion"/>
  </si>
  <si>
    <r>
      <t>2</t>
    </r>
    <r>
      <rPr>
        <sz val="10"/>
        <color theme="1"/>
        <rFont val="Arial"/>
        <family val="2"/>
      </rPr>
      <t>007-4</t>
    </r>
    <phoneticPr fontId="223" type="noConversion"/>
  </si>
  <si>
    <r>
      <t>2</t>
    </r>
    <r>
      <rPr>
        <sz val="10"/>
        <color theme="1"/>
        <rFont val="Arial"/>
        <family val="2"/>
      </rPr>
      <t>007-3</t>
    </r>
    <phoneticPr fontId="223" type="noConversion"/>
  </si>
  <si>
    <r>
      <t>2</t>
    </r>
    <r>
      <rPr>
        <sz val="10"/>
        <color theme="1"/>
        <rFont val="Arial"/>
        <family val="2"/>
      </rPr>
      <t>007-2</t>
    </r>
    <phoneticPr fontId="223" type="noConversion"/>
  </si>
  <si>
    <r>
      <t>2</t>
    </r>
    <r>
      <rPr>
        <sz val="10"/>
        <color theme="1"/>
        <rFont val="Arial"/>
        <family val="2"/>
      </rPr>
      <t>007-1</t>
    </r>
    <phoneticPr fontId="223" type="noConversion"/>
  </si>
  <si>
    <r>
      <t>2</t>
    </r>
    <r>
      <rPr>
        <sz val="10"/>
        <color theme="1"/>
        <rFont val="Arial"/>
        <family val="2"/>
      </rPr>
      <t>006-4</t>
    </r>
    <phoneticPr fontId="223" type="noConversion"/>
  </si>
  <si>
    <t>2006-3</t>
    <phoneticPr fontId="223" type="noConversion"/>
  </si>
  <si>
    <t>2006-2</t>
    <phoneticPr fontId="223" type="noConversion"/>
  </si>
  <si>
    <t>2006-1</t>
    <phoneticPr fontId="223" type="noConversion"/>
  </si>
  <si>
    <r>
      <t>2</t>
    </r>
    <r>
      <rPr>
        <sz val="10"/>
        <color theme="1"/>
        <rFont val="Arial"/>
        <family val="2"/>
      </rPr>
      <t>005-4</t>
    </r>
    <phoneticPr fontId="223" type="noConversion"/>
  </si>
  <si>
    <r>
      <t>2</t>
    </r>
    <r>
      <rPr>
        <sz val="10"/>
        <color theme="1"/>
        <rFont val="Arial"/>
        <family val="2"/>
      </rPr>
      <t>005-3</t>
    </r>
    <phoneticPr fontId="223" type="noConversion"/>
  </si>
  <si>
    <r>
      <t>2</t>
    </r>
    <r>
      <rPr>
        <sz val="10"/>
        <color theme="1"/>
        <rFont val="Arial"/>
        <family val="2"/>
      </rPr>
      <t>005-2</t>
    </r>
    <phoneticPr fontId="223" type="noConversion"/>
  </si>
  <si>
    <r>
      <t>2</t>
    </r>
    <r>
      <rPr>
        <sz val="10"/>
        <color theme="1"/>
        <rFont val="Arial"/>
        <family val="2"/>
      </rPr>
      <t>005-1</t>
    </r>
    <phoneticPr fontId="223" type="noConversion"/>
  </si>
  <si>
    <r>
      <t>2</t>
    </r>
    <r>
      <rPr>
        <sz val="10"/>
        <color theme="1"/>
        <rFont val="Arial"/>
        <family val="2"/>
      </rPr>
      <t>004-4</t>
    </r>
    <phoneticPr fontId="223" type="noConversion"/>
  </si>
  <si>
    <r>
      <t>2</t>
    </r>
    <r>
      <rPr>
        <sz val="10"/>
        <color theme="1"/>
        <rFont val="Arial"/>
        <family val="2"/>
      </rPr>
      <t>004-3</t>
    </r>
    <phoneticPr fontId="223" type="noConversion"/>
  </si>
  <si>
    <r>
      <t>2</t>
    </r>
    <r>
      <rPr>
        <sz val="10"/>
        <color theme="1"/>
        <rFont val="Arial"/>
        <family val="2"/>
      </rPr>
      <t>004-2</t>
    </r>
    <phoneticPr fontId="223" type="noConversion"/>
  </si>
  <si>
    <r>
      <t>2</t>
    </r>
    <r>
      <rPr>
        <sz val="10"/>
        <color theme="1"/>
        <rFont val="Arial"/>
        <family val="2"/>
      </rPr>
      <t>004-1</t>
    </r>
    <phoneticPr fontId="223" type="noConversion"/>
  </si>
  <si>
    <r>
      <t>2</t>
    </r>
    <r>
      <rPr>
        <sz val="10"/>
        <color theme="1"/>
        <rFont val="Arial"/>
        <family val="2"/>
      </rPr>
      <t>003-4</t>
    </r>
    <phoneticPr fontId="223" type="noConversion"/>
  </si>
  <si>
    <r>
      <t>2</t>
    </r>
    <r>
      <rPr>
        <sz val="10"/>
        <color theme="1"/>
        <rFont val="Arial"/>
        <family val="2"/>
      </rPr>
      <t>003-3</t>
    </r>
    <phoneticPr fontId="223" type="noConversion"/>
  </si>
  <si>
    <r>
      <t>2</t>
    </r>
    <r>
      <rPr>
        <sz val="10"/>
        <color theme="1"/>
        <rFont val="Arial"/>
        <family val="2"/>
      </rPr>
      <t>003-2</t>
    </r>
    <phoneticPr fontId="223" type="noConversion"/>
  </si>
  <si>
    <r>
      <t>2</t>
    </r>
    <r>
      <rPr>
        <sz val="10"/>
        <color theme="1"/>
        <rFont val="Arial"/>
        <family val="2"/>
      </rPr>
      <t>003-1</t>
    </r>
    <phoneticPr fontId="223" type="noConversion"/>
  </si>
  <si>
    <r>
      <t>2</t>
    </r>
    <r>
      <rPr>
        <sz val="10"/>
        <color theme="1"/>
        <rFont val="Arial"/>
        <family val="2"/>
      </rPr>
      <t>002-4</t>
    </r>
    <phoneticPr fontId="223" type="noConversion"/>
  </si>
  <si>
    <r>
      <t>2</t>
    </r>
    <r>
      <rPr>
        <sz val="10"/>
        <color theme="1"/>
        <rFont val="Arial"/>
        <family val="2"/>
      </rPr>
      <t>002-3</t>
    </r>
    <phoneticPr fontId="223" type="noConversion"/>
  </si>
  <si>
    <r>
      <t>2</t>
    </r>
    <r>
      <rPr>
        <sz val="10"/>
        <color theme="1"/>
        <rFont val="Arial"/>
        <family val="2"/>
      </rPr>
      <t>002-2</t>
    </r>
    <phoneticPr fontId="223" type="noConversion"/>
  </si>
  <si>
    <r>
      <t>2</t>
    </r>
    <r>
      <rPr>
        <sz val="10"/>
        <color theme="1"/>
        <rFont val="Arial"/>
        <family val="2"/>
      </rPr>
      <t>002-1</t>
    </r>
    <phoneticPr fontId="223" type="noConversion"/>
  </si>
  <si>
    <t>说明</t>
    <phoneticPr fontId="22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</si>
  <si>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</si>
  <si>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</si>
  <si>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</si>
  <si>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</si>
  <si>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</si>
  <si>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</si>
  <si>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</si>
  <si>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3" type="noConversion"/>
  </si>
  <si>
    <t>基准季度</t>
    <phoneticPr fontId="22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</si>
  <si>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</si>
  <si>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</si>
  <si>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3"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</si>
  <si>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</si>
  <si>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</si>
  <si>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</si>
  <si>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</si>
  <si>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</si>
  <si>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</si>
  <si>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</si>
  <si>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</si>
  <si>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</si>
  <si>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</si>
  <si>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</si>
  <si>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</si>
  <si>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3" type="noConversion"/>
  </si>
  <si>
    <t>致函-估价对象-1</t>
    <phoneticPr fontId="223" type="noConversion"/>
  </si>
  <si>
    <t>致函-估价对象-2</t>
  </si>
  <si>
    <t>致函-估价期日</t>
    <phoneticPr fontId="223" type="noConversion"/>
  </si>
  <si>
    <t>封皮-估价项目名称</t>
    <phoneticPr fontId="234" type="noConversion"/>
  </si>
  <si>
    <t>封皮-委托估价方</t>
    <phoneticPr fontId="234" type="noConversion"/>
  </si>
  <si>
    <t>封皮-土地估价师</t>
    <phoneticPr fontId="234" type="noConversion"/>
  </si>
  <si>
    <t>封皮-土地估价报告编号</t>
    <phoneticPr fontId="234" type="noConversion"/>
  </si>
  <si>
    <t>致函-地价定义-规划</t>
    <phoneticPr fontId="223" type="noConversion"/>
  </si>
  <si>
    <t>致函-地价定义-用途-1</t>
    <phoneticPr fontId="223" type="noConversion"/>
  </si>
  <si>
    <t>致函-地价定义-用途-2</t>
    <phoneticPr fontId="223" type="noConversion"/>
  </si>
  <si>
    <t>致函-地价定义-开发程度-1</t>
    <phoneticPr fontId="223" type="noConversion"/>
  </si>
  <si>
    <t>致函-地价定义-开发程度-2</t>
    <phoneticPr fontId="223" type="noConversion"/>
  </si>
  <si>
    <t>致函-地价定义-年限-1</t>
    <phoneticPr fontId="223" type="noConversion"/>
  </si>
  <si>
    <t>致函-地价定义-年限-2</t>
    <phoneticPr fontId="223" type="noConversion"/>
  </si>
  <si>
    <t>致函-地价定义-1</t>
    <phoneticPr fontId="223" type="noConversion"/>
  </si>
  <si>
    <t>致函-地价定义-2</t>
    <phoneticPr fontId="223" type="noConversion"/>
  </si>
  <si>
    <t>致函-地价定义-3</t>
    <phoneticPr fontId="223" type="noConversion"/>
  </si>
  <si>
    <t>致函-地价定义-4</t>
    <phoneticPr fontId="223" type="noConversion"/>
  </si>
  <si>
    <t>致函-估价结果</t>
    <phoneticPr fontId="223" type="noConversion"/>
  </si>
  <si>
    <t>致函-估价结果-表-1</t>
    <phoneticPr fontId="223" type="noConversion"/>
  </si>
  <si>
    <t>致函-估价结果-表-2</t>
  </si>
  <si>
    <t>致函-限定条件-1</t>
    <phoneticPr fontId="234" type="noConversion"/>
  </si>
  <si>
    <t>致函-限定条件-2</t>
  </si>
  <si>
    <t>致函-限定条件-3</t>
  </si>
  <si>
    <t>致函-其他事项-1</t>
    <phoneticPr fontId="223" type="noConversion"/>
  </si>
  <si>
    <t>致函-其他事项-2</t>
  </si>
  <si>
    <t>致函-其他事项-优先受偿-1</t>
    <phoneticPr fontId="223" type="noConversion"/>
  </si>
  <si>
    <t>致函-其他事项-优先受偿</t>
    <phoneticPr fontId="223" type="noConversion"/>
  </si>
  <si>
    <t>致函-其他事项-优先受偿-2</t>
  </si>
  <si>
    <t>致函-其他事项-优先受偿-3</t>
  </si>
  <si>
    <t>致函-其他事项-优先受偿-4</t>
  </si>
  <si>
    <t>致函-其他事项-4</t>
    <phoneticPr fontId="223" type="noConversion"/>
  </si>
  <si>
    <t>致函-其他事项-5</t>
  </si>
  <si>
    <t>致函-估价师签字-1</t>
    <phoneticPr fontId="223" type="noConversion"/>
  </si>
  <si>
    <t>致函-估价师签字-2</t>
    <phoneticPr fontId="223" type="noConversion"/>
  </si>
  <si>
    <t>致函-出具日期</t>
    <phoneticPr fontId="22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</si>
  <si>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</si>
  <si>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</si>
  <si>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</si>
  <si>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</si>
  <si>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</si>
  <si>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</si>
  <si>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</si>
  <si>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</si>
  <si>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</si>
  <si>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</si>
  <si>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</si>
  <si>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</si>
  <si>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4" type="noConversion"/>
  </si>
  <si>
    <r>
      <t>金融机构</t>
    </r>
    <r>
      <rPr>
        <sz val="10"/>
        <color indexed="8"/>
        <rFont val="仿宋_GB2312"/>
        <family val="3"/>
        <charset val="134"/>
      </rPr>
      <t>(贷款方)</t>
    </r>
    <phoneticPr fontId="3" type="noConversion"/>
  </si>
  <si>
    <t>借款方</t>
    <phoneticPr fontId="6" type="noConversion"/>
  </si>
  <si>
    <t>致函-估价目的</t>
    <phoneticPr fontId="223" type="noConversion"/>
  </si>
  <si>
    <t>致函-估价结果-表-使用者</t>
    <phoneticPr fontId="234" type="noConversion"/>
  </si>
  <si>
    <t>致函-估价结果-表-地号</t>
    <phoneticPr fontId="234" type="noConversion"/>
  </si>
  <si>
    <t>致函-估价结果-表-权属证号</t>
    <phoneticPr fontId="234" type="noConversion"/>
  </si>
  <si>
    <t>致函-估价结果-表-用途-1</t>
    <phoneticPr fontId="234" type="noConversion"/>
  </si>
  <si>
    <t>致函-估价结果-表-用途-2</t>
  </si>
  <si>
    <t>致函-估价结果-表-用途-3</t>
  </si>
  <si>
    <t>致函-估价结果-表-容积率-1</t>
    <phoneticPr fontId="234" type="noConversion"/>
  </si>
  <si>
    <t>致函-估价结果-表-容积率-2</t>
  </si>
  <si>
    <t>致函-估价结果-表-容积率-3</t>
  </si>
  <si>
    <t>致函-估价结果-表-开发程度-1</t>
    <phoneticPr fontId="234" type="noConversion"/>
  </si>
  <si>
    <t>致函-估价结果-表-开发程度-2</t>
  </si>
  <si>
    <t>致函-估价结果-表-年限</t>
    <phoneticPr fontId="234" type="noConversion"/>
  </si>
  <si>
    <t>致函-估价结果-表-土地</t>
    <phoneticPr fontId="234" type="noConversion"/>
  </si>
  <si>
    <t>致函-估价结果-表-建筑</t>
    <phoneticPr fontId="234" type="noConversion"/>
  </si>
  <si>
    <t>致函-估价结果-表-地面价</t>
    <phoneticPr fontId="234" type="noConversion"/>
  </si>
  <si>
    <t>致函-估价结果-表-楼面价</t>
    <phoneticPr fontId="234" type="noConversion"/>
  </si>
  <si>
    <t>致函-估价结果-表-总额</t>
    <phoneticPr fontId="234" type="noConversion"/>
  </si>
  <si>
    <t>致函-估价结果-表-抵押</t>
    <phoneticPr fontId="234" type="noConversion"/>
  </si>
  <si>
    <t>致函-估价结果-表-已注</t>
    <phoneticPr fontId="234" type="noConversion"/>
  </si>
  <si>
    <t>致函-估价结果-表-净值</t>
    <phoneticPr fontId="234"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</si>
  <si>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</si>
  <si>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</si>
  <si>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</si>
  <si>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</si>
  <si>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4" type="noConversion"/>
  </si>
  <si>
    <t>致函-估价结果-表-地号(标题）</t>
    <phoneticPr fontId="234" type="noConversion"/>
  </si>
  <si>
    <t>土地使用证编号/不动产权证书编号</t>
    <phoneticPr fontId="133" type="noConversion"/>
  </si>
  <si>
    <t>致函-估价结果-表-宗地名称</t>
    <phoneticPr fontId="234" type="noConversion"/>
  </si>
  <si>
    <t>致函-估价结果-表-权属证号(标题）</t>
    <phoneticPr fontId="234" type="noConversion"/>
  </si>
  <si>
    <t>致函-估价结果-表-年限(标题）</t>
    <phoneticPr fontId="234" type="noConversion"/>
  </si>
  <si>
    <t>致函-估价结果-表-土地(标题）</t>
    <phoneticPr fontId="234" type="noConversion"/>
  </si>
  <si>
    <t>致函-估价结果-表-建筑(标题）</t>
    <phoneticPr fontId="234" type="noConversion"/>
  </si>
  <si>
    <t>致函-估价结果-表-抵押（名称）</t>
    <phoneticPr fontId="234" type="noConversion"/>
  </si>
  <si>
    <t>致函-估价结果-表-已注（名称）</t>
    <phoneticPr fontId="234" type="noConversion"/>
  </si>
  <si>
    <t>致函-估价结果-表-净值（名称）</t>
    <phoneticPr fontId="234"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</si>
  <si>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</si>
  <si>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</si>
  <si>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</si>
  <si>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</si>
  <si>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</si>
  <si>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</si>
  <si>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</si>
  <si>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</si>
  <si>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</si>
  <si>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</si>
  <si>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</si>
  <si>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</si>
  <si>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</si>
  <si>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</si>
  <si>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</si>
  <si>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</si>
  <si>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</si>
  <si>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</si>
  <si>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</si>
  <si>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</si>
  <si>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</si>
  <si>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</si>
  <si>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</si>
  <si>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</si>
  <si>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</si>
  <si>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</si>
  <si>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</si>
  <si>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</si>
  <si>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</si>
  <si>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</si>
  <si>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</si>
  <si>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</si>
  <si>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</si>
  <si>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</si>
  <si>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</si>
  <si>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</si>
  <si>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</si>
  <si>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</si>
  <si>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4" type="noConversion"/>
  </si>
  <si>
    <t>价值时点</t>
    <phoneticPr fontId="3" type="noConversion"/>
  </si>
  <si>
    <t>贷款利率</t>
    <phoneticPr fontId="3" type="noConversion"/>
  </si>
  <si>
    <t>贷款利率</t>
    <phoneticPr fontId="223" type="noConversion"/>
  </si>
  <si>
    <t>存款利率</t>
    <phoneticPr fontId="22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</si>
  <si>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</si>
  <si>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</si>
  <si>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</si>
  <si>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</si>
  <si>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</si>
  <si>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</si>
  <si>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</si>
  <si>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</si>
  <si>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</si>
  <si>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</si>
  <si>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</si>
  <si>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</si>
  <si>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</si>
  <si>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</si>
  <si>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</si>
  <si>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</si>
  <si>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</si>
  <si>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</si>
  <si>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</si>
  <si>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</si>
  <si>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</si>
  <si>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</si>
  <si>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</si>
  <si>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</si>
  <si>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</si>
  <si>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</si>
  <si>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</si>
  <si>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3" type="noConversion"/>
  </si>
  <si>
    <t>1年期存款利率</t>
    <phoneticPr fontId="3" type="noConversion"/>
  </si>
  <si>
    <t>土地开发期</t>
    <phoneticPr fontId="22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</si>
  <si>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</si>
  <si>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</si>
  <si>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</si>
  <si>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</si>
  <si>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</si>
  <si>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</si>
  <si>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</si>
  <si>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</si>
  <si>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</si>
  <si>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</si>
  <si>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</si>
  <si>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</si>
  <si>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</si>
  <si>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</si>
  <si>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</si>
  <si>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</si>
  <si>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</si>
  <si>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</si>
  <si>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</si>
  <si>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</si>
  <si>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</si>
  <si>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</si>
  <si>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</si>
  <si>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</si>
  <si>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</si>
  <si>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</si>
  <si>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</si>
  <si>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</si>
  <si>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</si>
  <si>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</si>
  <si>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</si>
  <si>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</si>
  <si>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</si>
  <si>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</si>
  <si>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</si>
  <si>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</si>
  <si>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</si>
  <si>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</si>
  <si>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</si>
  <si>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</si>
  <si>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</si>
  <si>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</si>
  <si>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</si>
  <si>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</si>
  <si>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</si>
  <si>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3" type="noConversion"/>
  </si>
  <si>
    <t>楼面单价（元/平方米）</t>
    <phoneticPr fontId="223" type="noConversion"/>
  </si>
  <si>
    <t>项目名称</t>
    <phoneticPr fontId="223" type="noConversion"/>
  </si>
  <si>
    <t>重置成新价</t>
    <phoneticPr fontId="22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</si>
  <si>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</si>
  <si>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</si>
  <si>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</si>
  <si>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</si>
  <si>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</si>
  <si>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</si>
  <si>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</si>
  <si>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</si>
  <si>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</si>
  <si>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</si>
  <si>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</si>
  <si>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</si>
  <si>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</si>
  <si>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</si>
  <si>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</si>
  <si>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</si>
  <si>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</si>
  <si>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</si>
  <si>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</si>
  <si>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</si>
  <si>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</si>
  <si>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</si>
  <si>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</si>
  <si>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</si>
  <si>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</si>
  <si>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</si>
  <si>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</si>
  <si>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</si>
  <si>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</si>
  <si>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</si>
  <si>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</si>
  <si>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</si>
  <si>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</si>
  <si>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</si>
  <si>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</si>
  <si>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</si>
  <si>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</si>
  <si>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</si>
  <si>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</si>
  <si>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</si>
  <si>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</si>
  <si>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</si>
  <si>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</si>
  <si>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</si>
  <si>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</si>
  <si>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</si>
  <si>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</si>
  <si>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</si>
  <si>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</si>
  <si>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</si>
  <si>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</si>
  <si>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</si>
  <si>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</si>
  <si>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</si>
  <si>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</si>
  <si>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</si>
  <si>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</si>
  <si>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</si>
  <si>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</si>
  <si>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</si>
  <si>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</si>
  <si>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3" type="noConversion"/>
  </si>
  <si>
    <t>土地面积</t>
    <phoneticPr fontId="223" type="noConversion"/>
  </si>
  <si>
    <t>单位面积地价</t>
    <phoneticPr fontId="223" type="noConversion"/>
  </si>
  <si>
    <t>汇总土地面积</t>
    <phoneticPr fontId="22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</si>
  <si>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</si>
  <si>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</si>
  <si>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</si>
  <si>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</si>
  <si>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</si>
  <si>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</si>
  <si>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</si>
  <si>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</si>
  <si>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</si>
  <si>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</si>
  <si>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</si>
  <si>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</si>
  <si>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</si>
  <si>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</si>
  <si>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</si>
  <si>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</si>
  <si>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</si>
  <si>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</si>
  <si>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</si>
  <si>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3"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</si>
  <si>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</si>
  <si>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</si>
  <si>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</si>
  <si>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</si>
  <si>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</si>
  <si>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</si>
  <si>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</si>
  <si>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</si>
  <si>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</si>
  <si>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</si>
  <si>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</si>
  <si>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</si>
  <si>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</si>
  <si>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</si>
  <si>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</si>
  <si>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</si>
  <si>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</si>
  <si>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</si>
  <si>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</si>
  <si>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</si>
  <si>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</si>
  <si>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</si>
  <si>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</si>
  <si>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</si>
  <si>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</si>
  <si>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</si>
  <si>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</si>
  <si>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</si>
  <si>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</si>
  <si>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</si>
  <si>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</si>
  <si>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</si>
  <si>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</si>
  <si>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</si>
  <si>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</si>
  <si>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</si>
  <si>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</si>
  <si>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</si>
  <si>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</si>
  <si>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</si>
  <si>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</si>
  <si>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</si>
  <si>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</si>
  <si>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</si>
  <si>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</si>
  <si>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</si>
  <si>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</si>
  <si>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</si>
  <si>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</si>
  <si>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</si>
  <si>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</si>
  <si>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</si>
  <si>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</si>
  <si>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</si>
  <si>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</si>
  <si>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</si>
  <si>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</si>
  <si>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</si>
  <si>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</si>
  <si>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</si>
  <si>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</si>
  <si>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</si>
  <si>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</si>
  <si>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</si>
  <si>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</si>
  <si>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</si>
  <si>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</si>
  <si>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</si>
  <si>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</si>
  <si>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</si>
  <si>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</si>
  <si>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</si>
  <si>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</si>
  <si>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</si>
  <si>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</si>
  <si>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</si>
  <si>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</si>
  <si>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</si>
  <si>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</si>
  <si>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</si>
  <si>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</si>
  <si>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</si>
  <si>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</si>
  <si>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</si>
  <si>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</si>
  <si>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</si>
  <si>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</si>
  <si>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</si>
  <si>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</si>
  <si>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</si>
  <si>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</si>
  <si>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</si>
  <si>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</si>
  <si>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</si>
  <si>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</si>
  <si>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</si>
  <si>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</si>
  <si>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</si>
  <si>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</si>
  <si>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</si>
  <si>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</si>
  <si>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</si>
  <si>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</si>
  <si>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</si>
  <si>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</si>
  <si>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</si>
  <si>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</si>
  <si>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</si>
  <si>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</si>
  <si>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</si>
  <si>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</si>
  <si>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</si>
  <si>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</si>
  <si>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</si>
  <si>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</si>
  <si>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</si>
  <si>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</si>
  <si>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</si>
  <si>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</si>
  <si>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</si>
  <si>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</si>
  <si>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</si>
  <si>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</si>
  <si>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</si>
  <si>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</si>
  <si>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</si>
  <si>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</si>
  <si>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</si>
  <si>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</si>
  <si>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</si>
  <si>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</si>
  <si>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</si>
  <si>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</si>
  <si>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</si>
  <si>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</si>
  <si>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</si>
  <si>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</si>
  <si>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</si>
  <si>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</si>
  <si>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</si>
  <si>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</si>
  <si>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</si>
  <si>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</si>
  <si>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</si>
  <si>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</si>
  <si>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</si>
  <si>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</si>
  <si>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</si>
  <si>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</si>
  <si>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</si>
  <si>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</si>
  <si>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</si>
  <si>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</si>
  <si>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</si>
  <si>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</si>
  <si>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</si>
  <si>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</si>
  <si>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</si>
  <si>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</si>
  <si>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</si>
  <si>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</si>
  <si>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</si>
  <si>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</si>
  <si>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</si>
  <si>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</si>
  <si>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</si>
  <si>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</si>
  <si>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</si>
  <si>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</si>
  <si>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</si>
  <si>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</si>
  <si>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</si>
  <si>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</si>
  <si>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</si>
  <si>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</si>
  <si>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</si>
  <si>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</si>
  <si>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</si>
  <si>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</si>
  <si>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</si>
  <si>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</si>
  <si>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</si>
  <si>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</si>
  <si>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</si>
  <si>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</si>
  <si>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</si>
  <si>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</si>
  <si>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</si>
  <si>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</si>
  <si>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</si>
  <si>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</si>
  <si>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</si>
  <si>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</si>
  <si>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</si>
  <si>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</si>
  <si>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</si>
  <si>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</si>
  <si>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</si>
  <si>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</si>
  <si>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</si>
  <si>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</si>
  <si>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</si>
  <si>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</si>
  <si>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</si>
  <si>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</si>
  <si>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</si>
  <si>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</si>
  <si>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</si>
  <si>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</si>
  <si>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</si>
  <si>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</si>
  <si>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</si>
  <si>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</si>
  <si>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</si>
  <si>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</si>
  <si>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</si>
  <si>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</si>
  <si>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</si>
  <si>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</si>
  <si>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</si>
  <si>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</si>
  <si>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</si>
  <si>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</si>
  <si>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</si>
  <si>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</si>
  <si>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</si>
  <si>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</si>
  <si>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</si>
  <si>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</si>
  <si>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</si>
  <si>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</si>
  <si>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</si>
  <si>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</si>
  <si>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</si>
  <si>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</si>
  <si>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</si>
  <si>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</si>
  <si>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</si>
  <si>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</si>
  <si>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</si>
  <si>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</si>
  <si>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</si>
  <si>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</si>
  <si>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</si>
  <si>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</si>
  <si>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</si>
  <si>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</si>
  <si>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</si>
  <si>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</si>
  <si>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</si>
  <si>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</si>
  <si>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</si>
  <si>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</si>
  <si>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</si>
  <si>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</si>
  <si>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</si>
  <si>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</si>
  <si>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</si>
  <si>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</si>
  <si>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</si>
  <si>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</si>
  <si>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</si>
  <si>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</si>
  <si>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</si>
  <si>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</si>
  <si>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</si>
  <si>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</si>
  <si>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</si>
  <si>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</si>
  <si>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</si>
  <si>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</si>
  <si>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</si>
  <si>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</si>
  <si>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</si>
  <si>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</si>
  <si>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</si>
  <si>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</si>
  <si>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</si>
  <si>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</si>
  <si>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</si>
  <si>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</si>
  <si>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</si>
  <si>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</si>
  <si>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</si>
  <si>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</si>
  <si>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</si>
  <si>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</si>
  <si>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</si>
  <si>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</si>
  <si>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</si>
  <si>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</si>
  <si>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</si>
  <si>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</si>
  <si>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</si>
  <si>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</si>
  <si>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</si>
  <si>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</si>
  <si>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</si>
  <si>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</si>
  <si>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</si>
  <si>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</si>
  <si>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</si>
  <si>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</si>
  <si>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</si>
  <si>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</si>
  <si>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</si>
  <si>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</si>
  <si>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</si>
  <si>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</si>
  <si>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</si>
  <si>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</si>
  <si>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</si>
  <si>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</si>
  <si>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</si>
  <si>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</si>
  <si>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</si>
  <si>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</si>
  <si>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</si>
  <si>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</si>
  <si>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</si>
  <si>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</si>
  <si>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</si>
  <si>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</si>
  <si>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</si>
  <si>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</si>
  <si>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</si>
  <si>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</si>
  <si>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</si>
  <si>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</si>
  <si>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</si>
  <si>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</si>
  <si>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</si>
  <si>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</si>
  <si>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</si>
  <si>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</si>
  <si>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</si>
  <si>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</si>
  <si>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</si>
  <si>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</si>
  <si>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</si>
  <si>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</si>
  <si>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</si>
  <si>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</si>
  <si>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</si>
  <si>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</si>
  <si>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</si>
  <si>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</si>
  <si>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</si>
  <si>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</si>
  <si>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</si>
  <si>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</si>
  <si>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</si>
  <si>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</si>
  <si>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</si>
  <si>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</si>
  <si>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</si>
  <si>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</si>
  <si>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</si>
  <si>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</si>
  <si>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</si>
  <si>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</si>
  <si>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</si>
  <si>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</si>
  <si>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</si>
  <si>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</si>
  <si>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</si>
  <si>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</si>
  <si>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</si>
  <si>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</si>
  <si>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</si>
  <si>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</si>
  <si>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</si>
  <si>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</si>
  <si>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</si>
  <si>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</si>
  <si>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</si>
  <si>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</si>
  <si>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</si>
  <si>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</si>
  <si>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</si>
  <si>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</si>
  <si>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</si>
  <si>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</si>
  <si>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</si>
  <si>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</si>
  <si>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</si>
  <si>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</si>
  <si>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</si>
  <si>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</si>
  <si>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</si>
  <si>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</si>
  <si>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</si>
  <si>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</si>
  <si>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</si>
  <si>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</si>
  <si>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</si>
  <si>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</si>
  <si>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</si>
  <si>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</si>
  <si>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</si>
  <si>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</si>
  <si>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</si>
  <si>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</si>
  <si>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</si>
  <si>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</si>
  <si>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</si>
  <si>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</si>
  <si>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</si>
  <si>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</si>
  <si>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</si>
  <si>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</si>
  <si>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</si>
  <si>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</si>
  <si>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</si>
  <si>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</si>
  <si>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</si>
  <si>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</si>
  <si>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</si>
  <si>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</si>
  <si>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</si>
  <si>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</si>
  <si>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</si>
  <si>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</si>
  <si>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</si>
  <si>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</si>
  <si>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</si>
  <si>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</si>
  <si>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</si>
  <si>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</si>
  <si>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</si>
  <si>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</si>
  <si>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</si>
  <si>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</si>
  <si>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</si>
  <si>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</si>
  <si>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</si>
  <si>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</si>
  <si>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</si>
  <si>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</si>
  <si>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</si>
  <si>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</si>
  <si>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</si>
  <si>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</si>
  <si>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</si>
  <si>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</si>
  <si>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</si>
  <si>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</si>
  <si>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</si>
  <si>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</si>
  <si>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</si>
  <si>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</si>
  <si>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</si>
  <si>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</si>
  <si>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</si>
  <si>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</si>
  <si>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</si>
  <si>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</si>
  <si>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</si>
  <si>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</si>
  <si>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3" type="noConversion"/>
  </si>
  <si>
    <t>出让年限</t>
    <phoneticPr fontId="279" type="noConversion"/>
  </si>
  <si>
    <t>剩余土地使用年限</t>
    <phoneticPr fontId="279" type="noConversion"/>
  </si>
  <si>
    <t>报酬率</t>
    <phoneticPr fontId="279" type="noConversion"/>
  </si>
  <si>
    <t>年期修正系数</t>
    <phoneticPr fontId="279" type="noConversion"/>
  </si>
  <si>
    <t>地价贡献率（参考下表）</t>
    <phoneticPr fontId="279" type="noConversion"/>
  </si>
  <si>
    <t>房价修正系数</t>
    <phoneticPr fontId="279" type="noConversion"/>
  </si>
  <si>
    <t>估价对象</t>
    <phoneticPr fontId="279" type="noConversion"/>
  </si>
  <si>
    <t>案例A</t>
    <phoneticPr fontId="279" type="noConversion"/>
  </si>
  <si>
    <t>案例B</t>
    <phoneticPr fontId="279" type="noConversion"/>
  </si>
  <si>
    <t>案例C</t>
    <phoneticPr fontId="279" type="noConversion"/>
  </si>
  <si>
    <t>推导公式</t>
    <phoneticPr fontId="279" type="noConversion"/>
  </si>
  <si>
    <t>1.建+50年地价×20年年期修正系数＝20年房价</t>
    <phoneticPr fontId="279" type="noConversion"/>
  </si>
  <si>
    <t>2.建+50年地价＝50年房价</t>
    <phoneticPr fontId="279" type="noConversion"/>
  </si>
  <si>
    <t>1、2步得出</t>
    <phoneticPr fontId="279" type="noConversion"/>
  </si>
  <si>
    <t>3.50年房价－50年地价+50年地价×20年年期修正系数＝20年房价</t>
    <phoneticPr fontId="279" type="noConversion"/>
  </si>
  <si>
    <t>4.20年房价＝50年房价×20年房价修正系数</t>
    <phoneticPr fontId="279" type="noConversion"/>
  </si>
  <si>
    <t>4步代入3步</t>
    <phoneticPr fontId="279" type="noConversion"/>
  </si>
  <si>
    <t>5.50年房价－50年地价+50年地价×20年年期修正系数＝50年房价×20年房价修正系数</t>
    <phoneticPr fontId="279" type="noConversion"/>
  </si>
  <si>
    <t>6.20年房价修正系数＝1-50年地价×（1-20年年期修正系数）÷50年房价</t>
    <phoneticPr fontId="279" type="noConversion"/>
  </si>
  <si>
    <t>7.50年地价＝50年房价×地价贡献率</t>
    <phoneticPr fontId="279" type="noConversion"/>
  </si>
  <si>
    <t>7步代入6步</t>
    <phoneticPr fontId="279" type="noConversion"/>
  </si>
  <si>
    <t>8.20年房价修正系数＝1-50年房价×地价贡献率×（1-20年年期修正系数）÷50年房价＝1-地价贡献率×（1-20年年期修正系数）</t>
    <phoneticPr fontId="279" type="noConversion"/>
  </si>
  <si>
    <t>以北京为例验算</t>
    <phoneticPr fontId="223" type="noConversion"/>
  </si>
  <si>
    <t>用途</t>
    <phoneticPr fontId="223" type="noConversion"/>
  </si>
  <si>
    <t>综合地价贡献率</t>
    <phoneticPr fontId="223" type="noConversion"/>
  </si>
  <si>
    <t>收益法地价房价比</t>
    <phoneticPr fontId="223" type="noConversion"/>
  </si>
  <si>
    <t>地价售价比</t>
    <phoneticPr fontId="223" type="noConversion"/>
  </si>
  <si>
    <t>工业</t>
    <phoneticPr fontId="223" type="noConversion"/>
  </si>
  <si>
    <t>20%-30%</t>
    <phoneticPr fontId="223" type="noConversion"/>
  </si>
  <si>
    <t>15%-40%</t>
    <phoneticPr fontId="223" type="noConversion"/>
  </si>
  <si>
    <t>8000地价，20000售价；地价950，售价6500</t>
    <phoneticPr fontId="223" type="noConversion"/>
  </si>
  <si>
    <t>住宅</t>
    <phoneticPr fontId="223" type="noConversion"/>
  </si>
  <si>
    <t>60%-70%</t>
    <phoneticPr fontId="223" type="noConversion"/>
  </si>
  <si>
    <t>65%-75%</t>
    <phoneticPr fontId="223" type="noConversion"/>
  </si>
  <si>
    <t>50%-65%</t>
    <phoneticPr fontId="223" type="noConversion"/>
  </si>
  <si>
    <t>当前北京市基本控制在50%-65%</t>
    <phoneticPr fontId="223" type="noConversion"/>
  </si>
  <si>
    <t>商业/办公</t>
    <phoneticPr fontId="223" type="noConversion"/>
  </si>
  <si>
    <t>50%-60%</t>
    <phoneticPr fontId="223" type="noConversion"/>
  </si>
  <si>
    <t>70%-80%</t>
    <phoneticPr fontId="223" type="noConversion"/>
  </si>
  <si>
    <t>15000地价，30000售价</t>
    <phoneticPr fontId="223" type="noConversion"/>
  </si>
  <si>
    <t>车库/仓储</t>
    <phoneticPr fontId="223" type="noConversion"/>
  </si>
  <si>
    <t>35%-45%</t>
    <phoneticPr fontId="223" type="noConversion"/>
  </si>
  <si>
    <t>四级或五级地，地价2500-3000熟地价，售价5500-8000</t>
    <phoneticPr fontId="223"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</si>
  <si>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</si>
  <si>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</si>
  <si>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</si>
  <si>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</si>
  <si>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</si>
  <si>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</si>
  <si>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</si>
  <si>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</si>
  <si>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</si>
  <si>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</si>
  <si>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</si>
  <si>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</si>
  <si>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</si>
  <si>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</si>
  <si>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</si>
  <si>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</si>
  <si>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</si>
  <si>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</si>
  <si>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</si>
  <si>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</si>
  <si>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</si>
  <si>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</si>
  <si>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</si>
  <si>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</si>
  <si>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</si>
  <si>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</si>
  <si>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</si>
  <si>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</si>
  <si>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</si>
  <si>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</si>
  <si>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</si>
  <si>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</si>
  <si>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</si>
  <si>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</si>
  <si>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</si>
  <si>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</si>
  <si>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</si>
  <si>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</si>
  <si>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</si>
  <si>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</si>
  <si>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</si>
  <si>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</si>
  <si>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</si>
  <si>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</si>
  <si>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</si>
  <si>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</si>
  <si>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</si>
  <si>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</si>
  <si>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</si>
  <si>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3" type="noConversion"/>
  </si>
  <si>
    <t>2021-2</t>
    <phoneticPr fontId="3" type="noConversion"/>
  </si>
  <si>
    <t>2021-1</t>
    <phoneticPr fontId="3" type="noConversion"/>
  </si>
  <si>
    <t>公示增长率-中心城区</t>
    <phoneticPr fontId="230" type="noConversion"/>
  </si>
  <si>
    <r>
      <rPr>
        <b/>
        <sz val="10"/>
        <color theme="1"/>
        <rFont val="楷体_GB2312"/>
        <family val="2"/>
        <charset val="134"/>
      </rPr>
      <t>核算至百分数</t>
    </r>
    <phoneticPr fontId="230" type="noConversion"/>
  </si>
  <si>
    <t>平均</t>
    <phoneticPr fontId="3" type="noConversion"/>
  </si>
  <si>
    <t>平均</t>
    <phoneticPr fontId="3" type="noConversion"/>
  </si>
  <si>
    <t>商业</t>
    <phoneticPr fontId="3" type="noConversion"/>
  </si>
  <si>
    <t>办公</t>
    <phoneticPr fontId="223" type="noConversion"/>
  </si>
  <si>
    <t>住宅</t>
    <phoneticPr fontId="3" type="noConversion"/>
  </si>
  <si>
    <t>工业</t>
    <phoneticPr fontId="223" type="noConversion"/>
  </si>
  <si>
    <t xml:space="preserve"> </t>
    <phoneticPr fontId="223" type="noConversion"/>
  </si>
  <si>
    <t>公示增长率-非中心城区</t>
    <phoneticPr fontId="230" type="noConversion"/>
  </si>
  <si>
    <t>季度连乘</t>
    <phoneticPr fontId="223" type="noConversion"/>
  </si>
  <si>
    <t>平均</t>
    <phoneticPr fontId="3" type="noConversion"/>
  </si>
  <si>
    <t>商业</t>
    <phoneticPr fontId="3" type="noConversion"/>
  </si>
  <si>
    <t>办公</t>
    <phoneticPr fontId="223" type="noConversion"/>
  </si>
  <si>
    <t>住宅</t>
    <phoneticPr fontId="3" type="noConversion"/>
  </si>
  <si>
    <t>工业</t>
    <phoneticPr fontId="223" type="noConversion"/>
  </si>
  <si>
    <t>公共服务</t>
    <phoneticPr fontId="3" type="noConversion"/>
  </si>
  <si>
    <t>季度连乘</t>
    <phoneticPr fontId="223" type="noConversion"/>
  </si>
  <si>
    <t>平均</t>
    <phoneticPr fontId="3" type="noConversion"/>
  </si>
  <si>
    <t>商业</t>
    <phoneticPr fontId="3" type="noConversion"/>
  </si>
  <si>
    <t>公共服务</t>
    <phoneticPr fontId="3" type="noConversion"/>
  </si>
  <si>
    <t>平均增幅</t>
    <phoneticPr fontId="223" type="noConversion"/>
  </si>
  <si>
    <t>办公</t>
    <phoneticPr fontId="223"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</si>
  <si>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</si>
  <si>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</si>
  <si>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</si>
  <si>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</si>
  <si>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</si>
  <si>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</si>
  <si>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</si>
  <si>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</si>
  <si>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</si>
  <si>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</si>
  <si>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</si>
  <si>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</si>
  <si>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</si>
  <si>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</si>
  <si>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</si>
  <si>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</si>
  <si>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</si>
  <si>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</si>
  <si>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</si>
  <si>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</si>
  <si>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</si>
  <si>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</si>
  <si>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</si>
  <si>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</si>
  <si>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</si>
  <si>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</si>
  <si>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</si>
  <si>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</si>
  <si>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</si>
  <si>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</si>
  <si>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</si>
  <si>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</si>
  <si>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</si>
  <si>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</si>
  <si>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</si>
  <si>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</si>
  <si>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</si>
  <si>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</si>
  <si>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</si>
  <si>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</si>
  <si>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</si>
  <si>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</si>
  <si>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</si>
  <si>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</si>
  <si>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</si>
  <si>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</si>
  <si>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</si>
  <si>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</si>
  <si>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</si>
  <si>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</si>
  <si>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</si>
  <si>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</si>
  <si>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</si>
  <si>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</si>
  <si>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</si>
  <si>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</si>
  <si>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</si>
  <si>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</si>
  <si>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</si>
  <si>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</si>
  <si>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</si>
  <si>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</si>
  <si>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</si>
  <si>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</si>
  <si>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</si>
  <si>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</si>
  <si>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</si>
  <si>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</si>
  <si>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</si>
  <si>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</si>
  <si>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</si>
  <si>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</si>
  <si>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</si>
  <si>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</si>
  <si>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</si>
  <si>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</si>
  <si>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</si>
  <si>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</si>
  <si>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</si>
  <si>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</si>
  <si>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</si>
  <si>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</si>
  <si>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</si>
  <si>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</si>
  <si>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</si>
  <si>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</si>
  <si>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</si>
  <si>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</si>
  <si>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</si>
  <si>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</si>
  <si>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</si>
  <si>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</si>
  <si>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</si>
  <si>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</si>
  <si>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</si>
  <si>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</si>
  <si>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</si>
  <si>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</si>
  <si>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</si>
  <si>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</si>
  <si>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</si>
  <si>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</si>
  <si>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</si>
  <si>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</si>
  <si>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</si>
  <si>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</si>
  <si>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</si>
  <si>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</si>
  <si>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</si>
  <si>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</si>
  <si>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</si>
  <si>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</si>
  <si>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</si>
  <si>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</si>
  <si>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</si>
  <si>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</si>
  <si>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</si>
  <si>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</si>
  <si>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</si>
  <si>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</si>
  <si>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</si>
  <si>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</si>
  <si>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</si>
  <si>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</si>
  <si>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</si>
  <si>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</si>
  <si>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</si>
  <si>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</si>
  <si>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</si>
  <si>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</si>
  <si>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</si>
  <si>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</si>
  <si>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</si>
  <si>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</si>
  <si>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</si>
  <si>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</si>
  <si>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</si>
  <si>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</si>
  <si>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</si>
  <si>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</si>
  <si>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</si>
  <si>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</si>
  <si>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</si>
  <si>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</si>
  <si>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</si>
  <si>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</si>
  <si>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</si>
  <si>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</si>
  <si>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</si>
  <si>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</si>
  <si>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</si>
  <si>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</si>
  <si>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</si>
  <si>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</si>
  <si>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</si>
  <si>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</si>
  <si>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</si>
  <si>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</si>
  <si>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</si>
  <si>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</si>
  <si>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</si>
  <si>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</si>
  <si>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</si>
  <si>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</si>
  <si>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</si>
  <si>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</si>
  <si>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</si>
  <si>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</si>
  <si>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</si>
  <si>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</si>
  <si>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</si>
  <si>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</si>
  <si>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</si>
  <si>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</si>
  <si>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</si>
  <si>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</si>
  <si>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</si>
  <si>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</si>
  <si>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</si>
  <si>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</si>
  <si>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</si>
  <si>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</si>
  <si>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</si>
  <si>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</si>
  <si>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</si>
  <si>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</si>
  <si>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</si>
  <si>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</si>
  <si>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</si>
  <si>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</si>
  <si>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</si>
  <si>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</si>
  <si>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</si>
  <si>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</si>
  <si>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</si>
  <si>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</si>
  <si>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</si>
  <si>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</si>
  <si>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</si>
  <si>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</si>
  <si>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</si>
  <si>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</si>
  <si>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</si>
  <si>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</si>
  <si>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</si>
  <si>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</si>
  <si>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</si>
  <si>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</si>
  <si>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</si>
  <si>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</si>
  <si>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</si>
  <si>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</si>
  <si>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</si>
  <si>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</si>
  <si>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</si>
  <si>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</si>
  <si>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</si>
  <si>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</si>
  <si>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</si>
  <si>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</si>
  <si>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</si>
  <si>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</si>
  <si>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</si>
  <si>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</si>
  <si>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</si>
  <si>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</si>
  <si>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</si>
  <si>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</si>
  <si>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</si>
  <si>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</si>
  <si>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</si>
  <si>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</si>
  <si>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</si>
  <si>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</si>
  <si>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</si>
  <si>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</si>
  <si>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</si>
  <si>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</si>
  <si>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</si>
  <si>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</si>
  <si>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</si>
  <si>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</si>
  <si>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</si>
  <si>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</si>
  <si>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</si>
  <si>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</si>
  <si>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</si>
  <si>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</si>
  <si>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</si>
  <si>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</si>
  <si>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</si>
  <si>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</si>
  <si>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</si>
  <si>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</si>
  <si>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</si>
  <si>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</si>
  <si>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</si>
  <si>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</si>
  <si>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</si>
  <si>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</si>
  <si>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</si>
  <si>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</si>
  <si>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</si>
  <si>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</si>
  <si>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</si>
  <si>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</si>
  <si>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</si>
  <si>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</si>
  <si>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</si>
  <si>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</si>
  <si>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</si>
  <si>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</si>
  <si>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</si>
  <si>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</si>
  <si>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</si>
  <si>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</si>
  <si>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</si>
  <si>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</si>
  <si>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</si>
  <si>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</si>
  <si>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</si>
  <si>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</si>
  <si>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</si>
  <si>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</si>
  <si>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</si>
  <si>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</si>
  <si>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</si>
  <si>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</si>
  <si>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</si>
  <si>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</si>
  <si>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</si>
  <si>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</si>
  <si>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</si>
  <si>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</si>
  <si>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</si>
  <si>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</si>
  <si>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</si>
  <si>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</si>
  <si>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</si>
  <si>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</si>
  <si>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</si>
  <si>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</si>
  <si>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</si>
  <si>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</si>
  <si>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</si>
  <si>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</si>
  <si>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</si>
  <si>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</si>
  <si>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</si>
  <si>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</si>
  <si>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</si>
  <si>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</si>
  <si>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</si>
  <si>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</si>
  <si>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</si>
  <si>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</si>
  <si>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</si>
  <si>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</si>
  <si>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</si>
  <si>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</si>
  <si>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</si>
  <si>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</si>
  <si>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</si>
  <si>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</si>
  <si>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</si>
  <si>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</si>
  <si>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</si>
  <si>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</si>
  <si>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</si>
  <si>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</si>
  <si>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</si>
  <si>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</si>
  <si>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</si>
  <si>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</si>
  <si>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</si>
  <si>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</si>
  <si>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</si>
  <si>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</si>
  <si>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</si>
  <si>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</si>
  <si>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</si>
  <si>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</si>
  <si>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</si>
  <si>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</si>
  <si>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</si>
  <si>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</si>
  <si>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</si>
  <si>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</si>
  <si>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</si>
  <si>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</si>
  <si>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</si>
  <si>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</si>
  <si>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</si>
  <si>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</si>
  <si>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</si>
  <si>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</si>
  <si>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</si>
  <si>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</si>
  <si>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</si>
  <si>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</si>
  <si>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</si>
  <si>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</si>
  <si>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</si>
  <si>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</si>
  <si>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</si>
  <si>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</si>
  <si>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</si>
  <si>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</si>
  <si>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</si>
  <si>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</si>
  <si>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</si>
  <si>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</si>
  <si>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</si>
  <si>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</si>
  <si>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</si>
  <si>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</si>
  <si>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3" type="noConversion"/>
  </si>
  <si>
    <t>（一）北京市级别基准地价表</t>
    <phoneticPr fontId="223" type="noConversion"/>
  </si>
  <si>
    <t xml:space="preserve">基准期日：2021年１月１日                        </t>
    <phoneticPr fontId="223" type="noConversion"/>
  </si>
  <si>
    <t>单位：元／平方米</t>
    <phoneticPr fontId="223" type="noConversion"/>
  </si>
  <si>
    <t>公共服务</t>
    <phoneticPr fontId="223"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</si>
  <si>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</si>
  <si>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</si>
  <si>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</si>
  <si>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</si>
  <si>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</si>
  <si>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</si>
  <si>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</si>
  <si>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</si>
  <si>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</si>
  <si>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</si>
  <si>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</si>
  <si>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</si>
  <si>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</si>
  <si>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</si>
  <si>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</si>
  <si>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</si>
  <si>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</si>
  <si>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</si>
  <si>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</si>
  <si>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</si>
  <si>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</si>
  <si>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</si>
  <si>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</si>
  <si>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</si>
  <si>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</si>
  <si>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</si>
  <si>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</si>
  <si>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</si>
  <si>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</si>
  <si>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</si>
  <si>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</si>
  <si>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</si>
  <si>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</si>
  <si>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</si>
  <si>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</si>
  <si>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</si>
  <si>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</si>
  <si>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</si>
  <si>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</si>
  <si>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</si>
  <si>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</si>
  <si>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</si>
  <si>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</si>
  <si>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</si>
  <si>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</si>
  <si>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</si>
  <si>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</si>
  <si>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</si>
  <si>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</si>
  <si>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</si>
  <si>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</si>
  <si>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</si>
  <si>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</si>
  <si>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</si>
  <si>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</si>
  <si>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</si>
  <si>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0" type="noConversion"/>
  </si>
  <si>
    <r>
      <t>非中心城区：除城六区外其余十一区，对应北京市地价动态监测结果的市级样点，即</t>
    </r>
    <r>
      <rPr>
        <sz val="10"/>
        <rFont val="楷体_GB2312"/>
        <family val="3"/>
        <charset val="134"/>
      </rPr>
      <t>规划新城</t>
    </r>
    <phoneticPr fontId="230" type="noConversion"/>
  </si>
  <si>
    <t>2022-4</t>
    <phoneticPr fontId="3" type="noConversion"/>
  </si>
  <si>
    <t>2022-4</t>
    <phoneticPr fontId="3" type="noConversion"/>
  </si>
  <si>
    <t>2023-1</t>
    <phoneticPr fontId="3" type="noConversion"/>
  </si>
  <si>
    <t>2023-1</t>
    <phoneticPr fontId="3" type="noConversion"/>
  </si>
  <si>
    <t>2023-3</t>
    <phoneticPr fontId="3" type="noConversion"/>
  </si>
  <si>
    <t>2023-2</t>
    <phoneticPr fontId="3" type="noConversion"/>
  </si>
  <si>
    <t>2023-3</t>
    <phoneticPr fontId="3" type="noConversion"/>
  </si>
  <si>
    <t>2023-2</t>
    <phoneticPr fontId="3" type="noConversion"/>
  </si>
  <si>
    <t>2024-2</t>
    <phoneticPr fontId="3" type="noConversion"/>
  </si>
  <si>
    <t>2024-1</t>
    <phoneticPr fontId="3" type="noConversion"/>
  </si>
  <si>
    <t>2023-4</t>
    <phoneticPr fontId="3" type="noConversion"/>
  </si>
  <si>
    <t>自定义容积率</t>
  </si>
  <si>
    <t>场地未平整</t>
  </si>
  <si>
    <t>工业项目</t>
  </si>
  <si>
    <t>已完工</t>
    <phoneticPr fontId="6" type="noConversion"/>
  </si>
  <si>
    <t>《房屋所有权证》</t>
  </si>
  <si>
    <t>市场价格</t>
  </si>
  <si>
    <t>企业</t>
  </si>
  <si>
    <t>与级别开发程度一致</t>
  </si>
  <si>
    <t>中心城区</t>
  </si>
  <si>
    <t>较好</t>
  </si>
  <si>
    <t>一般</t>
  </si>
  <si>
    <t>好</t>
  </si>
  <si>
    <t>地上</t>
  </si>
  <si>
    <t>是</t>
  </si>
  <si>
    <t>划拨</t>
  </si>
  <si>
    <t>鸿都国际轻纺城</t>
    <phoneticPr fontId="7" type="noConversion"/>
  </si>
  <si>
    <t>基准地价法</t>
  </si>
  <si>
    <t>设定年限</t>
    <phoneticPr fontId="223" type="noConversion"/>
  </si>
  <si>
    <t>政府土地出让收益率</t>
    <phoneticPr fontId="223" type="noConversion"/>
  </si>
  <si>
    <t>地面单价</t>
  </si>
  <si>
    <t>出让收益</t>
    <phoneticPr fontId="223" type="noConversion"/>
  </si>
  <si>
    <t>方法</t>
  </si>
  <si>
    <t>权重</t>
  </si>
  <si>
    <t>方法差额</t>
  </si>
  <si>
    <t>市场比较法</t>
  </si>
  <si>
    <t>出让地价</t>
    <phoneticPr fontId="223" type="noConversion"/>
  </si>
  <si>
    <t>出让年期</t>
    <phoneticPr fontId="223" type="noConversion"/>
  </si>
  <si>
    <t>20年</t>
    <phoneticPr fontId="223" type="noConversion"/>
  </si>
  <si>
    <t>50年</t>
    <phoneticPr fontId="223" type="noConversion"/>
  </si>
  <si>
    <t>通州</t>
  </si>
  <si>
    <t>该区算术平均</t>
    <phoneticPr fontId="223" type="noConversion"/>
  </si>
  <si>
    <t>大兴（不含亦庄）</t>
    <phoneticPr fontId="223" type="noConversion"/>
  </si>
  <si>
    <t>顺义</t>
  </si>
  <si>
    <t>昌平</t>
    <phoneticPr fontId="223" type="noConversion"/>
  </si>
  <si>
    <t>房山</t>
  </si>
  <si>
    <t>门头沟</t>
    <phoneticPr fontId="223" type="noConversion"/>
  </si>
  <si>
    <t>——</t>
    <phoneticPr fontId="223" type="noConversion"/>
  </si>
  <si>
    <t>该区无成交案例</t>
    <phoneticPr fontId="223" type="noConversion"/>
  </si>
  <si>
    <t>土地增值收益率</t>
    <phoneticPr fontId="223" type="noConversion"/>
  </si>
  <si>
    <t>全部案例算术平均</t>
    <phoneticPr fontId="223" type="noConversion"/>
  </si>
  <si>
    <t>年期修正过程见案例表</t>
    <phoneticPr fontId="223" type="noConversion"/>
  </si>
  <si>
    <t>划拨地价</t>
  </si>
  <si>
    <t>北京市自规委-土地招拍挂项目</t>
  </si>
  <si>
    <t>20年</t>
  </si>
  <si>
    <t>《关于高精尖产业项目供地程序及降低用地成本的指导意见》</t>
  </si>
  <si>
    <t>(1-1/(1+r)^n)</t>
    <phoneticPr fontId="223" type="noConversion"/>
  </si>
  <si>
    <t>50年</t>
  </si>
  <si>
    <t>开发成本</t>
    <phoneticPr fontId="223" type="noConversion"/>
  </si>
  <si>
    <t>出让收益折算20年</t>
    <phoneticPr fontId="223" type="noConversion"/>
  </si>
  <si>
    <t>价格内涵</t>
    <phoneticPr fontId="223" type="noConversion"/>
  </si>
  <si>
    <t>50年开发成本+20年出让收益</t>
    <phoneticPr fontId="223" type="noConversion"/>
  </si>
  <si>
    <t>基准地价法</t>
    <phoneticPr fontId="223" type="noConversion"/>
  </si>
  <si>
    <t>20年</t>
    <phoneticPr fontId="223" type="noConversion"/>
  </si>
  <si>
    <t>剩余（增值收益扣减）法</t>
    <phoneticPr fontId="223" type="noConversion"/>
  </si>
  <si>
    <t>单位面积地价</t>
  </si>
  <si>
    <t>地块名称</t>
  </si>
  <si>
    <t>城市</t>
  </si>
  <si>
    <t>地块编号</t>
  </si>
  <si>
    <t>省份</t>
  </si>
  <si>
    <t>区县</t>
  </si>
  <si>
    <t>板块</t>
  </si>
  <si>
    <t>土地位置</t>
  </si>
  <si>
    <t>用地性质</t>
  </si>
  <si>
    <t>建设用地面积(㎡)</t>
  </si>
  <si>
    <t>规划建筑面积(㎡)</t>
  </si>
  <si>
    <t>容积率</t>
    <phoneticPr fontId="223" type="noConversion"/>
  </si>
  <si>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</si>
  <si>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</si>
  <si>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</si>
  <si>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</si>
  <si>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</si>
  <si>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</si>
  <si>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</si>
  <si>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</si>
  <si>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</si>
  <si>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</si>
  <si>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</si>
  <si>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</si>
  <si>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</si>
  <si>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</si>
  <si>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</si>
  <si>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</si>
  <si>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</si>
  <si>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</si>
  <si>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</si>
  <si>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</si>
  <si>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</si>
  <si>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</si>
  <si>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</si>
  <si>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</si>
  <si>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</si>
  <si>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</si>
  <si>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</si>
  <si>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</si>
  <si>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</si>
  <si>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</si>
  <si>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</si>
  <si>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</si>
  <si>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</si>
  <si>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</si>
  <si>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</si>
  <si>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</si>
  <si>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</si>
  <si>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</si>
  <si>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</si>
  <si>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</si>
  <si>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</si>
  <si>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地面单价</t>
    <phoneticPr fontId="223" type="noConversion"/>
  </si>
  <si>
    <t>开发建设补偿费/地面单价</t>
    <phoneticPr fontId="223" type="noConversion"/>
  </si>
  <si>
    <t>土地级别</t>
    <phoneticPr fontId="223" type="noConversion"/>
  </si>
  <si>
    <t>基准地价级别修正</t>
    <phoneticPr fontId="223" type="noConversion"/>
  </si>
  <si>
    <t>年期修正后成交地面单价</t>
    <phoneticPr fontId="223" type="noConversion"/>
  </si>
  <si>
    <t>北京市永乐经济开发区TZ10-0300-6009地块</t>
  </si>
  <si>
    <t>京土整储挂(通)工业〔2021〕04号</t>
  </si>
  <si>
    <t xml:space="preserve"> 北京</t>
  </si>
  <si>
    <t xml:space="preserve"> 通州区</t>
  </si>
  <si>
    <t xml:space="preserve"> 永乐店</t>
  </si>
  <si>
    <t xml:space="preserve"> 永乐经济开发区</t>
  </si>
  <si>
    <t xml:space="preserve"> 工业用地</t>
  </si>
  <si>
    <t xml:space="preserve"> 挂牌</t>
  </si>
  <si>
    <t xml:space="preserve"> 工业研发用地(M4)</t>
  </si>
  <si>
    <t xml:space="preserve">-- </t>
  </si>
  <si>
    <t xml:space="preserve"> -- </t>
  </si>
  <si>
    <t xml:space="preserve"> ≤30米</t>
  </si>
  <si>
    <t xml:space="preserve"> --</t>
  </si>
  <si>
    <t xml:space="preserve"> 京土整储挂(通)工业〔2021〕04号</t>
  </si>
  <si>
    <t xml:space="preserve"> 已成交</t>
  </si>
  <si>
    <t xml:space="preserve"> 北京泰利数据科技发展有限公司  </t>
  </si>
  <si>
    <t xml:space="preserve"> 20年</t>
    <phoneticPr fontId="223" type="noConversion"/>
  </si>
  <si>
    <t>北京市通州区西集镇TZ07-0102-0052地块</t>
  </si>
  <si>
    <t>京土整储挂(通)工业〔2021〕01号</t>
  </si>
  <si>
    <t xml:space="preserve"> 西集</t>
  </si>
  <si>
    <t xml:space="preserve"> 通州区西集镇国家网络安全产业园区(通州)东部</t>
  </si>
  <si>
    <t xml:space="preserve"> 等于1.2</t>
  </si>
  <si>
    <t xml:space="preserve"> M4工业研发用地</t>
  </si>
  <si>
    <t xml:space="preserve"> ≤24米</t>
  </si>
  <si>
    <t xml:space="preserve"> 京土整储挂(通)工业〔2021〕01号</t>
  </si>
  <si>
    <t xml:space="preserve"> 北京通州发展集团有限公司  </t>
  </si>
  <si>
    <t xml:space="preserve"> 20年</t>
  </si>
  <si>
    <t>北京市通州区西集镇TZ07-0102-0069地块国有建设用地使用权出让</t>
  </si>
  <si>
    <t>京土整储挂(通)工业〔2021〕03号</t>
  </si>
  <si>
    <t xml:space="preserve"> ≤2</t>
  </si>
  <si>
    <t xml:space="preserve"> 京土整储挂(通)工业〔2021〕03号</t>
  </si>
  <si>
    <t>北京市通州区西集镇TZ07-0102-0060地块</t>
  </si>
  <si>
    <t>京土整储挂(通)工业〔2021〕02号</t>
  </si>
  <si>
    <t xml:space="preserve"> ≤36米</t>
  </si>
  <si>
    <t xml:space="preserve"> 京土整储挂(通)工业〔2021〕02号</t>
  </si>
  <si>
    <t xml:space="preserve"> 西北工业大学  </t>
  </si>
  <si>
    <t>北京市通州区漷县镇中心区西区产业用地TZ05-0101-6100、6104地块工业用地国有建设用地使用权出让挂牌文件</t>
  </si>
  <si>
    <t>京土整储挂(通)工业[2020]01号</t>
  </si>
  <si>
    <t xml:space="preserve"> 北京市漷县镇中心区西区产业用地内</t>
  </si>
  <si>
    <t xml:space="preserve"> ≤1.2</t>
  </si>
  <si>
    <t xml:space="preserve"> M1一类工业用地</t>
  </si>
  <si>
    <t xml:space="preserve"> 京土整储挂(通)工业[2020]01号</t>
  </si>
  <si>
    <t xml:space="preserve"> 北京福元医药股份有限公司  </t>
  </si>
  <si>
    <t>北京大兴国际机场临空经济区0206-0052、0206-0053、0206-0070地块M1一类工业用地</t>
  </si>
  <si>
    <t>京临管挂工业〔2023〕001号</t>
  </si>
  <si>
    <t xml:space="preserve"> 大兴区</t>
  </si>
  <si>
    <t xml:space="preserve"> 榆垡</t>
  </si>
  <si>
    <t xml:space="preserve"> 大兴区榆垡镇</t>
  </si>
  <si>
    <t xml:space="preserve"> 京临管挂工业〔2023〕001号</t>
  </si>
  <si>
    <t xml:space="preserve"> 北京航城兴康再生医学科技发展有限公司  </t>
  </si>
  <si>
    <t>2023-04-13 15:00</t>
  </si>
  <si>
    <t>大兴新城东南片区0605-022C地块M2工业用地</t>
  </si>
  <si>
    <t>京规自挂(兴)工业[2022]003号</t>
  </si>
  <si>
    <t xml:space="preserve"> 北臧村</t>
  </si>
  <si>
    <t xml:space="preserve"> 大兴新城东南片区</t>
  </si>
  <si>
    <t xml:space="preserve"> ≤1.5</t>
  </si>
  <si>
    <t xml:space="preserve"> 京规自挂(兴)工业[2022]003号</t>
  </si>
  <si>
    <t xml:space="preserve"> 北京天科合达半导体股份有限公司  </t>
  </si>
  <si>
    <t>2022-11-03 15:00</t>
  </si>
  <si>
    <t>≤2</t>
    <phoneticPr fontId="223" type="noConversion"/>
  </si>
  <si>
    <t>M2 二类工业用地</t>
    <phoneticPr fontId="223" type="noConversion"/>
  </si>
  <si>
    <t xml:space="preserve"> 20年</t>
    <phoneticPr fontId="223" type="noConversion"/>
  </si>
  <si>
    <t>大兴生物医药产业基地DX00-0501-0051-2地块M1工业用地国有建设用地使用权出让公告</t>
  </si>
  <si>
    <t>京规自挂(兴)工业[2022]002号</t>
  </si>
  <si>
    <t xml:space="preserve"> 天宫院街道</t>
  </si>
  <si>
    <t xml:space="preserve"> 大兴生物医药产业基地</t>
  </si>
  <si>
    <t xml:space="preserve"> ≥1.0,≤1.0</t>
  </si>
  <si>
    <t xml:space="preserve"> 京规自挂(兴)工业[2022]002号</t>
  </si>
  <si>
    <t xml:space="preserve"> 北京华洋奎龙药业有限公司  </t>
  </si>
  <si>
    <t>2022-06-30 15:00</t>
  </si>
  <si>
    <t>北京大兴国际机场综合保税区 DX12-0107-081-01地块W1物流用地</t>
  </si>
  <si>
    <t>京临管挂工业〔2022〕002号</t>
  </si>
  <si>
    <t xml:space="preserve"> 礼贤</t>
  </si>
  <si>
    <t xml:space="preserve"> 大兴区礼贤镇</t>
  </si>
  <si>
    <t xml:space="preserve"> W1物流用地</t>
  </si>
  <si>
    <t xml:space="preserve"> 京临管挂工业〔2022〕002号</t>
  </si>
  <si>
    <t xml:space="preserve"> 上药科园信海(北京)科技发展有限公司  </t>
  </si>
  <si>
    <t>2022-05-31 15:00</t>
  </si>
  <si>
    <t>Ⅸ-兴3</t>
    <phoneticPr fontId="223" type="noConversion"/>
  </si>
  <si>
    <t>北京大兴国际机场综合保税区DX12-0107-081-02地块W1物流用地</t>
  </si>
  <si>
    <t>京临管挂工业〔2022〕001号</t>
  </si>
  <si>
    <t xml:space="preserve"> 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</si>
  <si>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</si>
  <si>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</si>
  <si>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</si>
  <si>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庞各庄</t>
  </si>
  <si>
    <t xml:space="preserve"> 大兴区庞各庄镇</t>
  </si>
  <si>
    <t xml:space="preserve"> ≥40%</t>
  </si>
  <si>
    <t xml:space="preserve"> 京规自整储挂(兴)工业[2022]001号</t>
  </si>
  <si>
    <t xml:space="preserve"> 国家电投集团氢能科技发展有限公司  </t>
  </si>
  <si>
    <t>京规自整储挂(兴)工业〔2021〕010号</t>
  </si>
  <si>
    <t xml:space="preserve"> M2工业用地</t>
  </si>
  <si>
    <t xml:space="preserve"> 京规自整储挂(兴)工业〔2021〕010号</t>
  </si>
  <si>
    <t xml:space="preserve"> 北京海德利森科技有限公司  </t>
  </si>
  <si>
    <t>北京大兴国际机场临空经济区DX12-0107-053地块</t>
  </si>
  <si>
    <t>京临管挂工业[2021]003号</t>
  </si>
  <si>
    <t xml:space="preserve"> 北京大兴国际机场临空经济区DX12-0107-053地块</t>
  </si>
  <si>
    <t xml:space="preserve"> 18-24 米</t>
  </si>
  <si>
    <t xml:space="preserve"> 京临管挂工业[2021]003号</t>
  </si>
  <si>
    <t xml:space="preserve"> 北京京航仓储服务有限公司  </t>
  </si>
  <si>
    <t>2021-11-01 15:00</t>
  </si>
  <si>
    <t>大兴区庞各庄镇DX06-0103-6022地块一类工业用地</t>
  </si>
  <si>
    <t>京土整储挂 (兴)工业 [2021]008 号</t>
  </si>
  <si>
    <t xml:space="preserve"> 招标</t>
  </si>
  <si>
    <t xml:space="preserve"> 工业</t>
  </si>
  <si>
    <t xml:space="preserve"> ≤40%</t>
  </si>
  <si>
    <t xml:space="preserve"> 京土整储挂 (兴)工业 [2021]008 号</t>
  </si>
  <si>
    <t xml:space="preserve"> 北京安盾兰达智能科技有限公司  </t>
  </si>
  <si>
    <t>出让文件大小写不一致</t>
    <phoneticPr fontId="223" type="noConversion"/>
  </si>
  <si>
    <t>大兴生物医药产业基地DX00-0501-0057地块M1一类工业用地国有建设用地使用权出让挂牌文件</t>
  </si>
  <si>
    <t>大兴生物医药产业基地DX00-0501-0057地块</t>
  </si>
  <si>
    <t xml:space="preserve"> 30 米</t>
  </si>
  <si>
    <t xml:space="preserve"> 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</si>
  <si>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</si>
  <si>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</si>
  <si>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</si>
  <si>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</si>
  <si>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</si>
  <si>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</si>
  <si>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</si>
  <si>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</si>
  <si>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</si>
  <si>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</si>
  <si>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</si>
  <si>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</si>
  <si>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 xml:space="preserve"> 工业</t>
    <phoneticPr fontId="223" type="noConversion"/>
  </si>
  <si>
    <t xml:space="preserve"> ≤24 米,局部高度≤26 米</t>
  </si>
  <si>
    <t xml:space="preserve"> 大兴生物医药产业基地DX00-0501-0061地块</t>
  </si>
  <si>
    <t>大兴生物医药产业基地DX00-0502-0029地块M1一类工业用地</t>
  </si>
  <si>
    <t>京土整储挂(兴)工业[2021]003号</t>
  </si>
  <si>
    <t xml:space="preserve"> 30米</t>
  </si>
  <si>
    <t xml:space="preserve"> 大兴生物医药产业基地DX00-0502-0029地块</t>
  </si>
  <si>
    <t xml:space="preserve"> 北京药康生物科技有限公司  </t>
  </si>
  <si>
    <t>北京大兴国际机场综合保税区0107-037地块M1工业用地国有建设用地使用权出让</t>
  </si>
  <si>
    <t>京临管挂工业〔2021〕002号</t>
  </si>
  <si>
    <t xml:space="preserve"> 北京大兴国际机场综合保税区</t>
  </si>
  <si>
    <t xml:space="preserve"> ≤1</t>
  </si>
  <si>
    <t xml:space="preserve"> M1工业用地</t>
  </si>
  <si>
    <t xml:space="preserve"> ≤18米</t>
  </si>
  <si>
    <t xml:space="preserve"> 京临管挂工业〔2021〕002号</t>
  </si>
  <si>
    <t xml:space="preserve"> 北京航城兴达建设实业有限公司  </t>
  </si>
  <si>
    <t xml:space="preserve"> 北京新航城</t>
  </si>
  <si>
    <t xml:space="preserve"> 地方国有企业</t>
  </si>
  <si>
    <t>京临管挂工业〔2021〕001号</t>
  </si>
  <si>
    <t xml:space="preserve"> 北京大兴国际机场临空经济区</t>
  </si>
  <si>
    <t xml:space="preserve"> 物流仓储用地</t>
  </si>
  <si>
    <t xml:space="preserve"> 18-24米</t>
  </si>
  <si>
    <t xml:space="preserve"> 京临管挂工业〔2021〕001号</t>
  </si>
  <si>
    <t xml:space="preserve"> 北京丰捷泰企业管理有限公司  </t>
  </si>
  <si>
    <t xml:space="preserve"> 顺丰控股</t>
  </si>
  <si>
    <t xml:space="preserve"> 民营企业</t>
  </si>
  <si>
    <t>Ⅸ</t>
    <phoneticPr fontId="223" type="noConversion"/>
  </si>
  <si>
    <t>北京大兴国际机场综合保税区0107-106地块W1一类物流仓储用地国有建设用地使用权出让</t>
  </si>
  <si>
    <t>京土整储挂(兴)工业〔2021〕001号</t>
  </si>
  <si>
    <t xml:space="preserve"> ≤1.35</t>
  </si>
  <si>
    <t xml:space="preserve"> ≤70%</t>
  </si>
  <si>
    <t xml:space="preserve"> 京土整储挂(兴)工业〔2021〕001号</t>
  </si>
  <si>
    <t xml:space="preserve"> 北京航城兴晟商贸有限责任公司  </t>
  </si>
  <si>
    <t xml:space="preserve"> 北京新航城,北京天恒兴晟置业</t>
  </si>
  <si>
    <t xml:space="preserve"> 地方国有企业,民营企业</t>
  </si>
  <si>
    <t>大兴区孙村组团产业区D-15-1地块工业用地国有建设用地使用权出让挂牌文件</t>
  </si>
  <si>
    <t>京土整储挂(兴)工业[2020]006号</t>
  </si>
  <si>
    <t xml:space="preserve"> 北京市大兴区孙村组团</t>
  </si>
  <si>
    <t xml:space="preserve"> 京土整储挂(兴)工业[2020]006号</t>
  </si>
  <si>
    <t xml:space="preserve"> 中科伟通(北京)科技发展有限公司  </t>
  </si>
  <si>
    <t>大兴生物医药产业基地DX00-0502-6004-3地块M1一类工业用地国有建设用地使用权出让</t>
  </si>
  <si>
    <t>京土整储挂(兴)工业[2020]004号</t>
  </si>
  <si>
    <t xml:space="preserve"> 北京市大兴生物医药产业基地</t>
  </si>
  <si>
    <t xml:space="preserve"> ≤2.0</t>
  </si>
  <si>
    <t xml:space="preserve"> 京土整储挂(兴)工业[2020]004号</t>
  </si>
  <si>
    <t xml:space="preserve"> 北京热景生物技术股份有限公司  </t>
  </si>
  <si>
    <t>京土整储挂(兴)工业[2020]005号</t>
  </si>
  <si>
    <t xml:space="preserve"> 京土整储挂(兴)工业[2020]005号</t>
  </si>
  <si>
    <t xml:space="preserve"> 北京沃森创新生物技术有限公司  </t>
  </si>
  <si>
    <t>顺义区大孙各庄镇总体规划范围内工业用地B01、B02、B03、B04、B05、B06地块土地一级开发项目二期SY09-0102-6015、SY09-0102-6023地块110101物流用地</t>
  </si>
  <si>
    <t>京土储挂(顺)工业[2023]001号</t>
  </si>
  <si>
    <t xml:space="preserve"> 顺义区</t>
  </si>
  <si>
    <t xml:space="preserve"> 大孙各庄</t>
  </si>
  <si>
    <t xml:space="preserve"> 顺义区大孙各庄镇内</t>
  </si>
  <si>
    <t xml:space="preserve"> 物流用地</t>
  </si>
  <si>
    <t xml:space="preserve"> 京土储挂(顺)工业[2023]001号</t>
  </si>
  <si>
    <t xml:space="preserve"> 北京之泰仓储服务有限公司  </t>
  </si>
  <si>
    <t>Ⅺ-顺1</t>
    <phoneticPr fontId="223" type="noConversion"/>
  </si>
  <si>
    <t>顺义区SY00-2402街区C-30地块(网内6号地)工业用地国有建设用地使用权出让</t>
  </si>
  <si>
    <t>京土储挂(顺)工业[2022]005号</t>
  </si>
  <si>
    <t xml:space="preserve"> 天竺</t>
  </si>
  <si>
    <t xml:space="preserve"> 顺义区北京天竺综合保税区保税功能二区内</t>
  </si>
  <si>
    <t xml:space="preserve"> 100101(原M1)工业用地</t>
  </si>
  <si>
    <t xml:space="preserve"> 京土储挂(顺)工业[2022]005号</t>
  </si>
  <si>
    <t xml:space="preserve"> 北京航空发动机维修有限公司  </t>
  </si>
  <si>
    <t xml:space="preserve"> 23年</t>
  </si>
  <si>
    <t>顺义新城3401街区(高丽营镇中关村顺义园三代半产业基地)3-2-4(北区)(3号地A)地块M1工业用地国有建设用地使用权出让</t>
  </si>
  <si>
    <t>京土储挂(顺)工业[2022]004号</t>
  </si>
  <si>
    <t xml:space="preserve"> 高丽营</t>
  </si>
  <si>
    <t xml:space="preserve"> 顺义新城3401街区(高丽营镇中关村科技园区顺义园三代半产业基地)内</t>
  </si>
  <si>
    <t xml:space="preserve"> 京土储挂(顺)工业[2022]004号</t>
  </si>
  <si>
    <t xml:space="preserve"> 北京顺创芯联科技有限公司  </t>
  </si>
  <si>
    <t>顺义新城3401街区(高丽营镇中关村顺义园三代半产业基地)3-2-3(3号地B)地块M1工业用地国有建设用地使用权出让</t>
  </si>
  <si>
    <t>京土整储挂(顺)工业[2022]003号</t>
  </si>
  <si>
    <t xml:space="preserve"> 京土整储挂(顺)工业[2022]003号</t>
  </si>
  <si>
    <t xml:space="preserve"> 泰科天润半导体科技(北京)有限公司  </t>
  </si>
  <si>
    <t>顺义新城第30街区30-27-02地块M1工业用地国有建设用地使用权出让</t>
  </si>
  <si>
    <t>京土整储挂(顺)工业[2022]001号</t>
  </si>
  <si>
    <t xml:space="preserve"> 北小营</t>
  </si>
  <si>
    <t xml:space="preserve"> 顺义新城第30街区北小营镇宏大工业区内</t>
  </si>
  <si>
    <t xml:space="preserve"> ≤1.3</t>
  </si>
  <si>
    <t xml:space="preserve"> 京土整储挂(顺)工业[2022]001号</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</si>
  <si>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</si>
  <si>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</si>
  <si>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</si>
  <si>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京土整储挂(顺)工业[2022]002号</t>
  </si>
  <si>
    <t xml:space="preserve"> 赢合控股集团有限公司  </t>
  </si>
  <si>
    <t>顺义区马坡聚源工业区A02-2-2地块</t>
  </si>
  <si>
    <t>京土整储挂(顺)工业[2021]001号</t>
  </si>
  <si>
    <t xml:space="preserve"> 马坡</t>
  </si>
  <si>
    <t xml:space="preserve"> 顺义区马坡聚源工业区</t>
  </si>
  <si>
    <t xml:space="preserve"> ≤1.6</t>
  </si>
  <si>
    <t xml:space="preserve"> 京土整储挂(顺)工业[2021]001 号</t>
  </si>
  <si>
    <t xml:space="preserve"> 北京奕承科技有限公司  </t>
  </si>
  <si>
    <t>顺义区赵全营镇SY04-0100-6006-1-2地块</t>
  </si>
  <si>
    <t>京土整储挂(顺)工业研发[2021]002号</t>
  </si>
  <si>
    <t xml:space="preserve"> 赵全营</t>
  </si>
  <si>
    <t xml:space="preserve"> 顺义区赵全营镇兆丰产业基地</t>
  </si>
  <si>
    <t xml:space="preserve"> ≤1.80</t>
  </si>
  <si>
    <t xml:space="preserve"> 45米</t>
  </si>
  <si>
    <t xml:space="preserve"> 京土整储挂(顺)工业研发[2021]002号</t>
  </si>
  <si>
    <t xml:space="preserve"> 北京理工华创电动车技术有限公司  </t>
  </si>
  <si>
    <t>北京市顺义临空国际(科创功能区)6-1-1地块M1一类工业用地国有建设用地</t>
  </si>
  <si>
    <t>京土整储挂(顺)工业[2020]002号</t>
  </si>
  <si>
    <t xml:space="preserve"> 顺义区科创功能区临空国际板块</t>
  </si>
  <si>
    <t xml:space="preserve"> ≥0.8;≤2</t>
  </si>
  <si>
    <t xml:space="preserve"> 一类工业用地</t>
  </si>
  <si>
    <t xml:space="preserve"> 多层厂房不低于40%,单层厂房不低于50%</t>
  </si>
  <si>
    <t xml:space="preserve"> 京土整储挂(顺)工业【2020】002号</t>
  </si>
  <si>
    <t xml:space="preserve"> 中电科光电科技有限公司 、中国电子科技集团公司第十一研究所  </t>
  </si>
  <si>
    <t>北京市昌平区北七家工业园区土地一级开发(一期) 项目CP01-1502-0009、0011地块M1一类工业用地</t>
  </si>
  <si>
    <t>京规自挂(昌)工业[2023]002号</t>
  </si>
  <si>
    <t xml:space="preserve"> 昌平区</t>
  </si>
  <si>
    <t xml:space="preserve"> 北七家</t>
  </si>
  <si>
    <t xml:space="preserve"> 昌平区北七家镇</t>
  </si>
  <si>
    <t xml:space="preserve"> 京规自挂(昌)工业[2023]002号</t>
  </si>
  <si>
    <t xml:space="preserve"> 北京未来星科低碳科技产业发展有限公司  </t>
  </si>
  <si>
    <t>北京市昌平区朱辛庄新区二期土地一级开发项目CP01-0801-0031、0034地块M1一类工业用地</t>
  </si>
  <si>
    <t>京规自挂(昌)工业[2023]001号</t>
  </si>
  <si>
    <t xml:space="preserve"> 回龙观</t>
  </si>
  <si>
    <t xml:space="preserve"> 昌平区史各庄街道</t>
  </si>
  <si>
    <t xml:space="preserve"> 京规自挂(昌)工业[2023]001号</t>
  </si>
  <si>
    <t xml:space="preserve"> 北京紫光数字科技有限公司  </t>
  </si>
  <si>
    <t xml:space="preserve"> 50年</t>
  </si>
  <si>
    <t>北京市昌平区中关村科技园昌平园东区二期CP00-1201-0001地块M1一类工业用地</t>
  </si>
  <si>
    <t>京规自挂(昌)工业[2022]003号</t>
  </si>
  <si>
    <t xml:space="preserve"> 南邵</t>
  </si>
  <si>
    <t xml:space="preserve"> 昌平区南邵镇</t>
  </si>
  <si>
    <t xml:space="preserve"> 京规自挂(昌)工业[2022]003号</t>
  </si>
  <si>
    <t xml:space="preserve"> 爱美客技术发展股份有限公司  </t>
  </si>
  <si>
    <t>北京市昌平区北郊农场工业前期开发项目CP00-1805-0011等地块土地一级开发项目CP01-0602-0006、CP01-0602-0008地块M1一类工业用地</t>
  </si>
  <si>
    <t>京规自挂(昌)工业[2022]002号</t>
  </si>
  <si>
    <t xml:space="preserve"> 京规自挂(昌)工业[2022]002号</t>
  </si>
  <si>
    <t xml:space="preserve"> 北京中维益道生物技术有限公司  </t>
  </si>
  <si>
    <t>北京市昌平区中关村科技园昌平园东区(二期)土地一级开发项目CP00-0303-6035-A地块 M1一类工业用地</t>
  </si>
  <si>
    <t>京规自挂(昌)工业[2022]001号</t>
  </si>
  <si>
    <t xml:space="preserve"> 京规自挂(昌)工业[2022]001号</t>
  </si>
  <si>
    <t xml:space="preserve"> 北京新雷能科技股份有限公司  </t>
  </si>
  <si>
    <t>北京市昌平区中关村科技园昌平园东区(二期)土地一级开发项目CP00-0303-6035-B地块</t>
  </si>
  <si>
    <t>京土整储挂(昌)工业[2021]003号</t>
  </si>
  <si>
    <t xml:space="preserve"> M1 一类工业用地</t>
  </si>
  <si>
    <t xml:space="preserve"> 京土整储挂(昌)工业[2021]003号</t>
  </si>
  <si>
    <t xml:space="preserve"> 北京爱康宜诚医疗器材有限公司  </t>
  </si>
  <si>
    <t>北京市昌平区回龙观信息产业基地二期(一)项目CP01-0801-0007、0009、0010地块</t>
  </si>
  <si>
    <t>京土整储挂(昌)工业[2021]004号</t>
  </si>
  <si>
    <t xml:space="preserve"> 京土整储挂(昌)工业[2021]004号</t>
  </si>
  <si>
    <t xml:space="preserve"> 北京天诚医药科技有限公司  </t>
  </si>
  <si>
    <t>北京市昌平区南口镇工业用地(三期)土地一级开发项目2-2、3-1地块M1一类工业用地</t>
  </si>
  <si>
    <t>京土整储挂(昌)工业[2021]002号</t>
  </si>
  <si>
    <t xml:space="preserve"> 沙河</t>
  </si>
  <si>
    <t xml:space="preserve"> 昌平区南口镇</t>
  </si>
  <si>
    <t xml:space="preserve"> 24米(局部30米)</t>
  </si>
  <si>
    <t xml:space="preserve"> 京土整储挂(昌)工业[2021]002号</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</si>
  <si>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</si>
  <si>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</si>
  <si>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</si>
  <si>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京土整储挂(昌)工业[2021]001号</t>
  </si>
  <si>
    <t xml:space="preserve"> 谧谷(北京)信息科技有限公司  </t>
  </si>
  <si>
    <t>北京市房山区燕房组团FS00-0226-0033地块M4工业研发用地</t>
  </si>
  <si>
    <t>京土整储挂(房)工业〔2023〕002号</t>
  </si>
  <si>
    <t xml:space="preserve"> 房山区</t>
  </si>
  <si>
    <t xml:space="preserve"> 房山区城关街道</t>
  </si>
  <si>
    <t xml:space="preserve"> 京土整储挂(房)工业〔2023〕002号</t>
  </si>
  <si>
    <t xml:space="preserve"> 北京中联云天数据科技有限公司  </t>
  </si>
  <si>
    <t>北京市房山区琉璃河镇FS06-0301-0012地块W1物流用地</t>
  </si>
  <si>
    <t>京土整储挂(房)工业〔2023〕001号</t>
  </si>
  <si>
    <t xml:space="preserve"> 窦店</t>
  </si>
  <si>
    <t xml:space="preserve"> 北京市房山区琉璃河镇</t>
  </si>
  <si>
    <t xml:space="preserve"> ≥1.2,≤1.2</t>
  </si>
  <si>
    <t xml:space="preserve"> 京土整储挂(房)工业〔2023〕001 号</t>
  </si>
  <si>
    <t xml:space="preserve"> 北京高端制造业基地投资开发有限公司  </t>
  </si>
  <si>
    <t>Ⅹ-房2</t>
    <phoneticPr fontId="223" type="noConversion"/>
  </si>
  <si>
    <t>北京市房山区窦店新城组团FS00-0308-0030地块M1一类工业用地项目</t>
  </si>
  <si>
    <t>京土整储挂(房)工业[2022]002号</t>
  </si>
  <si>
    <t xml:space="preserve"> 窦店镇</t>
  </si>
  <si>
    <t xml:space="preserve"> 京土整储挂(房)工业[2022]002号</t>
  </si>
  <si>
    <t>北京市房山区韩村河镇FS17-0101-0003地块M4工业研发用地项目</t>
  </si>
  <si>
    <t>京土整储挂(房)工业【2022】001号</t>
  </si>
  <si>
    <t xml:space="preserve"> 韩村河</t>
  </si>
  <si>
    <t xml:space="preserve"> 韩村河镇</t>
  </si>
  <si>
    <t xml:space="preserve"> 京土整储挂(房)工业【2022】001号</t>
  </si>
  <si>
    <t xml:space="preserve"> 北京乾景云海科技有限公司  </t>
  </si>
  <si>
    <t>北京石化新材料科技产业基地核心区东区B7-13、B7-18地块工业用地项目</t>
  </si>
  <si>
    <t>京土整储挂(房)工业【2021】001号</t>
  </si>
  <si>
    <t xml:space="preserve"> 东风街道</t>
  </si>
  <si>
    <t xml:space="preserve"> 房山区城关街道前、后朱各庄村</t>
  </si>
  <si>
    <t xml:space="preserve"> ≤1.0</t>
  </si>
  <si>
    <t xml:space="preserve"> 京土整储挂(房)工业【2021】001号</t>
  </si>
  <si>
    <t xml:space="preserve"> 北京燕和盛投资管理有限公司  </t>
  </si>
  <si>
    <t>北京高端制造业基地06街区03地块工业用地项目</t>
  </si>
  <si>
    <t>京土整储挂(房)工业【2020】002号</t>
  </si>
  <si>
    <t xml:space="preserve"> 房山区窦店镇、良乡镇</t>
  </si>
  <si>
    <t xml:space="preserve"> M4工业研发用地(医药健康产业)</t>
  </si>
  <si>
    <t xml:space="preserve"> 京土整储挂(房)工业【2020】002号</t>
  </si>
  <si>
    <t xml:space="preserve"> 北京京东方生命科技有限公司  </t>
  </si>
  <si>
    <t>北京高端制造业基地01街区01-02(2)地块工业用地项目</t>
  </si>
  <si>
    <t>京土整储挂(房)工业[2020]001号</t>
  </si>
  <si>
    <t xml:space="preserve"> 房山区窦店镇</t>
  </si>
  <si>
    <t xml:space="preserve"> 京土整储挂(房)工业[2020]001号</t>
  </si>
  <si>
    <t xml:space="preserve"> 20年</t>
    <phoneticPr fontId="223" type="noConversion"/>
  </si>
  <si>
    <t xml:space="preserve"> 20年</t>
    <phoneticPr fontId="223" type="noConversion"/>
  </si>
  <si>
    <t>京临管挂工业〔2023〕002号</t>
  </si>
  <si>
    <t xml:space="preserve"> M1一类工业用地、S41公用停车场用地</t>
  </si>
  <si>
    <t xml:space="preserve"> 京临管挂工业〔2023〕002号</t>
  </si>
  <si>
    <t xml:space="preserve"> 北京航城兴晖医疗器械科技有限公司  </t>
  </si>
  <si>
    <t>2023-09-18 15:00</t>
  </si>
  <si>
    <t>中关村科技园区昌平园东区六期土地一级开发 项目CP00-1201-0006地块M1一类工业用地</t>
  </si>
  <si>
    <t>京规自挂(昌)工业[2023]004号</t>
  </si>
  <si>
    <t xml:space="preserve"> 京规自挂(昌)工业[2023]004号</t>
  </si>
  <si>
    <t xml:space="preserve"> 谱尼生物医药(北京)有限公司  </t>
  </si>
  <si>
    <t xml:space="preserve"> 谱尼生物医药（北京）有限公司</t>
  </si>
  <si>
    <t>中关村科技园区昌平园东区六期土地一级开发 项目CP00-1201-0004地块M1一类工业用地</t>
  </si>
  <si>
    <t>京规自挂(昌)工业[2023]003号</t>
  </si>
  <si>
    <t xml:space="preserve"> 京规自挂(昌)工业[2023]003号</t>
  </si>
  <si>
    <t>http://yewu.ghzrzyw.beijing.gov.cn/gwxxfb/tdsc/tdzpgxm.html</t>
    <phoneticPr fontId="223" type="noConversion"/>
  </si>
  <si>
    <t>审定年度</t>
  </si>
  <si>
    <t>审定月份</t>
  </si>
  <si>
    <t>项目名称</t>
  </si>
  <si>
    <t>2022基准地价
项目位置</t>
  </si>
  <si>
    <t>土地总面积（不含代拆面积、万平方米）</t>
  </si>
  <si>
    <t>代拆面积</t>
  </si>
  <si>
    <t>征地费用（万元）</t>
  </si>
  <si>
    <t>拆迁费用（万元）</t>
  </si>
  <si>
    <t>总费用（万元）</t>
  </si>
  <si>
    <t>单位面积地价（元/平方米）</t>
  </si>
  <si>
    <t>级别修正</t>
    <phoneticPr fontId="223" type="noConversion"/>
  </si>
  <si>
    <t>实物补偿（包括不限于占地面积、建筑规模、房屋用途）</t>
  </si>
  <si>
    <t>园博园</t>
  </si>
  <si>
    <t>丰台区东河沿村棚户区改造土地开发项目FT00-0202-0007等地块</t>
  </si>
  <si>
    <t xml:space="preserve"> </t>
  </si>
  <si>
    <t>无</t>
  </si>
  <si>
    <t>丰台区万泉寺住宅小区一级开发项目A地块</t>
  </si>
  <si>
    <t>Ⅲ-05</t>
  </si>
  <si>
    <t>还建</t>
  </si>
  <si>
    <t>丰台区城乡一体化周庄子村旧村改造项目二期ZZZ-06等地块</t>
    <phoneticPr fontId="223" type="noConversion"/>
  </si>
  <si>
    <t>Ⅲ-04</t>
  </si>
  <si>
    <t>无偿还建38900平方米，另还建89500产业用房，回购资金110004.8万元</t>
    <phoneticPr fontId="223" type="noConversion"/>
  </si>
  <si>
    <t>六环外</t>
  </si>
  <si>
    <t>丰台区青龙湖国际文化会都核心区土地一级开发项目</t>
  </si>
  <si>
    <t>丰台区青龙湖国际文化会都核心区土地一级开发项目C地块北侧地块</t>
  </si>
  <si>
    <t>丰台区大井三期土地一级开发项目2505-0031地块、2505-0030地块</t>
  </si>
  <si>
    <t>IV级</t>
  </si>
  <si>
    <t>5.43万平方米产业用房，回购价格9000元/平方米</t>
  </si>
  <si>
    <t>丰台区张家坟棚户区改造土地开发项目</t>
  </si>
  <si>
    <t>https://baijiahao.baidu.com/s?id=1759608990352329476&amp;wfr=spider&amp;for=pc</t>
  </si>
  <si>
    <t>丰台区城乡一体化周庄子村旧村改造项目</t>
    <phoneticPr fontId="223" type="noConversion"/>
  </si>
  <si>
    <t>金盏乡</t>
  </si>
  <si>
    <t>莱茵花园土地一级开发项目</t>
  </si>
  <si>
    <t>VI-17？</t>
  </si>
  <si>
    <t>东坝</t>
  </si>
  <si>
    <t>朝阳区东坝东南一期土地储备项目1104-611等地块</t>
  </si>
  <si>
    <t>Ⅴ级</t>
  </si>
  <si>
    <t>https://land.3fang.com/market/eb190192-c162-4c4e-a759-510afdd938e5_110100.html</t>
  </si>
  <si>
    <t>丰台区长辛店镇辛庄村（一期）项目B地块</t>
  </si>
  <si>
    <t>Ⅵ级</t>
  </si>
  <si>
    <t>东坝边缘集团剩余可开发区域土地一级开发项目南区</t>
  </si>
  <si>
    <t>丰台区丽泽金融商务区南区</t>
  </si>
  <si>
    <t>丰台区长辛店镇辛庄村一期土地一级开发项目</t>
  </si>
  <si>
    <t>丰台区石榴庄重点村土地一级开发项目L02地块</t>
    <phoneticPr fontId="223" type="noConversion"/>
  </si>
  <si>
    <t>无偿还建地上110165平方米公建</t>
  </si>
  <si>
    <t>1季度</t>
  </si>
  <si>
    <t>丰台区小瓦窑重点村土地一级开发项目一期（XWY-12、16、17地块）</t>
  </si>
  <si>
    <t>无偿还建地上110995平方米公建，建设成本5500</t>
  </si>
  <si>
    <t>崔各庄</t>
  </si>
  <si>
    <t>朝阳区电子城2-4、2-5地块</t>
  </si>
  <si>
    <t>朝阳区东坝边缘集团单店西组团1、2号土地储备项目1108-006西侧居住地块</t>
  </si>
  <si>
    <t>朝阳区崔各庄乡马泉营村香江西住宅土地一级开发项目</t>
  </si>
  <si>
    <t>工业类/楼面地价</t>
  </si>
  <si>
    <t>工业类/容积率</t>
  </si>
  <si>
    <t>1级</t>
  </si>
  <si>
    <t>2级</t>
  </si>
  <si>
    <t>3级</t>
  </si>
  <si>
    <t>4级</t>
  </si>
  <si>
    <t>5级</t>
  </si>
  <si>
    <t>6级</t>
  </si>
  <si>
    <t>7级</t>
  </si>
  <si>
    <t>8级</t>
  </si>
  <si>
    <t>9级</t>
  </si>
  <si>
    <t>10级</t>
  </si>
  <si>
    <t>11级</t>
  </si>
  <si>
    <t>12级</t>
  </si>
  <si>
    <t>正常</t>
  </si>
  <si>
    <t>仓储</t>
    <phoneticPr fontId="6" type="noConversion"/>
  </si>
  <si>
    <t>总价</t>
    <phoneticPr fontId="223" type="noConversion"/>
  </si>
  <si>
    <t>土地开发补偿费</t>
  </si>
  <si>
    <t xml:space="preserve"> VI</t>
    <phoneticPr fontId="223" type="noConversion"/>
  </si>
  <si>
    <t>各案例</t>
    <phoneticPr fontId="15" type="noConversion"/>
  </si>
  <si>
    <t>四通一平</t>
    <phoneticPr fontId="15" type="noConversion"/>
  </si>
  <si>
    <t>估价对象</t>
    <phoneticPr fontId="15" type="noConversion"/>
  </si>
  <si>
    <t>七通一平</t>
    <phoneticPr fontId="15" type="noConversion"/>
  </si>
  <si>
    <t>级别容积率</t>
    <phoneticPr fontId="15" type="noConversion"/>
  </si>
  <si>
    <t>个别因素修正</t>
    <phoneticPr fontId="3" type="noConversion"/>
  </si>
  <si>
    <t>利息</t>
    <phoneticPr fontId="223" type="noConversion"/>
  </si>
  <si>
    <t>土地开发周期</t>
    <phoneticPr fontId="223" type="noConversion"/>
  </si>
  <si>
    <r>
      <t>1</t>
    </r>
    <r>
      <rPr>
        <sz val="10"/>
        <rFont val="宋体"/>
        <family val="3"/>
        <charset val="134"/>
      </rPr>
      <t>年（含）以内</t>
    </r>
    <phoneticPr fontId="223" type="noConversion"/>
  </si>
  <si>
    <r>
      <t>1-3</t>
    </r>
    <r>
      <rPr>
        <sz val="10"/>
        <rFont val="宋体"/>
        <family val="3"/>
        <charset val="134"/>
      </rPr>
      <t>年（含）</t>
    </r>
    <phoneticPr fontId="223" type="noConversion"/>
  </si>
  <si>
    <t>利润</t>
    <phoneticPr fontId="223" type="noConversion"/>
  </si>
  <si>
    <r>
      <t>1-2</t>
    </r>
    <r>
      <rPr>
        <sz val="10"/>
        <rFont val="宋体"/>
        <family val="3"/>
        <charset val="134"/>
      </rPr>
      <t>年（含）</t>
    </r>
    <phoneticPr fontId="223" type="noConversion"/>
  </si>
  <si>
    <r>
      <t>2-3</t>
    </r>
    <r>
      <rPr>
        <sz val="10"/>
        <rFont val="宋体"/>
        <family val="3"/>
        <charset val="134"/>
      </rPr>
      <t>年（含）</t>
    </r>
    <phoneticPr fontId="223" type="noConversion"/>
  </si>
  <si>
    <t>土地开发利润率</t>
    <phoneticPr fontId="223" type="noConversion"/>
  </si>
  <si>
    <t>11-15%</t>
    <phoneticPr fontId="223" type="noConversion"/>
  </si>
  <si>
    <t>10-14%</t>
    <phoneticPr fontId="223" type="noConversion"/>
  </si>
  <si>
    <t>9-13%</t>
    <phoneticPr fontId="223" type="noConversion"/>
  </si>
  <si>
    <t>利息：取LPR加浮动点数</t>
  </si>
  <si>
    <t>增值收益扣减法</t>
    <phoneticPr fontId="223" type="noConversion"/>
  </si>
  <si>
    <t>成本逼近法</t>
    <phoneticPr fontId="223" type="noConversion"/>
  </si>
  <si>
    <t>元/平方米</t>
    <phoneticPr fontId="223" type="noConversion"/>
  </si>
  <si>
    <t>权重</t>
    <phoneticPr fontId="223" type="noConversion"/>
  </si>
  <si>
    <t>两种方法差值</t>
    <phoneticPr fontId="223" type="noConversion"/>
  </si>
  <si>
    <t>房屋重置成新价</t>
  </si>
  <si>
    <t>装修、设备及附属物价格</t>
  </si>
  <si>
    <t>合计</t>
    <phoneticPr fontId="223" type="noConversion"/>
  </si>
  <si>
    <t>元</t>
    <phoneticPr fontId="223" type="noConversion"/>
  </si>
  <si>
    <t>元</t>
    <phoneticPr fontId="223" type="noConversion"/>
  </si>
  <si>
    <t>元/平方米</t>
    <phoneticPr fontId="223" type="noConversion"/>
  </si>
  <si>
    <t>元</t>
    <phoneticPr fontId="223" type="noConversion"/>
  </si>
  <si>
    <t>年期修正（50年）</t>
    <phoneticPr fontId="223" type="noConversion"/>
  </si>
  <si>
    <t>七级</t>
    <phoneticPr fontId="223" type="noConversion"/>
  </si>
  <si>
    <t>《国有土地使用证》[丰国用（2002）字第001393号]</t>
    <phoneticPr fontId="6" type="noConversion"/>
  </si>
  <si>
    <t>《国有土地使用证》[丰国用（2002）字第001393号]</t>
    <phoneticPr fontId="3" type="noConversion"/>
  </si>
  <si>
    <t>《房屋所有权证》[京房权证丰国字第04279号]</t>
    <phoneticPr fontId="3" type="noConversion"/>
  </si>
  <si>
    <t>郑燚</t>
  </si>
  <si>
    <t>丰台区大红门西后街甲1号“鸿都国际轻纺城”项目</t>
    <phoneticPr fontId="6" type="noConversion"/>
  </si>
  <si>
    <t>大兴生物医药产业基地DX00-0502-6016地块M1一类工业用地国有建设用地使用权出让</t>
    <phoneticPr fontId="223" type="noConversion"/>
  </si>
  <si>
    <t>京土整储挂（兴）工业[2021]002号</t>
    <phoneticPr fontId="223" type="noConversion"/>
  </si>
  <si>
    <t>大兴新城东南片区</t>
    <phoneticPr fontId="223" type="noConversion"/>
  </si>
  <si>
    <t>大兴新城东南片区0605-015D地块工业用地国有建设用地使用权出让</t>
    <phoneticPr fontId="223" type="noConversion"/>
  </si>
  <si>
    <t>大兴新城东南片区0605-015E地块</t>
    <phoneticPr fontId="223" type="noConversion"/>
  </si>
  <si>
    <t>北京大兴国际机场临空经济区DX16-0206-0104、DX16-0206-0110、DX16-0206-0115地块M1一类工业用地、DX16-0206-0100地块S41公用停车场用地国有建设用地</t>
    <phoneticPr fontId="223" type="noConversion"/>
  </si>
  <si>
    <t>开发建设补偿费/万</t>
    <phoneticPr fontId="223" type="noConversion"/>
  </si>
  <si>
    <t>出让文件前后不一致</t>
    <phoneticPr fontId="223" type="noConversion"/>
  </si>
  <si>
    <t>北京市昌平区未来科学城科研成果转化基地（原小汤山镇工业区）（一期）项目CP04-0201-0013、0016、0018地块M1一类工业用地</t>
  </si>
  <si>
    <t>M1一类工业用地</t>
    <phoneticPr fontId="223" type="noConversion"/>
  </si>
  <si>
    <t>大兴新城东南片区0605-021B地块工业用地国有建设用地使用权</t>
    <phoneticPr fontId="223" type="noConversion"/>
  </si>
  <si>
    <t>北京大兴国际机场临空经济区0107-076、095地块W1一类物流仓储用地国有建设用地使用权出让</t>
    <phoneticPr fontId="223" type="noConversion"/>
  </si>
  <si>
    <t>M1一类工业用地</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</si>
</sst>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1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10.5"/>
      <color theme="1"/>
      <name val="华文细黑"/>
      <family val="3"/>
      <charset val="134"/>
    </font>
    <font>
      <sz val="10.5"/>
      <color theme="1"/>
      <name val="华文细黑"/>
      <family val="3"/>
      <charset val="134"/>
    </font>
    <font>
      <sz val="12"/>
      <color theme="1"/>
      <name val="宋体"/>
      <family val="2"/>
      <scheme val="minor"/>
    </font>
    <font>
      <u/>
      <sz val="11"/>
      <color theme="10"/>
      <name val="宋体"/>
      <family val="3"/>
      <charset val="134"/>
      <scheme val="minor"/>
    </font>
    <font>
      <b/>
      <sz val="10.5"/>
      <name val="华文细黑"/>
      <family val="3"/>
      <charset val="134"/>
    </font>
    <font>
      <b/>
      <sz val="10.5"/>
      <color theme="1"/>
      <name val="华文细黑"/>
      <family val="3"/>
      <charset val="134"/>
    </font>
    <font>
      <b/>
      <sz val="10.5"/>
      <color theme="9" tint="-0.499984740745262"/>
      <name val="华文细黑"/>
      <family val="3"/>
      <charset val="134"/>
    </font>
    <font>
      <b/>
      <i/>
      <sz val="10.5"/>
      <color theme="5"/>
      <name val="华文细黑"/>
      <family val="3"/>
      <charset val="134"/>
    </font>
    <font>
      <sz val="10.5"/>
      <name val="华文细黑"/>
      <family val="3"/>
      <charset val="134"/>
    </font>
    <font>
      <b/>
      <sz val="10.5"/>
      <color theme="5"/>
      <name val="华文细黑"/>
      <family val="3"/>
      <charset val="134"/>
    </font>
    <font>
      <b/>
      <sz val="10.5"/>
      <color rgb="FFFF0000"/>
      <name val="华文细黑"/>
      <family val="3"/>
      <charset val="134"/>
    </font>
    <font>
      <b/>
      <i/>
      <sz val="10.5"/>
      <color rgb="FFFF0000"/>
      <name val="华文细黑"/>
      <family val="3"/>
      <charset val="134"/>
    </font>
    <font>
      <sz val="9"/>
      <color rgb="FF000000"/>
      <name val="宋体"/>
      <family val="3"/>
      <charset val="134"/>
    </font>
    <font>
      <sz val="11"/>
      <color rgb="FF000000"/>
      <name val="宋体"/>
      <family val="3"/>
      <charset val="134"/>
    </font>
    <font>
      <sz val="12"/>
      <color rgb="FF000000"/>
      <name val="宋体"/>
      <family val="3"/>
      <charset val="134"/>
    </font>
    <font>
      <i/>
      <sz val="10"/>
      <color indexed="8"/>
      <name val="仿宋_GB2312"/>
      <family val="3"/>
      <charset val="134"/>
    </font>
    <font>
      <b/>
      <sz val="10"/>
      <name val="Microsoft YaHei"/>
      <family val="2"/>
      <charset val="134"/>
    </font>
    <font>
      <b/>
      <sz val="8"/>
      <color rgb="FF000000"/>
      <name val="宋体"/>
      <family val="3"/>
      <charset val="134"/>
    </font>
    <font>
      <i/>
      <sz val="10.5"/>
      <color rgb="FFFF0000"/>
      <name val="华文细黑"/>
      <family val="3"/>
      <charset val="134"/>
    </font>
    <font>
      <sz val="10.5"/>
      <color rgb="FFFF0000"/>
      <name val="华文细黑"/>
      <family val="3"/>
      <charset val="134"/>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4"/>
        <bgColor indexed="64"/>
      </patternFill>
    </fill>
    <fill>
      <patternFill patternType="solid">
        <fgColor theme="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3"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xf numFmtId="0" fontId="140" fillId="0" borderId="0">
      <alignment vertical="center"/>
    </xf>
    <xf numFmtId="0" fontId="32" fillId="0" borderId="0"/>
    <xf numFmtId="0" fontId="140" fillId="0" borderId="0">
      <alignment vertical="center"/>
    </xf>
    <xf numFmtId="0" fontId="140" fillId="0" borderId="0"/>
    <xf numFmtId="0" fontId="140" fillId="0" borderId="0">
      <alignment vertical="center"/>
    </xf>
    <xf numFmtId="0" fontId="2" fillId="0" borderId="0">
      <alignment vertical="center"/>
    </xf>
    <xf numFmtId="9" fontId="32" fillId="0" borderId="0" applyFont="0" applyFill="0" applyBorder="0" applyAlignment="0" applyProtection="0">
      <alignment vertical="center"/>
    </xf>
    <xf numFmtId="0" fontId="140" fillId="0" borderId="0">
      <alignment vertical="center"/>
    </xf>
    <xf numFmtId="0" fontId="1" fillId="0" borderId="0">
      <alignment vertical="center"/>
    </xf>
    <xf numFmtId="0" fontId="249" fillId="0" borderId="0"/>
    <xf numFmtId="0" fontId="1" fillId="0" borderId="0">
      <alignment vertical="center"/>
    </xf>
    <xf numFmtId="9" fontId="277" fillId="0" borderId="0" applyFont="0" applyFill="0" applyBorder="0" applyAlignment="0" applyProtection="0">
      <alignment vertical="center"/>
    </xf>
    <xf numFmtId="195" fontId="140" fillId="0" borderId="0">
      <alignment vertical="center"/>
    </xf>
    <xf numFmtId="0" fontId="175" fillId="0" borderId="0"/>
    <xf numFmtId="0" fontId="32" fillId="0" borderId="0">
      <alignment vertical="center"/>
    </xf>
    <xf numFmtId="0" fontId="299" fillId="0" borderId="0"/>
    <xf numFmtId="0" fontId="300" fillId="0" borderId="0" applyNumberFormat="0" applyFill="0" applyBorder="0" applyAlignment="0" applyProtection="0">
      <alignment vertical="center"/>
    </xf>
    <xf numFmtId="0" fontId="300" fillId="0" borderId="0" applyNumberFormat="0" applyFill="0" applyBorder="0" applyAlignment="0" applyProtection="0">
      <alignment vertical="center"/>
    </xf>
    <xf numFmtId="9" fontId="140" fillId="0" borderId="0" applyFont="0" applyFill="0" applyBorder="0" applyAlignment="0" applyProtection="0">
      <alignment vertical="center"/>
    </xf>
  </cellStyleXfs>
  <cellXfs count="3847">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4" fillId="5" borderId="3" xfId="0" applyFont="1" applyFill="1" applyBorder="1" applyAlignment="1">
      <alignment horizontal="center" vertical="center" wrapText="1"/>
    </xf>
    <xf numFmtId="0" fontId="144" fillId="5" borderId="0" xfId="0" applyFont="1" applyFill="1" applyAlignment="1">
      <alignment horizontal="center" vertical="center" wrapText="1"/>
    </xf>
    <xf numFmtId="0" fontId="70" fillId="5" borderId="0" xfId="0" applyFont="1" applyFill="1" applyAlignment="1">
      <alignment horizontal="center" vertical="center" wrapText="1"/>
    </xf>
    <xf numFmtId="0" fontId="144" fillId="0" borderId="2" xfId="0" applyFont="1" applyBorder="1" applyAlignment="1" applyProtection="1">
      <alignment horizontal="center" vertical="center"/>
      <protection locked="0"/>
    </xf>
    <xf numFmtId="0" fontId="144" fillId="5" borderId="0" xfId="0" applyFont="1" applyFill="1" applyAlignment="1">
      <alignment horizontal="center" vertical="center"/>
    </xf>
    <xf numFmtId="0" fontId="144" fillId="0" borderId="0" xfId="0" applyFont="1" applyAlignment="1" applyProtection="1">
      <alignment horizontal="center" vertical="center"/>
      <protection locked="0"/>
    </xf>
    <xf numFmtId="0" fontId="144" fillId="5" borderId="0" xfId="0" applyFont="1" applyFill="1">
      <alignment vertical="center"/>
    </xf>
    <xf numFmtId="0" fontId="72" fillId="0" borderId="2" xfId="0" applyFont="1" applyBorder="1" applyAlignment="1" applyProtection="1">
      <alignment horizontal="center" vertical="center" wrapText="1"/>
      <protection locked="0"/>
    </xf>
    <xf numFmtId="0" fontId="145"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6"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7"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5"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5"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4"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4"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4" fillId="5" borderId="6" xfId="0" applyFont="1" applyFill="1" applyBorder="1" applyAlignment="1">
      <alignment horizontal="center" vertical="center"/>
    </xf>
    <xf numFmtId="0" fontId="144"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4" fillId="5" borderId="2" xfId="0" applyFont="1" applyFill="1" applyBorder="1" applyAlignment="1">
      <alignment horizontal="center" vertical="center"/>
    </xf>
    <xf numFmtId="0" fontId="144"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8" fillId="0" borderId="11" xfId="0" applyFont="1" applyBorder="1" applyAlignment="1" applyProtection="1">
      <alignment horizontal="center" vertical="center"/>
      <protection locked="0"/>
    </xf>
    <xf numFmtId="0" fontId="148" fillId="0" borderId="2" xfId="0" applyFont="1" applyBorder="1" applyAlignment="1" applyProtection="1">
      <alignment horizontal="center" vertical="center"/>
      <protection locked="0"/>
    </xf>
    <xf numFmtId="0" fontId="148"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8" fillId="0" borderId="1" xfId="0" applyFont="1" applyBorder="1" applyAlignment="1" applyProtection="1">
      <alignment horizontal="center" vertical="center"/>
      <protection locked="0"/>
    </xf>
    <xf numFmtId="0" fontId="148" fillId="0" borderId="6" xfId="0" applyFont="1" applyBorder="1" applyAlignment="1" applyProtection="1">
      <alignment horizontal="center" vertical="center"/>
      <protection locked="0"/>
    </xf>
    <xf numFmtId="0" fontId="148" fillId="0" borderId="7" xfId="0" applyFont="1" applyBorder="1" applyAlignment="1" applyProtection="1">
      <alignment horizontal="center" vertical="center"/>
      <protection locked="0"/>
    </xf>
    <xf numFmtId="0" fontId="148" fillId="0" borderId="43" xfId="0" applyFont="1" applyBorder="1" applyAlignment="1" applyProtection="1">
      <alignment horizontal="center" vertical="center"/>
      <protection locked="0"/>
    </xf>
    <xf numFmtId="0" fontId="148" fillId="0" borderId="44" xfId="0" applyFont="1" applyBorder="1" applyAlignment="1" applyProtection="1">
      <alignment horizontal="center" vertical="center"/>
      <protection locked="0"/>
    </xf>
    <xf numFmtId="0" fontId="148"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49"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8" fillId="5" borderId="0" xfId="0" applyFont="1" applyFill="1" applyAlignment="1">
      <alignment horizontal="center" vertical="center"/>
    </xf>
    <xf numFmtId="0" fontId="71" fillId="5" borderId="45" xfId="0" applyFont="1" applyFill="1" applyBorder="1" applyAlignment="1">
      <alignment horizontal="right" vertical="center"/>
    </xf>
    <xf numFmtId="0" fontId="150"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6"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49"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7" fillId="5" borderId="2" xfId="0" applyNumberFormat="1" applyFont="1" applyFill="1" applyBorder="1" applyAlignment="1">
      <alignment horizontal="center" vertical="center"/>
    </xf>
    <xf numFmtId="177" fontId="147"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1" fillId="5" borderId="2" xfId="0" applyNumberFormat="1" applyFont="1" applyFill="1" applyBorder="1" applyAlignment="1">
      <alignment horizontal="center" vertical="center"/>
    </xf>
    <xf numFmtId="178" fontId="151" fillId="5" borderId="8" xfId="2" applyNumberFormat="1" applyFont="1" applyFill="1" applyBorder="1">
      <alignment vertical="center"/>
    </xf>
    <xf numFmtId="10" fontId="151" fillId="5" borderId="10" xfId="0" applyNumberFormat="1" applyFont="1" applyFill="1" applyBorder="1" applyAlignment="1">
      <alignment horizontal="center" vertical="center"/>
    </xf>
    <xf numFmtId="0" fontId="146"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7"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2" fillId="5" borderId="2" xfId="0" applyFont="1" applyFill="1" applyBorder="1" applyAlignment="1">
      <alignment horizontal="left"/>
    </xf>
    <xf numFmtId="0" fontId="152"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4"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3" fillId="0" borderId="12" xfId="0" applyFont="1" applyBorder="1" applyAlignment="1" applyProtection="1">
      <alignment vertical="center" wrapText="1"/>
      <protection locked="0"/>
    </xf>
    <xf numFmtId="0" fontId="153"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4" fillId="5" borderId="0" xfId="0" applyFont="1" applyFill="1" applyAlignment="1">
      <alignment horizontal="center" vertical="center" wrapText="1"/>
    </xf>
    <xf numFmtId="0" fontId="155"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0"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3"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6" fillId="5" borderId="2" xfId="5" applyFont="1" applyFill="1" applyBorder="1" applyAlignment="1">
      <alignment horizontal="center" vertical="center"/>
    </xf>
    <xf numFmtId="0" fontId="157"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0"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0" fillId="5" borderId="0" xfId="3" applyFill="1">
      <alignment vertical="center"/>
    </xf>
    <xf numFmtId="0" fontId="159" fillId="5" borderId="11" xfId="3" applyFont="1" applyFill="1" applyBorder="1" applyAlignment="1">
      <alignment horizontal="center" vertical="center" wrapText="1"/>
    </xf>
    <xf numFmtId="0" fontId="159" fillId="5" borderId="2" xfId="3" applyFont="1" applyFill="1" applyBorder="1" applyAlignment="1">
      <alignment horizontal="center" vertical="center" wrapText="1"/>
    </xf>
    <xf numFmtId="0" fontId="140" fillId="5" borderId="31" xfId="3" applyFill="1" applyBorder="1">
      <alignment vertical="center"/>
    </xf>
    <xf numFmtId="0" fontId="141" fillId="5" borderId="0" xfId="3" applyFont="1" applyFill="1">
      <alignment vertical="center"/>
    </xf>
    <xf numFmtId="0" fontId="140" fillId="5" borderId="27" xfId="3" applyFill="1" applyBorder="1" applyAlignment="1">
      <alignment horizontal="center" vertical="center"/>
    </xf>
    <xf numFmtId="0" fontId="140" fillId="5" borderId="41" xfId="3" applyFill="1" applyBorder="1" applyAlignment="1">
      <alignment horizontal="center" vertical="center"/>
    </xf>
    <xf numFmtId="0" fontId="141" fillId="5" borderId="31" xfId="3" applyFont="1" applyFill="1" applyBorder="1">
      <alignment vertical="center"/>
    </xf>
    <xf numFmtId="0" fontId="142" fillId="5" borderId="1" xfId="3" applyFont="1" applyFill="1" applyBorder="1" applyAlignment="1">
      <alignment horizontal="center" vertical="center"/>
    </xf>
    <xf numFmtId="0" fontId="142" fillId="5" borderId="29" xfId="3" applyFont="1" applyFill="1" applyBorder="1">
      <alignment vertical="center"/>
    </xf>
    <xf numFmtId="0" fontId="142" fillId="5" borderId="11" xfId="3" applyFont="1" applyFill="1" applyBorder="1" applyAlignment="1">
      <alignment horizontal="center" vertical="center"/>
    </xf>
    <xf numFmtId="0" fontId="142" fillId="5" borderId="5" xfId="3" applyFont="1" applyFill="1" applyBorder="1">
      <alignment vertical="center"/>
    </xf>
    <xf numFmtId="0" fontId="142" fillId="5" borderId="43" xfId="3" applyFont="1" applyFill="1" applyBorder="1" applyAlignment="1">
      <alignment horizontal="center" vertical="center"/>
    </xf>
    <xf numFmtId="0" fontId="142" fillId="5" borderId="45" xfId="3" applyFont="1" applyFill="1" applyBorder="1">
      <alignment vertical="center"/>
    </xf>
    <xf numFmtId="0" fontId="162" fillId="5" borderId="0" xfId="3" applyFont="1" applyFill="1">
      <alignment vertical="center"/>
    </xf>
    <xf numFmtId="0" fontId="163" fillId="5" borderId="0" xfId="3" applyFont="1" applyFill="1">
      <alignment vertical="center"/>
    </xf>
    <xf numFmtId="0" fontId="140" fillId="5" borderId="0" xfId="3" applyFill="1" applyAlignment="1">
      <alignment horizontal="center" vertical="center"/>
    </xf>
    <xf numFmtId="0" fontId="140" fillId="5" borderId="53" xfId="3" applyFill="1" applyBorder="1" applyAlignment="1">
      <alignment horizontal="right" vertical="center"/>
    </xf>
    <xf numFmtId="0" fontId="159" fillId="5" borderId="1" xfId="3" applyFont="1" applyFill="1" applyBorder="1" applyAlignment="1">
      <alignment horizontal="center" vertical="center" wrapText="1"/>
    </xf>
    <xf numFmtId="0" fontId="159" fillId="5" borderId="22" xfId="3" applyFont="1" applyFill="1" applyBorder="1" applyAlignment="1">
      <alignment horizontal="center" vertical="center" wrapText="1"/>
    </xf>
    <xf numFmtId="0" fontId="140" fillId="5" borderId="2" xfId="3" applyFill="1" applyBorder="1" applyAlignment="1">
      <alignment horizontal="center" vertical="center"/>
    </xf>
    <xf numFmtId="0" fontId="164" fillId="5" borderId="19" xfId="3" applyFont="1" applyFill="1" applyBorder="1">
      <alignment vertical="center"/>
    </xf>
    <xf numFmtId="0" fontId="164" fillId="5" borderId="0" xfId="3" applyFont="1" applyFill="1">
      <alignment vertical="center"/>
    </xf>
    <xf numFmtId="0" fontId="159" fillId="5" borderId="9" xfId="3" applyFont="1" applyFill="1" applyBorder="1" applyAlignment="1">
      <alignment horizontal="center" vertical="center" wrapText="1"/>
    </xf>
    <xf numFmtId="0" fontId="159" fillId="5" borderId="0" xfId="3" applyFont="1" applyFill="1" applyAlignment="1">
      <alignment horizontal="center" vertical="center" wrapText="1"/>
    </xf>
    <xf numFmtId="0" fontId="159" fillId="5" borderId="0" xfId="3" applyFont="1" applyFill="1">
      <alignment vertical="center"/>
    </xf>
    <xf numFmtId="0" fontId="159" fillId="5" borderId="0" xfId="3" applyFont="1" applyFill="1" applyAlignment="1">
      <alignment horizontal="center" vertical="center"/>
    </xf>
    <xf numFmtId="0" fontId="159" fillId="5" borderId="17" xfId="3" applyFont="1" applyFill="1" applyBorder="1" applyAlignment="1">
      <alignment vertical="center" wrapText="1"/>
    </xf>
    <xf numFmtId="0" fontId="159" fillId="5" borderId="21" xfId="3" applyFont="1" applyFill="1" applyBorder="1" applyAlignment="1">
      <alignment vertical="center" wrapText="1"/>
    </xf>
    <xf numFmtId="0" fontId="159" fillId="5" borderId="20" xfId="3" applyFont="1" applyFill="1" applyBorder="1" applyAlignment="1">
      <alignment vertical="center" wrapText="1"/>
    </xf>
    <xf numFmtId="9" fontId="159" fillId="5" borderId="2" xfId="3" applyNumberFormat="1" applyFont="1" applyFill="1" applyBorder="1" applyAlignment="1">
      <alignment horizontal="center" vertical="center"/>
    </xf>
    <xf numFmtId="0" fontId="159" fillId="5" borderId="5" xfId="3" applyFont="1" applyFill="1" applyBorder="1">
      <alignment vertical="center"/>
    </xf>
    <xf numFmtId="0" fontId="159" fillId="5" borderId="8" xfId="3" applyFont="1" applyFill="1" applyBorder="1">
      <alignment vertical="center"/>
    </xf>
    <xf numFmtId="0" fontId="159" fillId="5" borderId="9" xfId="3" applyFont="1" applyFill="1" applyBorder="1">
      <alignment vertical="center"/>
    </xf>
    <xf numFmtId="185" fontId="159" fillId="5" borderId="2" xfId="3" applyNumberFormat="1" applyFont="1" applyFill="1" applyBorder="1" applyAlignment="1">
      <alignment horizontal="center" vertical="center"/>
    </xf>
    <xf numFmtId="186" fontId="159" fillId="5" borderId="2" xfId="3" applyNumberFormat="1" applyFont="1" applyFill="1" applyBorder="1" applyAlignment="1">
      <alignment horizontal="center" vertical="center"/>
    </xf>
    <xf numFmtId="178" fontId="165" fillId="5" borderId="2" xfId="3" applyNumberFormat="1" applyFont="1" applyFill="1" applyBorder="1" applyAlignment="1">
      <alignment horizontal="center" vertical="center"/>
    </xf>
    <xf numFmtId="186" fontId="165"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59" fillId="5" borderId="21" xfId="3" applyFont="1" applyFill="1" applyBorder="1" applyAlignment="1">
      <alignment horizontal="center" vertical="center"/>
    </xf>
    <xf numFmtId="0" fontId="159" fillId="5" borderId="10" xfId="3" applyFont="1" applyFill="1" applyBorder="1" applyAlignment="1">
      <alignment horizontal="center" vertical="center" wrapText="1"/>
    </xf>
    <xf numFmtId="0" fontId="159" fillId="5" borderId="2" xfId="3" applyFont="1" applyFill="1" applyBorder="1" applyAlignment="1">
      <alignment horizontal="center" vertical="center"/>
    </xf>
    <xf numFmtId="0" fontId="164"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5" fillId="0" borderId="0" xfId="0" applyFont="1">
      <alignment vertical="center"/>
    </xf>
    <xf numFmtId="0" fontId="166" fillId="0" borderId="0" xfId="0" applyFont="1">
      <alignment vertical="center"/>
    </xf>
    <xf numFmtId="0" fontId="66" fillId="0" borderId="2" xfId="0" applyFont="1" applyBorder="1" applyAlignment="1">
      <alignment horizontal="center" vertical="center" wrapText="1"/>
    </xf>
    <xf numFmtId="0" fontId="144" fillId="0" borderId="0" xfId="0" applyFont="1">
      <alignment vertical="center"/>
    </xf>
    <xf numFmtId="0" fontId="144"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49" fillId="0" borderId="2" xfId="0" applyFont="1" applyBorder="1" applyAlignment="1">
      <alignment horizontal="center" vertical="center"/>
    </xf>
    <xf numFmtId="0" fontId="144" fillId="0" borderId="2" xfId="0" applyFont="1" applyBorder="1" applyAlignment="1">
      <alignment horizontal="left" vertical="center"/>
    </xf>
    <xf numFmtId="0" fontId="144" fillId="7" borderId="5" xfId="0" applyFont="1" applyFill="1" applyBorder="1">
      <alignment vertical="center"/>
    </xf>
    <xf numFmtId="0" fontId="144" fillId="0" borderId="8" xfId="0" applyFont="1" applyBorder="1">
      <alignment vertical="center"/>
    </xf>
    <xf numFmtId="0" fontId="144" fillId="0" borderId="9" xfId="0" applyFont="1" applyBorder="1">
      <alignment vertical="center"/>
    </xf>
    <xf numFmtId="0" fontId="48" fillId="0" borderId="2" xfId="0" applyFont="1" applyBorder="1" applyAlignment="1">
      <alignment horizontal="left" vertical="center"/>
    </xf>
    <xf numFmtId="0" fontId="167"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4" fillId="0" borderId="3" xfId="0" applyFont="1" applyBorder="1">
      <alignment vertical="center"/>
    </xf>
    <xf numFmtId="0" fontId="162" fillId="0" borderId="3" xfId="0" applyFont="1" applyBorder="1">
      <alignment vertical="center"/>
    </xf>
    <xf numFmtId="0" fontId="162" fillId="0" borderId="21" xfId="0" applyFont="1" applyBorder="1">
      <alignment vertical="center"/>
    </xf>
    <xf numFmtId="0" fontId="144" fillId="0" borderId="0" xfId="0" applyFont="1" applyAlignment="1">
      <alignment horizontal="center" vertical="center" wrapText="1"/>
    </xf>
    <xf numFmtId="0" fontId="144"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4"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6"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6"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6"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8" fillId="5" borderId="39" xfId="0" applyFont="1" applyFill="1" applyBorder="1" applyAlignment="1">
      <alignment horizontal="center" vertical="center" wrapText="1"/>
    </xf>
    <xf numFmtId="0" fontId="72" fillId="5" borderId="80" xfId="0" applyFont="1" applyFill="1" applyBorder="1">
      <alignment vertical="center"/>
    </xf>
    <xf numFmtId="0" fontId="168" fillId="5" borderId="65" xfId="0" applyFont="1" applyFill="1" applyBorder="1" applyAlignment="1">
      <alignment horizontal="center" vertical="center" wrapText="1"/>
    </xf>
    <xf numFmtId="0" fontId="144" fillId="5" borderId="66" xfId="0" applyFont="1" applyFill="1" applyBorder="1" applyAlignment="1">
      <alignment vertical="center" wrapText="1"/>
    </xf>
    <xf numFmtId="0" fontId="168" fillId="5" borderId="82" xfId="0" applyFont="1" applyFill="1" applyBorder="1" applyAlignment="1">
      <alignment horizontal="center" vertical="center" wrapText="1"/>
    </xf>
    <xf numFmtId="0" fontId="168" fillId="5" borderId="38"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1" fillId="5" borderId="53" xfId="0" applyFont="1" applyFill="1" applyBorder="1" applyAlignment="1">
      <alignment horizontal="justify" vertical="center" wrapText="1"/>
    </xf>
    <xf numFmtId="0" fontId="171" fillId="5" borderId="27" xfId="0" applyFont="1" applyFill="1" applyBorder="1" applyAlignment="1">
      <alignment horizontal="center" vertical="center" wrapText="1"/>
    </xf>
    <xf numFmtId="0" fontId="172" fillId="5" borderId="11" xfId="0" applyFont="1" applyFill="1" applyBorder="1" applyAlignment="1">
      <alignment horizontal="center" vertical="center" wrapText="1"/>
    </xf>
    <xf numFmtId="0" fontId="172" fillId="5" borderId="2" xfId="0" applyFont="1" applyFill="1" applyBorder="1" applyAlignment="1">
      <alignment horizontal="center" vertical="center" wrapText="1"/>
    </xf>
    <xf numFmtId="180" fontId="166" fillId="5" borderId="2" xfId="0" applyNumberFormat="1" applyFont="1" applyFill="1" applyBorder="1" applyAlignment="1">
      <alignment horizontal="center" vertical="center" wrapText="1"/>
    </xf>
    <xf numFmtId="0" fontId="172" fillId="5" borderId="10" xfId="0" applyFont="1" applyFill="1" applyBorder="1" applyAlignment="1">
      <alignment horizontal="center" vertical="center" wrapText="1"/>
    </xf>
    <xf numFmtId="0" fontId="172" fillId="5" borderId="25" xfId="0" applyFont="1" applyFill="1" applyBorder="1" applyAlignment="1">
      <alignment horizontal="center" vertical="center" wrapText="1"/>
    </xf>
    <xf numFmtId="0" fontId="172" fillId="5" borderId="43" xfId="0" applyFont="1" applyFill="1" applyBorder="1" applyAlignment="1">
      <alignment horizontal="center" vertical="center" wrapText="1"/>
    </xf>
    <xf numFmtId="0" fontId="172" fillId="5" borderId="44" xfId="0" applyFont="1" applyFill="1" applyBorder="1" applyAlignment="1">
      <alignment horizontal="center" vertical="center" wrapText="1"/>
    </xf>
    <xf numFmtId="180" fontId="166"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6"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2" fillId="5" borderId="5" xfId="0" applyFont="1" applyFill="1" applyBorder="1" applyAlignment="1">
      <alignment horizontal="center" vertical="center" wrapText="1"/>
    </xf>
    <xf numFmtId="0" fontId="152" fillId="5" borderId="8" xfId="0" applyFont="1" applyFill="1" applyBorder="1" applyAlignment="1">
      <alignment horizontal="center" vertical="center" wrapText="1"/>
    </xf>
    <xf numFmtId="0" fontId="147"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3" fillId="5" borderId="2" xfId="0" applyFont="1" applyFill="1" applyBorder="1" applyAlignment="1">
      <alignment horizontal="center" vertical="center" wrapText="1"/>
    </xf>
    <xf numFmtId="0" fontId="147" fillId="5" borderId="10" xfId="0"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4" fillId="5" borderId="2" xfId="0" applyFont="1" applyFill="1" applyBorder="1" applyAlignment="1">
      <alignment horizontal="center" vertical="center" wrapText="1"/>
    </xf>
    <xf numFmtId="10" fontId="174" fillId="5" borderId="2" xfId="0" applyNumberFormat="1" applyFont="1" applyFill="1" applyBorder="1" applyAlignment="1">
      <alignment horizontal="center" vertical="center"/>
    </xf>
    <xf numFmtId="0" fontId="75" fillId="5" borderId="0" xfId="0" applyFont="1" applyFill="1">
      <alignment vertical="center"/>
    </xf>
    <xf numFmtId="9" fontId="174" fillId="5" borderId="2" xfId="0" applyNumberFormat="1" applyFont="1" applyFill="1" applyBorder="1" applyAlignment="1">
      <alignment horizontal="center" vertical="center"/>
    </xf>
    <xf numFmtId="0" fontId="174" fillId="5" borderId="10" xfId="0" applyFont="1" applyFill="1" applyBorder="1" applyAlignment="1">
      <alignment horizontal="center" vertical="center" wrapText="1"/>
    </xf>
    <xf numFmtId="9" fontId="174" fillId="5" borderId="10" xfId="0" applyNumberFormat="1" applyFont="1" applyFill="1" applyBorder="1" applyAlignment="1">
      <alignment horizontal="center" vertical="center"/>
    </xf>
    <xf numFmtId="0" fontId="174" fillId="5" borderId="5" xfId="0" applyFont="1" applyFill="1" applyBorder="1" applyAlignment="1">
      <alignment vertical="center" wrapText="1"/>
    </xf>
    <xf numFmtId="0" fontId="174" fillId="5" borderId="8" xfId="0" applyFont="1" applyFill="1" applyBorder="1" applyAlignment="1">
      <alignment horizontal="center" vertical="center" wrapText="1"/>
    </xf>
    <xf numFmtId="0" fontId="174" fillId="5" borderId="9" xfId="0" applyFont="1" applyFill="1" applyBorder="1" applyAlignment="1">
      <alignment vertical="center" wrapText="1"/>
    </xf>
    <xf numFmtId="0" fontId="72" fillId="5" borderId="0" xfId="0" applyFont="1" applyFill="1" applyAlignment="1">
      <alignment horizontal="left" vertical="center" wrapText="1"/>
    </xf>
    <xf numFmtId="0" fontId="174" fillId="5" borderId="84" xfId="0" applyFont="1" applyFill="1" applyBorder="1" applyAlignment="1">
      <alignment vertical="center" wrapText="1"/>
    </xf>
    <xf numFmtId="0" fontId="174" fillId="5" borderId="85" xfId="0" applyFont="1" applyFill="1" applyBorder="1" applyAlignment="1">
      <alignment horizontal="center" vertical="center" wrapText="1"/>
    </xf>
    <xf numFmtId="0" fontId="174"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4" fillId="5" borderId="0" xfId="4" applyFont="1" applyFill="1" applyAlignment="1">
      <alignment vertical="center" wrapText="1"/>
    </xf>
    <xf numFmtId="0" fontId="144" fillId="5" borderId="0" xfId="4" applyFont="1" applyFill="1"/>
    <xf numFmtId="0" fontId="144" fillId="5" borderId="0" xfId="0" applyFont="1" applyFill="1" applyAlignment="1">
      <alignment horizontal="left" vertical="center"/>
    </xf>
    <xf numFmtId="0" fontId="144" fillId="5" borderId="0" xfId="4" applyFont="1" applyFill="1" applyAlignment="1">
      <alignment horizontal="left"/>
    </xf>
    <xf numFmtId="0" fontId="67" fillId="6" borderId="2" xfId="0" applyFont="1" applyFill="1" applyBorder="1" applyProtection="1">
      <alignment vertical="center"/>
      <protection locked="0"/>
    </xf>
    <xf numFmtId="0" fontId="152" fillId="5" borderId="14" xfId="0" applyFont="1" applyFill="1" applyBorder="1" applyAlignment="1">
      <alignment horizontal="left" vertical="center" wrapText="1"/>
    </xf>
    <xf numFmtId="0" fontId="152" fillId="5" borderId="14" xfId="0" applyFont="1" applyFill="1" applyBorder="1" applyAlignment="1">
      <alignment horizontal="center" vertical="center" wrapText="1"/>
    </xf>
    <xf numFmtId="0" fontId="152" fillId="5" borderId="32" xfId="0" applyFont="1" applyFill="1" applyBorder="1" applyAlignment="1">
      <alignment horizontal="center" vertical="center" wrapText="1"/>
    </xf>
    <xf numFmtId="191" fontId="173"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5"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6" fillId="5" borderId="66" xfId="0" applyFont="1" applyFill="1" applyBorder="1" applyAlignment="1">
      <alignment horizontal="center" vertical="center" wrapText="1"/>
    </xf>
    <xf numFmtId="0" fontId="154" fillId="0" borderId="2" xfId="1" applyFont="1" applyBorder="1" applyAlignment="1" applyProtection="1">
      <alignment horizontal="center" vertical="center" wrapText="1"/>
      <protection locked="0"/>
    </xf>
    <xf numFmtId="0" fontId="143"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8" fillId="0" borderId="2" xfId="1" applyFont="1" applyBorder="1" applyAlignment="1" applyProtection="1">
      <alignment horizontal="center" vertical="center" wrapText="1"/>
      <protection locked="0"/>
    </xf>
    <xf numFmtId="0" fontId="177"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0" fillId="5" borderId="10" xfId="3" applyFont="1" applyFill="1" applyBorder="1" applyAlignment="1">
      <alignment horizontal="left" vertical="center" wrapText="1"/>
    </xf>
    <xf numFmtId="0" fontId="160" fillId="5" borderId="9" xfId="3" applyFont="1" applyFill="1" applyBorder="1" applyAlignment="1">
      <alignment horizontal="center" vertical="center" wrapText="1"/>
    </xf>
    <xf numFmtId="0" fontId="160"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0" fillId="5" borderId="8" xfId="3" applyFont="1" applyFill="1" applyBorder="1">
      <alignment vertical="center"/>
    </xf>
    <xf numFmtId="0" fontId="160"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0"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0"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2" fillId="5" borderId="0" xfId="0" applyFont="1" applyFill="1" applyAlignment="1">
      <alignment horizontal="center" vertical="center" wrapText="1"/>
    </xf>
    <xf numFmtId="0" fontId="162"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4" fillId="5" borderId="0" xfId="0" applyFont="1" applyFill="1" applyAlignment="1" applyProtection="1">
      <alignment horizontal="center" vertical="center"/>
      <protection locked="0"/>
    </xf>
    <xf numFmtId="0" fontId="154" fillId="5" borderId="2" xfId="0" applyFont="1" applyFill="1" applyBorder="1" applyAlignment="1">
      <alignment horizontal="center" vertical="center"/>
    </xf>
    <xf numFmtId="0" fontId="147" fillId="5" borderId="2" xfId="0" applyFont="1" applyFill="1" applyBorder="1" applyAlignment="1">
      <alignment horizontal="center" vertical="center"/>
    </xf>
    <xf numFmtId="0" fontId="147"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2"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59"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7"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0" fillId="0" borderId="0" xfId="7" applyFont="1">
      <alignment vertical="center"/>
    </xf>
    <xf numFmtId="0" fontId="140" fillId="0" borderId="0" xfId="7">
      <alignment vertical="center"/>
    </xf>
    <xf numFmtId="0" fontId="180"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1"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2"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1"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1" fillId="0" borderId="12" xfId="0" applyNumberFormat="1" applyFont="1" applyBorder="1" applyAlignment="1" applyProtection="1">
      <alignment horizontal="left" vertical="center" shrinkToFit="1"/>
      <protection locked="0"/>
    </xf>
    <xf numFmtId="184" fontId="181" fillId="0" borderId="57" xfId="0" applyNumberFormat="1" applyFont="1" applyBorder="1" applyAlignment="1" applyProtection="1">
      <alignment horizontal="left" vertical="center" shrinkToFit="1"/>
      <protection locked="0"/>
    </xf>
    <xf numFmtId="0" fontId="181" fillId="0" borderId="12" xfId="0" applyFont="1" applyBorder="1" applyAlignment="1" applyProtection="1">
      <alignment horizontal="left" vertical="center" wrapText="1"/>
      <protection locked="0"/>
    </xf>
    <xf numFmtId="0" fontId="181" fillId="0" borderId="16" xfId="0" applyFont="1" applyBorder="1" applyAlignment="1" applyProtection="1">
      <alignment horizontal="left" vertical="center" wrapText="1"/>
      <protection locked="0"/>
    </xf>
    <xf numFmtId="0" fontId="181" fillId="0" borderId="72" xfId="0" applyFont="1" applyBorder="1" applyAlignment="1" applyProtection="1">
      <alignment horizontal="left" vertical="center" wrapText="1"/>
      <protection locked="0"/>
    </xf>
    <xf numFmtId="0" fontId="181"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0" fillId="5" borderId="0" xfId="0" applyFont="1" applyFill="1" applyAlignment="1">
      <alignment horizontal="left" vertical="center"/>
    </xf>
    <xf numFmtId="0" fontId="160" fillId="5" borderId="0" xfId="0" applyFont="1" applyFill="1">
      <alignment vertical="center"/>
    </xf>
    <xf numFmtId="0" fontId="160" fillId="5" borderId="0" xfId="0" applyFont="1" applyFill="1" applyAlignment="1">
      <alignment horizontal="center" vertical="center"/>
    </xf>
    <xf numFmtId="0" fontId="162"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3" fillId="5" borderId="0" xfId="0" applyFont="1" applyFill="1">
      <alignment vertical="center"/>
    </xf>
    <xf numFmtId="0" fontId="11" fillId="5" borderId="0" xfId="0" applyFont="1" applyFill="1">
      <alignment vertical="center"/>
    </xf>
    <xf numFmtId="0" fontId="184" fillId="0" borderId="0" xfId="0" applyFont="1" applyAlignment="1">
      <alignment horizontal="center" vertical="center"/>
    </xf>
    <xf numFmtId="0" fontId="155" fillId="0" borderId="0" xfId="0" applyFont="1">
      <alignment vertical="center"/>
    </xf>
    <xf numFmtId="184" fontId="185" fillId="0" borderId="0" xfId="0" applyNumberFormat="1" applyFont="1" applyAlignment="1">
      <alignment horizontal="left" vertical="center"/>
    </xf>
    <xf numFmtId="0" fontId="155" fillId="0" borderId="0" xfId="0" applyFont="1" applyAlignment="1">
      <alignment vertical="center" wrapText="1"/>
    </xf>
    <xf numFmtId="0" fontId="155"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5"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6" fillId="0" borderId="0" xfId="0" applyFont="1" applyAlignment="1">
      <alignment horizontal="left" vertical="center"/>
    </xf>
    <xf numFmtId="0" fontId="187" fillId="0" borderId="0" xfId="0" applyFont="1" applyAlignment="1" applyProtection="1">
      <alignment horizontal="left" vertical="center" wrapText="1"/>
      <protection locked="0"/>
    </xf>
    <xf numFmtId="0" fontId="188" fillId="0" borderId="0" xfId="0" applyFont="1" applyAlignment="1">
      <alignment horizontal="left" vertical="center"/>
    </xf>
    <xf numFmtId="0" fontId="155" fillId="0" borderId="0" xfId="0" applyFont="1" applyAlignment="1">
      <alignment horizontal="left" vertical="center"/>
    </xf>
    <xf numFmtId="0" fontId="185" fillId="0" borderId="0" xfId="0" applyFont="1" applyAlignment="1" applyProtection="1">
      <alignment horizontal="left" vertical="center"/>
      <protection locked="0"/>
    </xf>
    <xf numFmtId="0" fontId="189" fillId="0" borderId="0" xfId="0" applyFont="1" applyAlignment="1">
      <alignment horizontal="right" vertical="center" wrapText="1"/>
    </xf>
    <xf numFmtId="0" fontId="189"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0" fillId="0" borderId="0" xfId="0" applyFont="1">
      <alignment vertical="center"/>
    </xf>
    <xf numFmtId="0" fontId="191" fillId="0" borderId="0" xfId="0" applyFont="1">
      <alignment vertical="center"/>
    </xf>
    <xf numFmtId="0" fontId="190" fillId="0" borderId="0" xfId="0" applyFont="1" applyAlignment="1">
      <alignment horizontal="right" vertical="center"/>
    </xf>
    <xf numFmtId="0" fontId="190" fillId="0" borderId="2" xfId="0" applyFont="1" applyBorder="1" applyAlignment="1">
      <alignment horizontal="center" vertical="center" wrapText="1"/>
    </xf>
    <xf numFmtId="0" fontId="192"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0" fillId="0" borderId="0" xfId="0" applyFont="1" applyAlignment="1">
      <alignment horizontal="left" vertical="center"/>
    </xf>
    <xf numFmtId="0" fontId="191"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7" fillId="5" borderId="2" xfId="3" applyFont="1" applyFill="1" applyBorder="1" applyAlignment="1">
      <alignment horizontal="center" vertical="center"/>
    </xf>
    <xf numFmtId="0" fontId="160" fillId="5" borderId="2" xfId="0" applyFont="1" applyFill="1" applyBorder="1" applyAlignment="1">
      <alignment horizontal="center" vertical="center" wrapText="1"/>
    </xf>
    <xf numFmtId="0" fontId="160" fillId="5" borderId="10" xfId="0" applyFont="1" applyFill="1" applyBorder="1" applyAlignment="1">
      <alignment horizontal="center" vertical="center" wrapText="1"/>
    </xf>
    <xf numFmtId="0" fontId="144" fillId="5" borderId="1" xfId="0" applyFont="1" applyFill="1" applyBorder="1" applyAlignment="1">
      <alignment horizontal="center" vertical="center"/>
    </xf>
    <xf numFmtId="0" fontId="144" fillId="5" borderId="29" xfId="0" applyFont="1" applyFill="1" applyBorder="1">
      <alignment vertical="center"/>
    </xf>
    <xf numFmtId="10" fontId="82" fillId="5" borderId="7" xfId="3" applyNumberFormat="1" applyFont="1" applyFill="1" applyBorder="1" applyAlignment="1">
      <alignment vertical="center" wrapText="1"/>
    </xf>
    <xf numFmtId="0" fontId="144" fillId="5" borderId="11" xfId="0" applyFont="1" applyFill="1" applyBorder="1" applyAlignment="1">
      <alignment horizontal="center" vertical="center"/>
    </xf>
    <xf numFmtId="0" fontId="144" fillId="5" borderId="5" xfId="0" applyFont="1" applyFill="1" applyBorder="1">
      <alignment vertical="center"/>
    </xf>
    <xf numFmtId="10" fontId="82" fillId="5" borderId="12" xfId="3" applyNumberFormat="1" applyFont="1" applyFill="1" applyBorder="1" applyAlignment="1">
      <alignment vertical="center" wrapText="1"/>
    </xf>
    <xf numFmtId="0" fontId="144" fillId="5" borderId="43" xfId="0" applyFont="1" applyFill="1" applyBorder="1" applyAlignment="1">
      <alignment horizontal="center" vertical="center"/>
    </xf>
    <xf numFmtId="0" fontId="144"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4"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8"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5"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5"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5" fillId="5" borderId="2" xfId="0" applyFont="1" applyFill="1" applyBorder="1" applyAlignment="1">
      <alignment horizontal="center" vertical="center"/>
    </xf>
    <xf numFmtId="0" fontId="155" fillId="5" borderId="5" xfId="0" applyFont="1" applyFill="1" applyBorder="1" applyAlignment="1">
      <alignment horizontal="center" vertical="center"/>
    </xf>
    <xf numFmtId="0" fontId="155" fillId="5" borderId="94" xfId="0" applyFont="1" applyFill="1" applyBorder="1" applyAlignment="1">
      <alignment horizontal="center" vertical="center"/>
    </xf>
    <xf numFmtId="0" fontId="155"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5" fillId="0" borderId="21" xfId="0" applyFont="1" applyBorder="1" applyAlignment="1" applyProtection="1">
      <alignment horizontal="center" vertical="center"/>
      <protection locked="0"/>
    </xf>
    <xf numFmtId="0" fontId="155"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5" fillId="5" borderId="9" xfId="0" applyFont="1" applyFill="1" applyBorder="1" applyAlignment="1">
      <alignment horizontal="center" vertical="center"/>
    </xf>
    <xf numFmtId="0" fontId="155" fillId="0" borderId="2" xfId="0" applyFont="1" applyBorder="1" applyAlignment="1" applyProtection="1">
      <alignment horizontal="center" vertical="center"/>
      <protection locked="0"/>
    </xf>
    <xf numFmtId="0" fontId="155"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5"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4" fillId="0" borderId="11" xfId="0" applyFont="1" applyBorder="1" applyProtection="1">
      <alignment vertical="center"/>
      <protection locked="0"/>
    </xf>
    <xf numFmtId="0" fontId="190"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5"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5"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4" fillId="5" borderId="9" xfId="0" applyFont="1" applyFill="1" applyBorder="1" applyAlignment="1">
      <alignment horizontal="center" vertical="center"/>
    </xf>
    <xf numFmtId="0" fontId="147" fillId="5" borderId="9" xfId="0" applyFont="1" applyFill="1" applyBorder="1" applyAlignment="1">
      <alignment horizontal="center" vertical="center"/>
    </xf>
    <xf numFmtId="0" fontId="147" fillId="5" borderId="12" xfId="0" applyFont="1" applyFill="1" applyBorder="1" applyAlignment="1">
      <alignment horizontal="center" vertical="center"/>
    </xf>
    <xf numFmtId="49" fontId="147" fillId="5" borderId="12" xfId="0" applyNumberFormat="1" applyFont="1" applyFill="1" applyBorder="1" applyAlignment="1">
      <alignment horizontal="center" vertical="center"/>
    </xf>
    <xf numFmtId="0" fontId="147" fillId="5" borderId="11" xfId="0" applyFont="1" applyFill="1" applyBorder="1" applyAlignment="1">
      <alignment horizontal="center" vertical="center"/>
    </xf>
    <xf numFmtId="0" fontId="147" fillId="5" borderId="43" xfId="0" applyFont="1" applyFill="1" applyBorder="1" applyAlignment="1">
      <alignment horizontal="center" vertical="center"/>
    </xf>
    <xf numFmtId="49" fontId="147" fillId="5" borderId="46" xfId="0" applyNumberFormat="1" applyFont="1" applyFill="1" applyBorder="1" applyAlignment="1">
      <alignment horizontal="center" vertical="center"/>
    </xf>
    <xf numFmtId="0" fontId="196"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7"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8" fillId="5" borderId="0" xfId="0" applyFont="1" applyFill="1" applyAlignment="1" applyProtection="1">
      <alignment horizontal="center" vertical="center"/>
      <protection locked="0"/>
    </xf>
    <xf numFmtId="0" fontId="153" fillId="5" borderId="0" xfId="0" applyFont="1" applyFill="1" applyAlignment="1" applyProtection="1">
      <alignment horizontal="center" vertical="center"/>
      <protection locked="0"/>
    </xf>
    <xf numFmtId="0" fontId="153"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4"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4" fillId="0" borderId="0" xfId="0" applyFont="1" applyProtection="1">
      <alignment vertical="center"/>
      <protection locked="0"/>
    </xf>
    <xf numFmtId="0" fontId="144" fillId="5" borderId="0" xfId="4" applyFont="1" applyFill="1" applyAlignment="1" applyProtection="1">
      <alignment vertical="center" wrapText="1"/>
      <protection locked="0"/>
    </xf>
    <xf numFmtId="0" fontId="144"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1" fillId="6" borderId="27" xfId="0" applyFont="1" applyFill="1" applyBorder="1" applyAlignment="1">
      <alignment horizontal="center" vertical="center" wrapText="1"/>
    </xf>
    <xf numFmtId="0" fontId="171" fillId="6" borderId="6" xfId="0" applyFont="1" applyFill="1" applyBorder="1" applyAlignment="1">
      <alignment horizontal="justify" vertical="center" wrapText="1"/>
    </xf>
    <xf numFmtId="0" fontId="171"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4" fillId="5" borderId="0" xfId="0" applyFont="1" applyFill="1" applyAlignment="1" applyProtection="1">
      <protection locked="0"/>
    </xf>
    <xf numFmtId="0" fontId="144"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6"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7"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4"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39"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2"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4" fillId="5" borderId="9" xfId="0" applyFont="1" applyFill="1" applyBorder="1" applyAlignment="1">
      <alignment horizontal="right" vertical="center"/>
    </xf>
    <xf numFmtId="0" fontId="205" fillId="5" borderId="5" xfId="0" applyFont="1" applyFill="1" applyBorder="1" applyAlignment="1">
      <alignment horizontal="left" vertical="center"/>
    </xf>
    <xf numFmtId="0" fontId="206"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7"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4" fillId="0" borderId="2" xfId="0" applyFont="1" applyBorder="1" applyAlignment="1" applyProtection="1">
      <alignment horizontal="center" vertical="center" wrapText="1"/>
      <protection locked="0"/>
    </xf>
    <xf numFmtId="0" fontId="144" fillId="0" borderId="2" xfId="0" applyFont="1" applyBorder="1" applyAlignment="1" applyProtection="1">
      <alignment horizontal="left" vertical="center" wrapText="1"/>
      <protection locked="0"/>
    </xf>
    <xf numFmtId="0" fontId="144" fillId="0" borderId="12" xfId="0" applyFont="1" applyBorder="1" applyAlignment="1" applyProtection="1">
      <alignment horizontal="center" vertical="center" wrapText="1"/>
      <protection locked="0"/>
    </xf>
    <xf numFmtId="0" fontId="207"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8"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3"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0" fillId="5" borderId="0" xfId="0" applyFont="1" applyFill="1">
      <alignment vertical="center"/>
    </xf>
    <xf numFmtId="0" fontId="143" fillId="5" borderId="82" xfId="0" applyFont="1" applyFill="1" applyBorder="1" applyAlignment="1">
      <alignment vertical="center" wrapText="1"/>
    </xf>
    <xf numFmtId="0" fontId="143" fillId="5" borderId="38" xfId="0" applyFont="1" applyFill="1" applyBorder="1">
      <alignment vertical="center"/>
    </xf>
    <xf numFmtId="0" fontId="143" fillId="5" borderId="38" xfId="0" applyFont="1" applyFill="1" applyBorder="1" applyAlignment="1">
      <alignment horizontal="center" vertical="center" wrapText="1"/>
    </xf>
    <xf numFmtId="0" fontId="171" fillId="5" borderId="80" xfId="0" applyFont="1" applyFill="1" applyBorder="1" applyAlignment="1">
      <alignment vertical="center" wrapText="1"/>
    </xf>
    <xf numFmtId="0" fontId="143" fillId="5" borderId="66" xfId="0" applyFont="1" applyFill="1" applyBorder="1">
      <alignment vertical="center"/>
    </xf>
    <xf numFmtId="0" fontId="171" fillId="5" borderId="66" xfId="0" applyFont="1" applyFill="1" applyBorder="1" applyAlignment="1">
      <alignment horizontal="center" vertical="center" wrapText="1"/>
    </xf>
    <xf numFmtId="0" fontId="171" fillId="5" borderId="80" xfId="0" applyFont="1" applyFill="1" applyBorder="1" applyAlignment="1">
      <alignment horizontal="right" vertical="center" wrapText="1"/>
    </xf>
    <xf numFmtId="10" fontId="171" fillId="5" borderId="66" xfId="0" applyNumberFormat="1" applyFont="1" applyFill="1" applyBorder="1" applyAlignment="1">
      <alignment horizontal="center" vertical="center" wrapText="1"/>
    </xf>
    <xf numFmtId="0" fontId="171" fillId="5" borderId="66" xfId="0" applyFont="1" applyFill="1" applyBorder="1">
      <alignment vertical="center"/>
    </xf>
    <xf numFmtId="0" fontId="167" fillId="5" borderId="0" xfId="0" applyFont="1" applyFill="1">
      <alignment vertical="center"/>
    </xf>
    <xf numFmtId="192" fontId="171" fillId="5" borderId="66" xfId="0" applyNumberFormat="1" applyFont="1" applyFill="1" applyBorder="1" applyAlignment="1">
      <alignment horizontal="center" vertical="center" wrapText="1"/>
    </xf>
    <xf numFmtId="0" fontId="166" fillId="5" borderId="66" xfId="0" applyFont="1" applyFill="1" applyBorder="1">
      <alignment vertical="center"/>
    </xf>
    <xf numFmtId="0" fontId="215"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59" fillId="5" borderId="0" xfId="3" applyFont="1" applyFill="1" applyAlignment="1">
      <alignment horizontal="left" vertical="center"/>
    </xf>
    <xf numFmtId="180" fontId="153"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3" fillId="0" borderId="5" xfId="0" applyFont="1" applyBorder="1" applyAlignment="1" applyProtection="1">
      <alignment horizontal="center" vertical="center" wrapText="1"/>
      <protection locked="0"/>
    </xf>
    <xf numFmtId="0" fontId="173" fillId="0" borderId="8" xfId="0" applyFont="1" applyBorder="1" applyAlignment="1" applyProtection="1">
      <alignment horizontal="center" vertical="center" wrapText="1"/>
      <protection locked="0"/>
    </xf>
    <xf numFmtId="0" fontId="173" fillId="0" borderId="9" xfId="0" applyFont="1" applyBorder="1" applyAlignment="1" applyProtection="1">
      <alignment horizontal="center" vertical="center" wrapText="1"/>
      <protection locked="0"/>
    </xf>
    <xf numFmtId="0" fontId="166"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7" fillId="5" borderId="5" xfId="2" applyFont="1" applyFill="1" applyBorder="1">
      <alignment vertical="center"/>
    </xf>
    <xf numFmtId="49" fontId="216"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19"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1"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5"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5"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0"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7"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7"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39" fillId="5" borderId="6" xfId="3" applyFont="1" applyFill="1" applyBorder="1" applyAlignment="1" applyProtection="1">
      <alignment vertical="center" wrapText="1"/>
      <protection locked="0"/>
    </xf>
    <xf numFmtId="0" fontId="139" fillId="5" borderId="39" xfId="3" applyFont="1" applyFill="1" applyBorder="1" applyProtection="1">
      <alignment vertical="center"/>
      <protection locked="0"/>
    </xf>
    <xf numFmtId="0" fontId="139"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0" fillId="0" borderId="2" xfId="0" applyNumberFormat="1" applyFont="1" applyBorder="1" applyAlignment="1" applyProtection="1">
      <alignment horizontal="center" vertical="center" wrapText="1"/>
      <protection locked="0"/>
    </xf>
    <xf numFmtId="0" fontId="189" fillId="0" borderId="0" xfId="0" applyFont="1" applyAlignment="1">
      <alignment horizontal="center" vertical="center" wrapText="1"/>
    </xf>
    <xf numFmtId="0" fontId="189" fillId="0" borderId="0" xfId="0" applyFont="1" applyAlignment="1">
      <alignment horizontal="right" vertical="center"/>
    </xf>
    <xf numFmtId="0" fontId="189" fillId="0" borderId="19" xfId="0" applyFont="1" applyBorder="1" applyAlignment="1">
      <alignment vertical="center" wrapText="1"/>
    </xf>
    <xf numFmtId="0" fontId="181"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1" fillId="0" borderId="0" xfId="0" applyFont="1" applyAlignment="1" applyProtection="1">
      <alignment horizontal="left" vertical="center" wrapText="1"/>
      <protection locked="0"/>
    </xf>
    <xf numFmtId="0" fontId="241" fillId="0" borderId="0" xfId="0" applyFont="1" applyAlignment="1">
      <alignment horizontal="left" vertical="top" wrapText="1"/>
    </xf>
    <xf numFmtId="0" fontId="185" fillId="0" borderId="0" xfId="0" applyFont="1">
      <alignment vertical="center"/>
    </xf>
    <xf numFmtId="0" fontId="175" fillId="0" borderId="0" xfId="0" applyFont="1">
      <alignment vertical="center"/>
    </xf>
    <xf numFmtId="0" fontId="175" fillId="0" borderId="2" xfId="0" applyFont="1" applyBorder="1" applyAlignment="1">
      <alignment vertical="center" wrapText="1"/>
    </xf>
    <xf numFmtId="0" fontId="175" fillId="0" borderId="2" xfId="0" applyFont="1" applyBorder="1" applyAlignment="1">
      <alignment horizontal="left" vertical="center"/>
    </xf>
    <xf numFmtId="0" fontId="175" fillId="0" borderId="0" xfId="0" applyFont="1" applyProtection="1">
      <alignment vertical="center"/>
      <protection locked="0"/>
    </xf>
    <xf numFmtId="0" fontId="175" fillId="0" borderId="2" xfId="0" applyFont="1" applyBorder="1">
      <alignment vertical="center"/>
    </xf>
    <xf numFmtId="49" fontId="175" fillId="0" borderId="2" xfId="0" applyNumberFormat="1" applyFont="1" applyBorder="1" applyAlignment="1">
      <alignment horizontal="left" vertical="center"/>
    </xf>
    <xf numFmtId="0" fontId="175" fillId="0" borderId="0" xfId="0" applyFont="1" applyAlignment="1">
      <alignment vertical="center" wrapText="1"/>
    </xf>
    <xf numFmtId="0" fontId="175" fillId="0" borderId="0" xfId="0" applyFont="1" applyAlignment="1">
      <alignment horizontal="left" vertical="center"/>
    </xf>
    <xf numFmtId="0" fontId="175" fillId="0" borderId="21" xfId="0" applyFont="1" applyBorder="1" applyAlignment="1">
      <alignment vertical="center" wrapText="1"/>
    </xf>
    <xf numFmtId="0" fontId="175" fillId="0" borderId="21" xfId="0" applyFont="1" applyBorder="1" applyAlignment="1">
      <alignment horizontal="left" vertical="center"/>
    </xf>
    <xf numFmtId="0" fontId="175" fillId="0" borderId="71" xfId="0" applyFont="1" applyBorder="1" applyAlignment="1">
      <alignment horizontal="left" vertical="center" wrapText="1"/>
    </xf>
    <xf numFmtId="0" fontId="149" fillId="0" borderId="71" xfId="0" applyFont="1" applyBorder="1" applyAlignment="1" applyProtection="1">
      <alignment horizontal="left" vertical="center"/>
      <protection locked="0"/>
    </xf>
    <xf numFmtId="0" fontId="175" fillId="0" borderId="91" xfId="0" applyFont="1" applyBorder="1">
      <alignment vertical="center"/>
    </xf>
    <xf numFmtId="0" fontId="175" fillId="0" borderId="74" xfId="0" applyFont="1" applyBorder="1" applyAlignment="1">
      <alignment vertical="center" wrapText="1"/>
    </xf>
    <xf numFmtId="0" fontId="175" fillId="0" borderId="74" xfId="0" applyFont="1" applyBorder="1" applyAlignment="1">
      <alignment horizontal="left" vertical="center"/>
    </xf>
    <xf numFmtId="0" fontId="175" fillId="0" borderId="78" xfId="0" applyFont="1" applyBorder="1" applyProtection="1">
      <alignment vertical="center"/>
      <protection locked="0"/>
    </xf>
    <xf numFmtId="49" fontId="175" fillId="0" borderId="78" xfId="0" applyNumberFormat="1" applyFont="1" applyBorder="1" applyProtection="1">
      <alignment vertical="center"/>
      <protection locked="0"/>
    </xf>
    <xf numFmtId="184" fontId="175" fillId="0" borderId="78" xfId="0" applyNumberFormat="1" applyFont="1" applyBorder="1" applyProtection="1">
      <alignment vertical="center"/>
      <protection locked="0"/>
    </xf>
    <xf numFmtId="0" fontId="175" fillId="0" borderId="71" xfId="0" applyFont="1" applyBorder="1" applyAlignment="1">
      <alignment vertical="center" wrapText="1"/>
    </xf>
    <xf numFmtId="0" fontId="175" fillId="0" borderId="71" xfId="0" applyFont="1" applyBorder="1" applyAlignment="1">
      <alignment horizontal="left" vertical="center"/>
    </xf>
    <xf numFmtId="0" fontId="175" fillId="0" borderId="78" xfId="0" applyFont="1" applyBorder="1">
      <alignment vertical="center"/>
    </xf>
    <xf numFmtId="0" fontId="175" fillId="0" borderId="74" xfId="0" applyFont="1" applyBorder="1">
      <alignment vertical="center"/>
    </xf>
    <xf numFmtId="191" fontId="175" fillId="0" borderId="71" xfId="0" applyNumberFormat="1" applyFont="1" applyBorder="1" applyAlignment="1">
      <alignment horizontal="left" vertical="center"/>
    </xf>
    <xf numFmtId="0" fontId="242"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2"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7" fillId="5" borderId="2" xfId="3" applyNumberFormat="1" applyFont="1" applyFill="1" applyBorder="1" applyAlignment="1">
      <alignment horizontal="center" vertical="center"/>
    </xf>
    <xf numFmtId="178" fontId="153" fillId="5" borderId="2" xfId="3" applyNumberFormat="1" applyFont="1" applyFill="1" applyBorder="1" applyAlignment="1">
      <alignment horizontal="center" vertical="center"/>
    </xf>
    <xf numFmtId="186" fontId="153"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1" fillId="5" borderId="0" xfId="0" applyFont="1" applyFill="1" applyAlignment="1"/>
    <xf numFmtId="0" fontId="123" fillId="5" borderId="0" xfId="4" applyFont="1" applyFill="1"/>
    <xf numFmtId="0" fontId="123" fillId="5" borderId="1" xfId="4" applyFont="1" applyFill="1" applyBorder="1"/>
    <xf numFmtId="0" fontId="195"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5"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5"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5"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5"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5"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3" fillId="5" borderId="0" xfId="4" applyFont="1" applyFill="1" applyAlignment="1">
      <alignment horizontal="center"/>
    </xf>
    <xf numFmtId="0" fontId="244" fillId="5" borderId="0" xfId="4" applyFont="1" applyFill="1" applyAlignment="1">
      <alignment horizontal="left"/>
    </xf>
    <xf numFmtId="14" fontId="243" fillId="5" borderId="0" xfId="4" applyNumberFormat="1" applyFont="1" applyFill="1" applyAlignment="1">
      <alignment horizontal="center"/>
    </xf>
    <xf numFmtId="0" fontId="243" fillId="5" borderId="0" xfId="4" applyFont="1" applyFill="1"/>
    <xf numFmtId="0" fontId="243" fillId="0" borderId="0" xfId="4" applyFont="1"/>
    <xf numFmtId="0" fontId="243" fillId="0" borderId="0" xfId="0" applyFont="1" applyAlignment="1"/>
    <xf numFmtId="0" fontId="245" fillId="5" borderId="0" xfId="4" applyFont="1" applyFill="1"/>
    <xf numFmtId="0" fontId="246" fillId="5" borderId="0" xfId="4" applyFont="1" applyFill="1"/>
    <xf numFmtId="0" fontId="245" fillId="0" borderId="0" xfId="4" applyFont="1"/>
    <xf numFmtId="0" fontId="195" fillId="5" borderId="0" xfId="4" applyFont="1" applyFill="1"/>
    <xf numFmtId="0" fontId="225" fillId="5" borderId="10" xfId="4" applyFont="1" applyFill="1" applyBorder="1" applyAlignment="1">
      <alignment horizontal="center" vertical="center"/>
    </xf>
    <xf numFmtId="0" fontId="225" fillId="5" borderId="10" xfId="4" applyFont="1" applyFill="1" applyBorder="1" applyAlignment="1">
      <alignment vertical="center"/>
    </xf>
    <xf numFmtId="0" fontId="225" fillId="5" borderId="5" xfId="4" applyFont="1" applyFill="1" applyBorder="1" applyAlignment="1">
      <alignment vertical="center"/>
    </xf>
    <xf numFmtId="0" fontId="225" fillId="5" borderId="9" xfId="4" applyFont="1" applyFill="1" applyBorder="1" applyAlignment="1">
      <alignment vertical="center"/>
    </xf>
    <xf numFmtId="0" fontId="225" fillId="5" borderId="8" xfId="4" applyFont="1" applyFill="1" applyBorder="1" applyAlignment="1">
      <alignment vertical="center"/>
    </xf>
    <xf numFmtId="0" fontId="195" fillId="0" borderId="0" xfId="4" applyFont="1"/>
    <xf numFmtId="0" fontId="225" fillId="5" borderId="21" xfId="4" applyFont="1" applyFill="1" applyBorder="1" applyAlignment="1">
      <alignment horizontal="center" vertical="center" wrapText="1"/>
    </xf>
    <xf numFmtId="0" fontId="225" fillId="5" borderId="21" xfId="4" applyFont="1" applyFill="1" applyBorder="1" applyAlignment="1">
      <alignment vertical="center" wrapText="1"/>
    </xf>
    <xf numFmtId="0" fontId="123" fillId="5" borderId="2" xfId="4" applyFont="1" applyFill="1" applyBorder="1"/>
    <xf numFmtId="0" fontId="225" fillId="5" borderId="2" xfId="4" applyFont="1" applyFill="1" applyBorder="1" applyAlignment="1">
      <alignment horizontal="center" vertical="center" wrapText="1"/>
    </xf>
    <xf numFmtId="0" fontId="210" fillId="5" borderId="0" xfId="4" applyFont="1" applyFill="1" applyAlignment="1">
      <alignment vertical="center"/>
    </xf>
    <xf numFmtId="0" fontId="210" fillId="5" borderId="2" xfId="4" applyFont="1" applyFill="1" applyBorder="1" applyAlignment="1">
      <alignment horizontal="left" vertical="center" wrapText="1"/>
    </xf>
    <xf numFmtId="193" fontId="210" fillId="5" borderId="2" xfId="4" applyNumberFormat="1" applyFont="1" applyFill="1" applyBorder="1" applyAlignment="1">
      <alignment horizontal="center" vertical="center" wrapText="1"/>
    </xf>
    <xf numFmtId="0" fontId="210" fillId="5" borderId="2" xfId="4" applyFont="1" applyFill="1" applyBorder="1" applyAlignment="1">
      <alignment horizontal="center" vertical="center" wrapText="1"/>
    </xf>
    <xf numFmtId="14" fontId="210" fillId="5" borderId="2" xfId="4" applyNumberFormat="1" applyFont="1" applyFill="1" applyBorder="1" applyAlignment="1">
      <alignment horizontal="center" vertical="center" wrapText="1"/>
    </xf>
    <xf numFmtId="0" fontId="210" fillId="6" borderId="0" xfId="4" applyFont="1" applyFill="1" applyAlignment="1">
      <alignment vertical="center"/>
    </xf>
    <xf numFmtId="0" fontId="248"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5"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6" fillId="5" borderId="2" xfId="4" applyFont="1" applyFill="1" applyBorder="1" applyAlignment="1">
      <alignment horizontal="center"/>
    </xf>
    <xf numFmtId="0" fontId="216" fillId="5" borderId="21" xfId="4" applyFont="1" applyFill="1" applyBorder="1" applyAlignment="1">
      <alignment horizontal="center"/>
    </xf>
    <xf numFmtId="0" fontId="198" fillId="5" borderId="2" xfId="0" applyFont="1" applyFill="1" applyBorder="1" applyAlignment="1">
      <alignment horizontal="center"/>
    </xf>
    <xf numFmtId="10" fontId="219" fillId="5" borderId="2" xfId="4" applyNumberFormat="1" applyFont="1" applyFill="1" applyBorder="1" applyAlignment="1">
      <alignment horizontal="center"/>
    </xf>
    <xf numFmtId="14" fontId="219" fillId="5" borderId="2" xfId="4" applyNumberFormat="1" applyFont="1" applyFill="1" applyBorder="1" applyAlignment="1">
      <alignment horizontal="center"/>
    </xf>
    <xf numFmtId="0" fontId="219"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7"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7"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0" fillId="0" borderId="2" xfId="14" applyFont="1" applyBorder="1" applyAlignment="1" applyProtection="1">
      <alignment horizontal="left" vertical="center" wrapText="1"/>
      <protection locked="0"/>
    </xf>
    <xf numFmtId="0" fontId="251" fillId="5" borderId="2" xfId="0" applyFont="1" applyFill="1" applyBorder="1" applyAlignment="1">
      <alignment horizontal="left" vertical="center" wrapText="1"/>
    </xf>
    <xf numFmtId="0" fontId="252"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0" fillId="5" borderId="5" xfId="0" applyFont="1" applyFill="1" applyBorder="1" applyAlignment="1">
      <alignment horizontal="center" vertical="center" wrapText="1"/>
    </xf>
    <xf numFmtId="0" fontId="161" fillId="5" borderId="21" xfId="0" applyFont="1" applyFill="1" applyBorder="1" applyAlignment="1">
      <alignment horizontal="center" vertical="center" wrapText="1"/>
    </xf>
    <xf numFmtId="0" fontId="161" fillId="5" borderId="5" xfId="0" applyFont="1" applyFill="1" applyBorder="1" applyAlignment="1">
      <alignment horizontal="center" vertical="center" wrapText="1"/>
    </xf>
    <xf numFmtId="0" fontId="161" fillId="5" borderId="8" xfId="0" applyFont="1" applyFill="1" applyBorder="1" applyAlignment="1">
      <alignment horizontal="center" vertical="center" wrapText="1"/>
    </xf>
    <xf numFmtId="0" fontId="161" fillId="5" borderId="8" xfId="0" applyFont="1" applyFill="1" applyBorder="1" applyAlignment="1">
      <alignment horizontal="center" vertical="center"/>
    </xf>
    <xf numFmtId="0" fontId="161" fillId="5" borderId="9" xfId="0" applyFont="1" applyFill="1" applyBorder="1" applyAlignment="1">
      <alignment horizontal="center" vertical="center" wrapText="1"/>
    </xf>
    <xf numFmtId="0" fontId="157"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7"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6" fillId="0" borderId="105" xfId="0" applyFont="1" applyBorder="1" applyAlignment="1" applyProtection="1">
      <alignment horizontal="center" vertical="center" wrapText="1"/>
      <protection locked="0"/>
    </xf>
    <xf numFmtId="0" fontId="256" fillId="5" borderId="31" xfId="0" applyFont="1" applyFill="1" applyBorder="1" applyAlignment="1">
      <alignment horizontal="center" vertical="center" wrapText="1"/>
    </xf>
    <xf numFmtId="0" fontId="256" fillId="0" borderId="31" xfId="0" applyFont="1" applyBorder="1" applyAlignment="1" applyProtection="1">
      <alignment horizontal="center" vertical="center" wrapText="1"/>
      <protection locked="0"/>
    </xf>
    <xf numFmtId="0" fontId="144" fillId="5" borderId="6" xfId="0" applyFont="1" applyFill="1" applyBorder="1" applyAlignment="1">
      <alignment horizontal="center" vertical="center" wrapText="1"/>
    </xf>
    <xf numFmtId="0" fontId="144"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3" fillId="0" borderId="2" xfId="3" applyNumberFormat="1" applyFont="1" applyBorder="1" applyAlignment="1" applyProtection="1">
      <alignment horizontal="center" vertical="center"/>
      <protection locked="0"/>
    </xf>
    <xf numFmtId="0" fontId="153"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0" fillId="5" borderId="2" xfId="0" applyFont="1" applyFill="1" applyBorder="1">
      <alignment vertical="center"/>
    </xf>
    <xf numFmtId="0" fontId="0" fillId="5" borderId="2" xfId="0" applyFill="1" applyBorder="1" applyAlignment="1">
      <alignment horizontal="center" vertical="center"/>
    </xf>
    <xf numFmtId="0" fontId="162" fillId="0" borderId="2" xfId="0" applyFont="1" applyBorder="1" applyAlignment="1" applyProtection="1">
      <alignment horizontal="center" vertical="center"/>
      <protection locked="0"/>
    </xf>
    <xf numFmtId="0" fontId="261"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8"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1" fillId="5" borderId="12" xfId="0" applyFont="1" applyFill="1" applyBorder="1" applyAlignment="1">
      <alignment horizontal="center"/>
    </xf>
    <xf numFmtId="0" fontId="128" fillId="5" borderId="1" xfId="0" applyFont="1" applyFill="1" applyBorder="1" applyAlignment="1">
      <alignment horizontal="left" vertical="center"/>
    </xf>
    <xf numFmtId="0" fontId="143" fillId="5" borderId="11" xfId="0" applyFont="1" applyFill="1" applyBorder="1" applyAlignment="1">
      <alignment horizontal="left"/>
    </xf>
    <xf numFmtId="0" fontId="154" fillId="5" borderId="11" xfId="0" applyFont="1" applyFill="1" applyBorder="1" applyAlignment="1">
      <alignment horizontal="left"/>
    </xf>
    <xf numFmtId="0" fontId="149"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09" fillId="5" borderId="59" xfId="0" applyFont="1" applyFill="1" applyBorder="1" applyAlignment="1">
      <alignment horizontal="left" vertical="center" wrapText="1"/>
    </xf>
    <xf numFmtId="0" fontId="209"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09"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09"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4" fillId="0" borderId="0" xfId="7" applyFont="1" applyAlignment="1">
      <alignment horizontal="left" vertical="center"/>
    </xf>
    <xf numFmtId="0" fontId="159" fillId="0" borderId="0" xfId="7" applyFont="1" applyAlignment="1">
      <alignment horizontal="left" vertical="center"/>
    </xf>
    <xf numFmtId="182" fontId="147"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39"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59"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0"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2"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1" fillId="12" borderId="124" xfId="13" applyFont="1" applyFill="1" applyBorder="1" applyAlignment="1">
      <alignment horizontal="left" vertical="center" wrapText="1"/>
    </xf>
    <xf numFmtId="0" fontId="231" fillId="12" borderId="128" xfId="13" applyFont="1" applyFill="1" applyBorder="1" applyAlignment="1">
      <alignment horizontal="left" vertical="center" wrapText="1"/>
    </xf>
    <xf numFmtId="0" fontId="152" fillId="0" borderId="0" xfId="10" applyFont="1" applyAlignment="1">
      <alignment horizontal="left" vertical="center"/>
    </xf>
    <xf numFmtId="0" fontId="152" fillId="0" borderId="148" xfId="10" applyFont="1" applyBorder="1" applyAlignment="1">
      <alignment horizontal="left" vertical="center"/>
    </xf>
    <xf numFmtId="0" fontId="154"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2" fillId="0" borderId="149" xfId="10" applyFont="1" applyBorder="1" applyAlignment="1">
      <alignment horizontal="left" vertical="center"/>
    </xf>
    <xf numFmtId="0" fontId="219" fillId="15" borderId="0" xfId="13" applyFont="1" applyFill="1" applyAlignment="1">
      <alignment horizontal="left" vertical="center"/>
    </xf>
    <xf numFmtId="0" fontId="144" fillId="15" borderId="0" xfId="1" applyFont="1" applyFill="1" applyAlignment="1">
      <alignment horizontal="left" vertical="center"/>
    </xf>
    <xf numFmtId="0" fontId="17" fillId="15" borderId="0" xfId="1" applyFont="1" applyFill="1" applyAlignment="1">
      <alignment horizontal="left" vertical="center"/>
    </xf>
    <xf numFmtId="0" fontId="152" fillId="15" borderId="122" xfId="10" applyFont="1" applyFill="1" applyBorder="1" applyAlignment="1">
      <alignment horizontal="left" vertical="center"/>
    </xf>
    <xf numFmtId="0" fontId="152" fillId="15" borderId="0" xfId="10" applyFont="1" applyFill="1" applyAlignment="1">
      <alignment horizontal="left" vertical="center"/>
    </xf>
    <xf numFmtId="0" fontId="233" fillId="15" borderId="0" xfId="13" applyFont="1" applyFill="1" applyAlignment="1" applyProtection="1">
      <alignment horizontal="left" vertical="center"/>
      <protection locked="0"/>
    </xf>
    <xf numFmtId="0" fontId="225" fillId="15" borderId="0" xfId="13" applyFont="1" applyFill="1" applyAlignment="1">
      <alignment horizontal="left" vertical="center"/>
    </xf>
    <xf numFmtId="0" fontId="147" fillId="15" borderId="0" xfId="10" applyFont="1" applyFill="1" applyAlignment="1">
      <alignment horizontal="left" vertical="center"/>
    </xf>
    <xf numFmtId="10" fontId="147" fillId="15" borderId="0" xfId="10" applyNumberFormat="1" applyFont="1" applyFill="1" applyAlignment="1">
      <alignment horizontal="left" vertical="center"/>
    </xf>
    <xf numFmtId="0" fontId="144" fillId="0" borderId="0" xfId="1" applyFont="1" applyAlignment="1">
      <alignment horizontal="left" vertical="center"/>
    </xf>
    <xf numFmtId="0" fontId="17" fillId="0" borderId="0" xfId="1" applyFont="1" applyAlignment="1">
      <alignment horizontal="left" vertical="center"/>
    </xf>
    <xf numFmtId="0" fontId="152" fillId="0" borderId="122" xfId="10" applyFont="1" applyBorder="1" applyAlignment="1">
      <alignment horizontal="left" vertical="center"/>
    </xf>
    <xf numFmtId="0" fontId="152" fillId="0" borderId="0" xfId="10" applyFont="1" applyAlignment="1" applyProtection="1">
      <alignment horizontal="left" vertical="center"/>
      <protection locked="0"/>
    </xf>
    <xf numFmtId="0" fontId="152" fillId="0" borderId="0" xfId="13" applyFont="1" applyAlignment="1">
      <alignment horizontal="left" vertical="center"/>
    </xf>
    <xf numFmtId="0" fontId="147" fillId="0" borderId="0" xfId="10" applyFont="1" applyAlignment="1">
      <alignment horizontal="left" vertical="center"/>
    </xf>
    <xf numFmtId="10" fontId="147"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7" fillId="0" borderId="0" xfId="10" applyNumberFormat="1" applyFont="1" applyAlignment="1">
      <alignment horizontal="left" vertical="center"/>
    </xf>
    <xf numFmtId="0" fontId="231" fillId="12" borderId="124" xfId="10" applyFont="1" applyFill="1" applyBorder="1" applyAlignment="1">
      <alignment horizontal="left" vertical="center" wrapText="1"/>
    </xf>
    <xf numFmtId="10" fontId="147" fillId="0" borderId="122" xfId="10" applyNumberFormat="1" applyFont="1" applyBorder="1" applyAlignment="1">
      <alignment horizontal="left" vertical="center"/>
    </xf>
    <xf numFmtId="178" fontId="147" fillId="0" borderId="0" xfId="10" applyNumberFormat="1" applyFont="1" applyAlignment="1">
      <alignment horizontal="left" vertical="center"/>
    </xf>
    <xf numFmtId="10" fontId="147" fillId="0" borderId="126" xfId="10" applyNumberFormat="1" applyFont="1" applyBorder="1" applyAlignment="1">
      <alignment horizontal="left" vertical="center"/>
    </xf>
    <xf numFmtId="10" fontId="147" fillId="0" borderId="19" xfId="10" applyNumberFormat="1" applyFont="1" applyBorder="1" applyAlignment="1">
      <alignment horizontal="left" vertical="center"/>
    </xf>
    <xf numFmtId="0" fontId="233" fillId="13" borderId="0" xfId="10" applyFont="1" applyFill="1" applyAlignment="1">
      <alignment horizontal="left" vertical="center"/>
    </xf>
    <xf numFmtId="0" fontId="231" fillId="12" borderId="128" xfId="10" applyFont="1" applyFill="1" applyBorder="1" applyAlignment="1">
      <alignment horizontal="left" vertical="center" wrapText="1"/>
    </xf>
    <xf numFmtId="0" fontId="231" fillId="11" borderId="120" xfId="10" applyFont="1" applyFill="1" applyBorder="1" applyAlignment="1">
      <alignment horizontal="left" vertical="center" wrapText="1"/>
    </xf>
    <xf numFmtId="0" fontId="231" fillId="11" borderId="121" xfId="10" applyFont="1" applyFill="1" applyBorder="1" applyAlignment="1">
      <alignment horizontal="left" vertical="center" wrapText="1"/>
    </xf>
    <xf numFmtId="185" fontId="152" fillId="11" borderId="120" xfId="13" applyNumberFormat="1" applyFont="1" applyFill="1" applyBorder="1" applyAlignment="1">
      <alignment horizontal="left" vertical="center" wrapText="1"/>
    </xf>
    <xf numFmtId="185" fontId="152" fillId="11" borderId="127" xfId="13" applyNumberFormat="1" applyFont="1" applyFill="1" applyBorder="1" applyAlignment="1">
      <alignment horizontal="left" vertical="center" wrapText="1"/>
    </xf>
    <xf numFmtId="182" fontId="147" fillId="0" borderId="122" xfId="10" applyNumberFormat="1" applyFont="1" applyBorder="1" applyAlignment="1">
      <alignment horizontal="left" vertical="center"/>
    </xf>
    <xf numFmtId="182" fontId="147" fillId="0" borderId="0" xfId="10" applyNumberFormat="1" applyFont="1" applyAlignment="1">
      <alignment horizontal="left" vertical="center"/>
    </xf>
    <xf numFmtId="0" fontId="231" fillId="11" borderId="124" xfId="10" applyFont="1" applyFill="1" applyBorder="1" applyAlignment="1">
      <alignment horizontal="left" vertical="center" wrapText="1"/>
    </xf>
    <xf numFmtId="0" fontId="231" fillId="11" borderId="128" xfId="10" applyFont="1" applyFill="1" applyBorder="1" applyAlignment="1">
      <alignment horizontal="left" vertical="center" wrapText="1"/>
    </xf>
    <xf numFmtId="10" fontId="147" fillId="0" borderId="132" xfId="10" applyNumberFormat="1" applyFont="1" applyBorder="1" applyAlignment="1">
      <alignment horizontal="left" vertical="center"/>
    </xf>
    <xf numFmtId="10" fontId="147" fillId="0" borderId="14" xfId="10" applyNumberFormat="1" applyFont="1" applyBorder="1" applyAlignment="1">
      <alignment horizontal="left" vertical="center"/>
    </xf>
    <xf numFmtId="185" fontId="152" fillId="11" borderId="120" xfId="10" applyNumberFormat="1" applyFont="1" applyFill="1" applyBorder="1" applyAlignment="1">
      <alignment horizontal="left" vertical="center" wrapText="1"/>
    </xf>
    <xf numFmtId="185" fontId="152" fillId="11" borderId="127" xfId="10" applyNumberFormat="1" applyFont="1" applyFill="1" applyBorder="1" applyAlignment="1">
      <alignment horizontal="left" vertical="center" wrapText="1"/>
    </xf>
    <xf numFmtId="0" fontId="231" fillId="11" borderId="130" xfId="10" applyFont="1" applyFill="1" applyBorder="1" applyAlignment="1">
      <alignment horizontal="left" vertical="center" wrapText="1"/>
    </xf>
    <xf numFmtId="0" fontId="231" fillId="11" borderId="131" xfId="10" applyFont="1" applyFill="1" applyBorder="1" applyAlignment="1">
      <alignment horizontal="left" vertical="center" wrapText="1"/>
    </xf>
    <xf numFmtId="0" fontId="147" fillId="0" borderId="122" xfId="10" applyFont="1" applyBorder="1" applyAlignment="1">
      <alignment horizontal="left" vertical="center"/>
    </xf>
    <xf numFmtId="0" fontId="231" fillId="12" borderId="120" xfId="10" applyFont="1" applyFill="1" applyBorder="1" applyAlignment="1">
      <alignment horizontal="left" vertical="center" wrapText="1"/>
    </xf>
    <xf numFmtId="0" fontId="231" fillId="12" borderId="121" xfId="10" applyFont="1" applyFill="1" applyBorder="1" applyAlignment="1">
      <alignment horizontal="left" vertical="center" wrapText="1"/>
    </xf>
    <xf numFmtId="185" fontId="152" fillId="11" borderId="124" xfId="10" applyNumberFormat="1" applyFont="1" applyFill="1" applyBorder="1" applyAlignment="1">
      <alignment horizontal="left" vertical="center" wrapText="1"/>
    </xf>
    <xf numFmtId="185" fontId="152" fillId="11" borderId="133" xfId="10" applyNumberFormat="1" applyFont="1" applyFill="1" applyBorder="1" applyAlignment="1">
      <alignment horizontal="left" vertical="center" wrapText="1"/>
    </xf>
    <xf numFmtId="0" fontId="147" fillId="12" borderId="120" xfId="10" applyFont="1" applyFill="1" applyBorder="1" applyAlignment="1">
      <alignment horizontal="left" vertical="center" wrapText="1"/>
    </xf>
    <xf numFmtId="0" fontId="147"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7" fillId="6" borderId="0" xfId="10" applyNumberFormat="1" applyFont="1" applyFill="1" applyAlignment="1">
      <alignment horizontal="left" vertical="center"/>
    </xf>
    <xf numFmtId="0" fontId="147" fillId="6" borderId="124" xfId="10" applyFont="1" applyFill="1" applyBorder="1" applyAlignment="1">
      <alignment horizontal="left" vertical="center" wrapText="1"/>
    </xf>
    <xf numFmtId="0" fontId="147" fillId="6" borderId="128" xfId="10" applyFont="1" applyFill="1" applyBorder="1" applyAlignment="1">
      <alignment horizontal="left" vertical="center" wrapText="1"/>
    </xf>
    <xf numFmtId="0" fontId="147" fillId="6" borderId="0" xfId="10" applyFont="1" applyFill="1" applyAlignment="1">
      <alignment horizontal="left" vertical="center"/>
    </xf>
    <xf numFmtId="10" fontId="147" fillId="6" borderId="122" xfId="10" applyNumberFormat="1" applyFont="1" applyFill="1" applyBorder="1" applyAlignment="1">
      <alignment horizontal="left" vertical="center"/>
    </xf>
    <xf numFmtId="10" fontId="147" fillId="6" borderId="0" xfId="10" applyNumberFormat="1" applyFont="1" applyFill="1" applyAlignment="1">
      <alignment horizontal="left" vertical="center"/>
    </xf>
    <xf numFmtId="178" fontId="147" fillId="6" borderId="0" xfId="10" applyNumberFormat="1" applyFont="1" applyFill="1" applyAlignment="1">
      <alignment horizontal="left" vertical="center"/>
    </xf>
    <xf numFmtId="10" fontId="147" fillId="6" borderId="126" xfId="10" applyNumberFormat="1" applyFont="1" applyFill="1" applyBorder="1" applyAlignment="1">
      <alignment horizontal="left" vertical="center"/>
    </xf>
    <xf numFmtId="10" fontId="147" fillId="6" borderId="19" xfId="10" applyNumberFormat="1" applyFont="1" applyFill="1" applyBorder="1" applyAlignment="1">
      <alignment horizontal="left" vertical="center"/>
    </xf>
    <xf numFmtId="0" fontId="195" fillId="6" borderId="0" xfId="10" applyFont="1" applyFill="1" applyAlignment="1">
      <alignment horizontal="left" vertical="center"/>
    </xf>
    <xf numFmtId="0" fontId="147" fillId="11" borderId="130" xfId="10" applyFont="1" applyFill="1" applyBorder="1" applyAlignment="1">
      <alignment horizontal="left" vertical="center" wrapText="1"/>
    </xf>
    <xf numFmtId="0" fontId="147" fillId="11" borderId="131" xfId="10" applyFont="1" applyFill="1" applyBorder="1" applyAlignment="1">
      <alignment horizontal="left" vertical="center" wrapText="1"/>
    </xf>
    <xf numFmtId="14" fontId="147" fillId="0" borderId="0" xfId="10" applyNumberFormat="1" applyFont="1" applyAlignment="1">
      <alignment horizontal="left" vertical="center"/>
    </xf>
    <xf numFmtId="0" fontId="195" fillId="0" borderId="0" xfId="10" applyFont="1" applyAlignment="1">
      <alignment horizontal="left" vertical="center"/>
    </xf>
    <xf numFmtId="185" fontId="152" fillId="11" borderId="130" xfId="10" applyNumberFormat="1" applyFont="1" applyFill="1" applyBorder="1" applyAlignment="1">
      <alignment horizontal="left" vertical="center" wrapText="1"/>
    </xf>
    <xf numFmtId="185" fontId="152" fillId="11" borderId="134" xfId="10" applyNumberFormat="1" applyFont="1" applyFill="1" applyBorder="1" applyAlignment="1">
      <alignment horizontal="left" vertical="center" wrapText="1"/>
    </xf>
    <xf numFmtId="185" fontId="147" fillId="13" borderId="0" xfId="10" applyNumberFormat="1" applyFont="1" applyFill="1" applyAlignment="1">
      <alignment horizontal="left" vertical="center"/>
    </xf>
    <xf numFmtId="185" fontId="147" fillId="0" borderId="61" xfId="10" applyNumberFormat="1" applyFont="1" applyBorder="1" applyAlignment="1">
      <alignment horizontal="left" vertical="center"/>
    </xf>
    <xf numFmtId="0" fontId="231" fillId="12" borderId="135" xfId="10" applyFont="1" applyFill="1" applyBorder="1" applyAlignment="1">
      <alignment horizontal="left" vertical="center" wrapText="1"/>
    </xf>
    <xf numFmtId="0" fontId="231" fillId="12" borderId="136" xfId="10" applyFont="1" applyFill="1" applyBorder="1" applyAlignment="1">
      <alignment horizontal="left" vertical="center" wrapText="1"/>
    </xf>
    <xf numFmtId="0" fontId="147" fillId="0" borderId="61" xfId="10" applyFont="1" applyBorder="1" applyAlignment="1">
      <alignment horizontal="left" vertical="center"/>
    </xf>
    <xf numFmtId="10" fontId="147" fillId="0" borderId="137" xfId="10" applyNumberFormat="1" applyFont="1" applyBorder="1" applyAlignment="1">
      <alignment horizontal="left" vertical="center"/>
    </xf>
    <xf numFmtId="10" fontId="147" fillId="0" borderId="61" xfId="10" applyNumberFormat="1" applyFont="1" applyBorder="1" applyAlignment="1">
      <alignment horizontal="left" vertical="center"/>
    </xf>
    <xf numFmtId="178" fontId="147" fillId="0" borderId="61" xfId="10" applyNumberFormat="1" applyFont="1" applyBorder="1" applyAlignment="1">
      <alignment horizontal="left" vertical="center"/>
    </xf>
    <xf numFmtId="0" fontId="231" fillId="11" borderId="138" xfId="10" applyFont="1" applyFill="1" applyBorder="1" applyAlignment="1">
      <alignment horizontal="left" vertical="center" wrapText="1"/>
    </xf>
    <xf numFmtId="0" fontId="231" fillId="11" borderId="139" xfId="10" applyFont="1" applyFill="1" applyBorder="1" applyAlignment="1">
      <alignment horizontal="left" vertical="center" wrapText="1"/>
    </xf>
    <xf numFmtId="10" fontId="147" fillId="14" borderId="122" xfId="10" applyNumberFormat="1" applyFont="1" applyFill="1" applyBorder="1" applyAlignment="1">
      <alignment horizontal="left" vertical="center"/>
    </xf>
    <xf numFmtId="10" fontId="147" fillId="14" borderId="0" xfId="10" applyNumberFormat="1" applyFont="1" applyFill="1" applyAlignment="1">
      <alignment horizontal="left" vertical="center"/>
    </xf>
    <xf numFmtId="179" fontId="147" fillId="0" borderId="0" xfId="10" applyNumberFormat="1" applyFont="1" applyAlignment="1">
      <alignment horizontal="left" vertical="center"/>
    </xf>
    <xf numFmtId="10" fontId="147" fillId="14" borderId="126" xfId="10" applyNumberFormat="1" applyFont="1" applyFill="1" applyBorder="1" applyAlignment="1">
      <alignment horizontal="left" vertical="center"/>
    </xf>
    <xf numFmtId="10" fontId="147" fillId="14" borderId="19" xfId="10" applyNumberFormat="1" applyFont="1" applyFill="1" applyBorder="1" applyAlignment="1">
      <alignment horizontal="left" vertical="center"/>
    </xf>
    <xf numFmtId="10" fontId="147" fillId="14" borderId="137" xfId="10" applyNumberFormat="1" applyFont="1" applyFill="1" applyBorder="1" applyAlignment="1">
      <alignment horizontal="left" vertical="center"/>
    </xf>
    <xf numFmtId="10" fontId="147" fillId="14" borderId="61" xfId="10" applyNumberFormat="1" applyFont="1" applyFill="1" applyBorder="1" applyAlignment="1">
      <alignment horizontal="left" vertical="center"/>
    </xf>
    <xf numFmtId="179" fontId="147" fillId="0" borderId="61" xfId="10" applyNumberFormat="1" applyFont="1" applyBorder="1" applyAlignment="1">
      <alignment horizontal="left" vertical="center"/>
    </xf>
    <xf numFmtId="0" fontId="152" fillId="12" borderId="140" xfId="10" applyFont="1" applyFill="1" applyBorder="1" applyAlignment="1">
      <alignment horizontal="left" vertical="center" wrapText="1"/>
    </xf>
    <xf numFmtId="0" fontId="152" fillId="12" borderId="141" xfId="10" applyFont="1" applyFill="1" applyBorder="1" applyAlignment="1">
      <alignment horizontal="left" vertical="center" wrapText="1"/>
    </xf>
    <xf numFmtId="181" fontId="147" fillId="0" borderId="0" xfId="10" applyNumberFormat="1" applyFont="1" applyAlignment="1">
      <alignment horizontal="left" vertical="center"/>
    </xf>
    <xf numFmtId="181" fontId="147" fillId="0" borderId="122" xfId="10" applyNumberFormat="1" applyFont="1" applyBorder="1" applyAlignment="1">
      <alignment horizontal="left" vertical="center"/>
    </xf>
    <xf numFmtId="178" fontId="147" fillId="14" borderId="0" xfId="10" applyNumberFormat="1" applyFont="1" applyFill="1" applyAlignment="1">
      <alignment horizontal="left" vertical="center"/>
    </xf>
    <xf numFmtId="0" fontId="231" fillId="12" borderId="130" xfId="10" applyFont="1" applyFill="1" applyBorder="1" applyAlignment="1">
      <alignment horizontal="left" vertical="center" wrapText="1"/>
    </xf>
    <xf numFmtId="0" fontId="152" fillId="11" borderId="130" xfId="10" applyFont="1" applyFill="1" applyBorder="1" applyAlignment="1">
      <alignment horizontal="left" vertical="center" wrapText="1"/>
    </xf>
    <xf numFmtId="0" fontId="152" fillId="11" borderId="134" xfId="10" applyFont="1" applyFill="1" applyBorder="1" applyAlignment="1">
      <alignment horizontal="left" vertical="center" wrapText="1"/>
    </xf>
    <xf numFmtId="0" fontId="231" fillId="6" borderId="124" xfId="10" applyFont="1" applyFill="1" applyBorder="1" applyAlignment="1">
      <alignment horizontal="left" vertical="center" wrapText="1"/>
    </xf>
    <xf numFmtId="181" fontId="147" fillId="6" borderId="0" xfId="10" applyNumberFormat="1" applyFont="1" applyFill="1" applyAlignment="1">
      <alignment horizontal="left" vertical="center"/>
    </xf>
    <xf numFmtId="0" fontId="147" fillId="6" borderId="122" xfId="10" applyFont="1" applyFill="1" applyBorder="1" applyAlignment="1">
      <alignment horizontal="left" vertical="center"/>
    </xf>
    <xf numFmtId="179" fontId="147" fillId="6" borderId="0" xfId="10" applyNumberFormat="1" applyFont="1" applyFill="1" applyAlignment="1">
      <alignment horizontal="left" vertical="center"/>
    </xf>
    <xf numFmtId="0" fontId="152" fillId="11" borderId="142" xfId="10" applyFont="1" applyFill="1" applyBorder="1" applyAlignment="1">
      <alignment horizontal="left" vertical="center" wrapText="1"/>
    </xf>
    <xf numFmtId="0" fontId="152" fillId="11" borderId="143" xfId="10" applyFont="1" applyFill="1" applyBorder="1" applyAlignment="1">
      <alignment horizontal="left" vertical="center" wrapText="1"/>
    </xf>
    <xf numFmtId="0" fontId="152" fillId="11" borderId="144" xfId="10" applyFont="1" applyFill="1" applyBorder="1" applyAlignment="1">
      <alignment horizontal="left" vertical="center" wrapText="1"/>
    </xf>
    <xf numFmtId="0" fontId="205" fillId="0" borderId="0" xfId="10" applyFont="1" applyAlignment="1">
      <alignment horizontal="left" vertical="center"/>
    </xf>
    <xf numFmtId="0" fontId="153" fillId="0" borderId="0" xfId="10" applyFont="1" applyAlignment="1">
      <alignment horizontal="left" vertical="center"/>
    </xf>
    <xf numFmtId="0" fontId="153" fillId="0" borderId="122" xfId="10" applyFont="1" applyBorder="1" applyAlignment="1">
      <alignment horizontal="left" vertical="center"/>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0" fontId="231" fillId="12" borderId="145" xfId="10" applyFont="1" applyFill="1" applyBorder="1" applyAlignment="1">
      <alignment horizontal="left" vertical="center" wrapText="1"/>
    </xf>
    <xf numFmtId="0" fontId="231" fillId="11" borderId="146" xfId="10" applyFont="1" applyFill="1" applyBorder="1" applyAlignment="1">
      <alignment horizontal="left" vertical="center" wrapText="1"/>
    </xf>
    <xf numFmtId="0" fontId="231" fillId="12" borderId="146" xfId="10" applyFont="1" applyFill="1" applyBorder="1" applyAlignment="1">
      <alignment horizontal="left" vertical="center" wrapText="1"/>
    </xf>
    <xf numFmtId="0" fontId="231"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5"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5" fillId="0" borderId="0" xfId="7" applyFont="1" applyAlignment="1">
      <alignment horizontal="left" vertical="center"/>
    </xf>
    <xf numFmtId="0" fontId="265" fillId="0" borderId="0" xfId="7" applyFont="1" applyAlignment="1">
      <alignment horizontal="left" vertical="center"/>
    </xf>
    <xf numFmtId="14" fontId="265" fillId="0" borderId="0" xfId="7" applyNumberFormat="1" applyFont="1" applyAlignment="1">
      <alignment horizontal="left" vertical="center"/>
    </xf>
    <xf numFmtId="0" fontId="266" fillId="0" borderId="0" xfId="7" applyFont="1" applyAlignment="1">
      <alignment horizontal="left" vertical="center"/>
    </xf>
    <xf numFmtId="0" fontId="267" fillId="0" borderId="10" xfId="7"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184" fontId="267" fillId="0" borderId="2" xfId="7" applyNumberFormat="1" applyFont="1" applyBorder="1" applyAlignment="1">
      <alignment horizontal="left" vertical="center"/>
    </xf>
    <xf numFmtId="191" fontId="267" fillId="0" borderId="5" xfId="7" applyNumberFormat="1" applyFont="1" applyBorder="1" applyAlignment="1">
      <alignment horizontal="left" vertical="center"/>
    </xf>
    <xf numFmtId="0" fontId="268" fillId="0" borderId="2" xfId="7" applyFont="1" applyBorder="1" applyAlignment="1">
      <alignment horizontal="left" vertical="center"/>
    </xf>
    <xf numFmtId="0" fontId="265" fillId="0" borderId="2" xfId="7" applyFont="1" applyBorder="1" applyAlignment="1">
      <alignment horizontal="left" vertical="center"/>
    </xf>
    <xf numFmtId="184" fontId="267" fillId="0" borderId="2" xfId="0" applyNumberFormat="1" applyFont="1" applyBorder="1" applyAlignment="1">
      <alignment horizontal="left" vertical="center"/>
    </xf>
    <xf numFmtId="14" fontId="175" fillId="0" borderId="0" xfId="7" applyNumberFormat="1" applyFont="1" applyAlignment="1">
      <alignment horizontal="left" vertical="center"/>
    </xf>
    <xf numFmtId="0" fontId="269" fillId="0" borderId="0" xfId="7" applyFont="1" applyAlignment="1">
      <alignment horizontal="left" vertical="center"/>
    </xf>
    <xf numFmtId="0" fontId="267" fillId="0" borderId="154" xfId="7" applyFont="1" applyBorder="1" applyAlignment="1">
      <alignment horizontal="left" vertical="center"/>
    </xf>
    <xf numFmtId="191" fontId="267" fillId="0" borderId="154" xfId="7" applyNumberFormat="1" applyFont="1" applyBorder="1" applyAlignment="1">
      <alignment horizontal="left" vertical="center"/>
    </xf>
    <xf numFmtId="184" fontId="267" fillId="0" borderId="5" xfId="7" applyNumberFormat="1" applyFont="1" applyBorder="1" applyAlignment="1">
      <alignment horizontal="left" vertical="center"/>
    </xf>
    <xf numFmtId="14" fontId="265" fillId="0" borderId="5" xfId="7" applyNumberFormat="1" applyFont="1" applyBorder="1" applyAlignment="1">
      <alignment horizontal="left" vertical="center"/>
    </xf>
    <xf numFmtId="0" fontId="265" fillId="0" borderId="154" xfId="7" applyFont="1" applyBorder="1" applyAlignment="1">
      <alignment horizontal="left" vertical="center"/>
    </xf>
    <xf numFmtId="14" fontId="175" fillId="0" borderId="156" xfId="7" applyNumberFormat="1" applyFont="1" applyBorder="1" applyAlignment="1">
      <alignment horizontal="left" vertical="center"/>
    </xf>
    <xf numFmtId="0" fontId="268" fillId="6" borderId="10" xfId="7" applyFont="1" applyFill="1" applyBorder="1" applyAlignment="1">
      <alignment horizontal="left" vertical="center"/>
    </xf>
    <xf numFmtId="0" fontId="268"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4"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4" fillId="12" borderId="0" xfId="0" applyFont="1" applyFill="1" applyAlignment="1" applyProtection="1">
      <alignment horizontal="center" vertical="center"/>
      <protection locked="0"/>
    </xf>
    <xf numFmtId="0" fontId="147"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7" fillId="12" borderId="0" xfId="0" applyFont="1" applyFill="1">
      <alignment vertical="center"/>
    </xf>
    <xf numFmtId="0" fontId="196" fillId="12" borderId="0" xfId="0" applyFont="1" applyFill="1" applyAlignment="1">
      <alignment horizontal="left" vertical="center"/>
    </xf>
    <xf numFmtId="0" fontId="197" fillId="12" borderId="0" xfId="0" applyFont="1" applyFill="1" applyAlignment="1">
      <alignment horizontal="left" vertical="center"/>
    </xf>
    <xf numFmtId="0" fontId="153" fillId="12" borderId="0" xfId="0" applyFont="1" applyFill="1">
      <alignment vertical="center"/>
    </xf>
    <xf numFmtId="180" fontId="148" fillId="12" borderId="0" xfId="0" applyNumberFormat="1" applyFont="1" applyFill="1">
      <alignment vertical="center"/>
    </xf>
    <xf numFmtId="182" fontId="144" fillId="12" borderId="0" xfId="0" applyNumberFormat="1" applyFont="1" applyFill="1" applyAlignment="1">
      <alignment horizontal="center" vertical="center"/>
    </xf>
    <xf numFmtId="0" fontId="148" fillId="12" borderId="0" xfId="0" applyFont="1" applyFill="1" applyAlignment="1">
      <alignment horizontal="left" vertical="center"/>
    </xf>
    <xf numFmtId="0" fontId="253"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5"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5"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5"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5"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5"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5"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0"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0" fillId="5" borderId="2" xfId="14" applyNumberFormat="1" applyFont="1" applyFill="1" applyBorder="1" applyAlignment="1">
      <alignment horizontal="left" vertical="center" wrapText="1"/>
    </xf>
    <xf numFmtId="0" fontId="249" fillId="5" borderId="2" xfId="14" applyFill="1" applyBorder="1" applyAlignment="1">
      <alignment horizontal="left" vertical="center"/>
    </xf>
    <xf numFmtId="0" fontId="250" fillId="5" borderId="10" xfId="14" applyFont="1" applyFill="1" applyBorder="1" applyAlignment="1">
      <alignment horizontal="left" vertical="center" wrapText="1"/>
    </xf>
    <xf numFmtId="0" fontId="140" fillId="0" borderId="2" xfId="14" applyFont="1" applyBorder="1" applyAlignment="1" applyProtection="1">
      <alignment horizontal="left" vertical="center"/>
      <protection locked="0"/>
    </xf>
    <xf numFmtId="0" fontId="250" fillId="0" borderId="10" xfId="14" applyFont="1" applyBorder="1" applyAlignment="1" applyProtection="1">
      <alignment horizontal="left" vertical="center" wrapText="1"/>
      <protection locked="0"/>
    </xf>
    <xf numFmtId="0" fontId="249" fillId="0" borderId="2" xfId="14" applyBorder="1" applyAlignment="1" applyProtection="1">
      <alignment horizontal="left" vertical="center"/>
      <protection locked="0"/>
    </xf>
    <xf numFmtId="0" fontId="250"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79"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0" fillId="5" borderId="0" xfId="3" applyFont="1" applyFill="1" applyProtection="1">
      <alignment vertical="center"/>
      <protection locked="0"/>
    </xf>
    <xf numFmtId="0" fontId="197" fillId="8" borderId="0" xfId="0" applyFont="1" applyFill="1">
      <alignment vertical="center"/>
    </xf>
    <xf numFmtId="0" fontId="148" fillId="8" borderId="0" xfId="0" applyFont="1" applyFill="1">
      <alignment vertical="center"/>
    </xf>
    <xf numFmtId="0" fontId="140" fillId="5" borderId="0" xfId="0" applyFont="1" applyFill="1" applyProtection="1">
      <alignment vertical="center"/>
      <protection locked="0"/>
    </xf>
    <xf numFmtId="0" fontId="140" fillId="0" borderId="0" xfId="0" applyFont="1" applyProtection="1">
      <alignment vertical="center"/>
      <protection locked="0"/>
    </xf>
    <xf numFmtId="0" fontId="140" fillId="0" borderId="0" xfId="0" applyFont="1">
      <alignment vertical="center"/>
    </xf>
    <xf numFmtId="0" fontId="140" fillId="12" borderId="0" xfId="0" applyFont="1" applyFill="1" applyProtection="1">
      <alignment vertical="center"/>
      <protection locked="0"/>
    </xf>
    <xf numFmtId="0" fontId="140" fillId="5" borderId="2" xfId="0" applyFont="1" applyFill="1" applyBorder="1" applyAlignment="1">
      <alignment horizontal="center" vertical="center"/>
    </xf>
    <xf numFmtId="49" fontId="264" fillId="5" borderId="59" xfId="0" applyNumberFormat="1" applyFont="1" applyFill="1" applyBorder="1" applyAlignment="1"/>
    <xf numFmtId="0" fontId="265" fillId="5" borderId="2" xfId="0" applyFont="1" applyFill="1" applyBorder="1">
      <alignment vertical="center"/>
    </xf>
    <xf numFmtId="0" fontId="265" fillId="12" borderId="0" xfId="0" applyFont="1" applyFill="1" applyProtection="1">
      <alignment vertical="center"/>
      <protection locked="0"/>
    </xf>
    <xf numFmtId="0" fontId="265" fillId="5" borderId="2" xfId="0" applyFont="1" applyFill="1" applyBorder="1" applyAlignment="1">
      <alignment horizontal="left" vertical="center" wrapText="1"/>
    </xf>
    <xf numFmtId="0" fontId="140" fillId="2" borderId="10" xfId="0" applyFont="1" applyFill="1" applyBorder="1" applyAlignment="1" applyProtection="1">
      <alignment horizontal="left" vertical="center"/>
      <protection locked="0"/>
    </xf>
    <xf numFmtId="0" fontId="140" fillId="2" borderId="2" xfId="0" applyFont="1" applyFill="1" applyBorder="1" applyAlignment="1" applyProtection="1">
      <alignment horizontal="left" vertical="center"/>
      <protection locked="0"/>
    </xf>
    <xf numFmtId="0" fontId="140" fillId="5" borderId="2" xfId="0" applyFont="1" applyFill="1" applyBorder="1" applyAlignment="1">
      <alignment horizontal="right" vertical="center"/>
    </xf>
    <xf numFmtId="49" fontId="271"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6"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2" fillId="5" borderId="2" xfId="0" applyFont="1" applyFill="1" applyBorder="1" applyAlignment="1">
      <alignment horizontal="center" vertical="center"/>
    </xf>
    <xf numFmtId="0" fontId="152" fillId="2" borderId="2" xfId="0" applyFont="1" applyFill="1" applyBorder="1" applyAlignment="1" applyProtection="1">
      <alignment horizontal="center" vertical="center"/>
      <protection locked="0"/>
    </xf>
    <xf numFmtId="0" fontId="205"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3" fillId="0" borderId="11" xfId="0" applyNumberFormat="1" applyFont="1" applyBorder="1" applyProtection="1">
      <alignment vertical="center"/>
      <protection locked="0"/>
    </xf>
    <xf numFmtId="0" fontId="222" fillId="5" borderId="0" xfId="4" applyFont="1" applyFill="1" applyAlignment="1">
      <alignment vertical="center"/>
    </xf>
    <xf numFmtId="0" fontId="222" fillId="5" borderId="2" xfId="4" applyFont="1" applyFill="1" applyBorder="1" applyAlignment="1">
      <alignment horizontal="left" vertical="center" wrapText="1"/>
    </xf>
    <xf numFmtId="14" fontId="195" fillId="5" borderId="2" xfId="4" applyNumberFormat="1" applyFont="1" applyFill="1" applyBorder="1" applyAlignment="1">
      <alignment horizontal="center" wrapText="1"/>
    </xf>
    <xf numFmtId="0" fontId="195" fillId="5" borderId="2" xfId="4" applyFont="1" applyFill="1" applyBorder="1" applyAlignment="1">
      <alignment horizontal="center" wrapText="1"/>
    </xf>
    <xf numFmtId="180" fontId="272" fillId="5" borderId="2" xfId="4" applyNumberFormat="1" applyFont="1" applyFill="1" applyBorder="1" applyAlignment="1">
      <alignment horizontal="center"/>
    </xf>
    <xf numFmtId="0" fontId="140"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1"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1" fillId="5" borderId="10" xfId="0" applyNumberFormat="1" applyFont="1" applyFill="1" applyBorder="1" applyAlignment="1">
      <alignment horizontal="center" vertical="center"/>
    </xf>
    <xf numFmtId="178" fontId="151"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1" fillId="5" borderId="83" xfId="0" applyNumberFormat="1" applyFont="1" applyFill="1" applyBorder="1" applyAlignment="1">
      <alignment horizontal="center" vertical="center"/>
    </xf>
    <xf numFmtId="178" fontId="151" fillId="5" borderId="37" xfId="2" applyNumberFormat="1" applyFont="1" applyFill="1" applyBorder="1">
      <alignment vertical="center"/>
    </xf>
    <xf numFmtId="10" fontId="151"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1" fillId="5" borderId="83" xfId="0" applyFont="1" applyFill="1" applyBorder="1" applyAlignment="1">
      <alignment horizontal="center" vertical="center" wrapText="1"/>
    </xf>
    <xf numFmtId="0" fontId="151" fillId="5" borderId="83" xfId="0" applyFont="1" applyFill="1" applyBorder="1" applyAlignment="1">
      <alignment vertical="center" wrapText="1"/>
    </xf>
    <xf numFmtId="10" fontId="151" fillId="5" borderId="83" xfId="0" applyNumberFormat="1" applyFont="1" applyFill="1" applyBorder="1" applyAlignment="1">
      <alignment horizontal="center" vertical="center" wrapText="1"/>
    </xf>
    <xf numFmtId="0" fontId="151"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7"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4"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7" fillId="0" borderId="2" xfId="2" applyNumberFormat="1" applyFont="1" applyBorder="1" applyAlignment="1" applyProtection="1">
      <alignment horizontal="left" vertical="center"/>
      <protection locked="0" hidden="1"/>
    </xf>
    <xf numFmtId="178" fontId="147"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6"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2" fillId="5" borderId="64" xfId="6" applyFont="1" applyFill="1" applyBorder="1" applyAlignment="1" applyProtection="1">
      <alignment vertical="center"/>
      <protection locked="0"/>
    </xf>
    <xf numFmtId="0" fontId="152"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7"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2"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2"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7"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7" fillId="0" borderId="12" xfId="6" applyFont="1" applyBorder="1" applyAlignment="1" applyProtection="1">
      <alignment horizontal="left" vertical="center"/>
      <protection locked="0"/>
    </xf>
    <xf numFmtId="0" fontId="275" fillId="0" borderId="5" xfId="6" applyFont="1" applyBorder="1" applyAlignment="1" applyProtection="1">
      <alignment horizontal="left" vertical="center"/>
      <protection locked="0"/>
    </xf>
    <xf numFmtId="0" fontId="275" fillId="0" borderId="157" xfId="6" applyFont="1" applyBorder="1" applyAlignment="1" applyProtection="1">
      <alignment horizontal="left" vertical="center"/>
      <protection locked="0"/>
    </xf>
    <xf numFmtId="0" fontId="275"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7"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2" fillId="5" borderId="4" xfId="6" applyFont="1" applyFill="1" applyBorder="1" applyAlignment="1" applyProtection="1">
      <alignment vertical="center"/>
      <protection locked="0"/>
    </xf>
    <xf numFmtId="0" fontId="152" fillId="5" borderId="14" xfId="6" applyFont="1" applyFill="1" applyBorder="1" applyAlignment="1" applyProtection="1">
      <alignment vertical="center"/>
      <protection locked="0"/>
    </xf>
    <xf numFmtId="0" fontId="152" fillId="5" borderId="32" xfId="6" applyFont="1" applyFill="1" applyBorder="1" applyAlignment="1" applyProtection="1">
      <alignment vertical="center"/>
      <protection locked="0"/>
    </xf>
    <xf numFmtId="0" fontId="147" fillId="5" borderId="2" xfId="6" applyFont="1" applyFill="1" applyBorder="1" applyAlignment="1" applyProtection="1">
      <alignment horizontal="left" vertical="center"/>
      <protection locked="0"/>
    </xf>
    <xf numFmtId="9" fontId="147"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2" fillId="5" borderId="17" xfId="6" applyFont="1" applyFill="1" applyBorder="1" applyAlignment="1" applyProtection="1">
      <alignment vertical="center"/>
      <protection locked="0"/>
    </xf>
    <xf numFmtId="0" fontId="152" fillId="5" borderId="19" xfId="6" applyFont="1" applyFill="1" applyBorder="1" applyAlignment="1" applyProtection="1">
      <alignment vertical="center"/>
      <protection locked="0"/>
    </xf>
    <xf numFmtId="0" fontId="152" fillId="5" borderId="20" xfId="6" applyFont="1" applyFill="1" applyBorder="1" applyAlignment="1" applyProtection="1">
      <alignment vertical="center"/>
      <protection locked="0"/>
    </xf>
    <xf numFmtId="0" fontId="152" fillId="0" borderId="2" xfId="6" applyFont="1" applyBorder="1" applyAlignment="1" applyProtection="1">
      <alignment horizontal="left" vertical="center"/>
      <protection locked="0"/>
    </xf>
    <xf numFmtId="9" fontId="152" fillId="0" borderId="2" xfId="6" applyNumberFormat="1" applyFont="1" applyBorder="1" applyAlignment="1" applyProtection="1">
      <alignment horizontal="left" vertical="center"/>
      <protection locked="0"/>
    </xf>
    <xf numFmtId="0" fontId="216" fillId="5" borderId="23" xfId="6" applyFont="1" applyFill="1" applyBorder="1" applyAlignment="1" applyProtection="1">
      <alignment horizontal="left" vertical="center" wrapText="1"/>
      <protection locked="0"/>
    </xf>
    <xf numFmtId="0" fontId="225"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7" fillId="0" borderId="44" xfId="6" applyNumberFormat="1" applyFont="1" applyBorder="1" applyAlignment="1" applyProtection="1">
      <alignment horizontal="left" vertical="center"/>
      <protection locked="0"/>
    </xf>
    <xf numFmtId="0" fontId="224"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4" fillId="0" borderId="0" xfId="6" applyFont="1" applyAlignment="1" applyProtection="1">
      <alignment horizontal="left" vertical="center"/>
      <protection locked="0"/>
    </xf>
    <xf numFmtId="0" fontId="274" fillId="0" borderId="0" xfId="6" applyFont="1" applyAlignment="1">
      <alignment horizontal="left"/>
    </xf>
    <xf numFmtId="0" fontId="216"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0" fillId="5" borderId="11" xfId="0" applyFont="1" applyFill="1" applyBorder="1" applyAlignment="1">
      <alignment horizontal="left" vertical="center"/>
    </xf>
    <xf numFmtId="0" fontId="140"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0"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59" fillId="5" borderId="6" xfId="0" applyFont="1" applyFill="1" applyBorder="1" applyAlignment="1">
      <alignment horizontal="left" vertical="center" wrapText="1"/>
    </xf>
    <xf numFmtId="0" fontId="159" fillId="5" borderId="7" xfId="0" applyFont="1" applyFill="1" applyBorder="1" applyAlignment="1">
      <alignment horizontal="left" vertical="center" wrapText="1"/>
    </xf>
    <xf numFmtId="0" fontId="159" fillId="5" borderId="2" xfId="0" applyFont="1" applyFill="1" applyBorder="1" applyAlignment="1">
      <alignment horizontal="left" vertical="center" wrapText="1"/>
    </xf>
    <xf numFmtId="0" fontId="159" fillId="5" borderId="12" xfId="0" applyFont="1" applyFill="1" applyBorder="1" applyAlignment="1">
      <alignment horizontal="left" vertical="center" wrapText="1"/>
    </xf>
    <xf numFmtId="0" fontId="159" fillId="5" borderId="10" xfId="0" applyFont="1" applyFill="1" applyBorder="1" applyAlignment="1">
      <alignment horizontal="left" vertical="center" wrapText="1"/>
    </xf>
    <xf numFmtId="0" fontId="159" fillId="5" borderId="25" xfId="0" applyFont="1" applyFill="1" applyBorder="1" applyAlignment="1">
      <alignment horizontal="left" vertical="center" wrapText="1"/>
    </xf>
    <xf numFmtId="0" fontId="159" fillId="5" borderId="4" xfId="0" applyFont="1" applyFill="1" applyBorder="1" applyAlignment="1">
      <alignment horizontal="left" vertical="center" wrapText="1"/>
    </xf>
    <xf numFmtId="0" fontId="159" fillId="5" borderId="5" xfId="0" applyFont="1" applyFill="1" applyBorder="1" applyAlignment="1">
      <alignment horizontal="left" vertical="center" wrapText="1"/>
    </xf>
    <xf numFmtId="0" fontId="159" fillId="5" borderId="9" xfId="0" applyFont="1" applyFill="1" applyBorder="1" applyAlignment="1">
      <alignment horizontal="left" vertical="center" wrapText="1"/>
    </xf>
    <xf numFmtId="0" fontId="159" fillId="5" borderId="29" xfId="0" applyFont="1" applyFill="1" applyBorder="1" applyAlignment="1">
      <alignment horizontal="left" vertical="center"/>
    </xf>
    <xf numFmtId="0" fontId="159" fillId="5" borderId="42" xfId="0" applyFont="1" applyFill="1" applyBorder="1" applyAlignment="1">
      <alignment horizontal="left" vertical="center"/>
    </xf>
    <xf numFmtId="0" fontId="159" fillId="5" borderId="7" xfId="0" applyFont="1" applyFill="1" applyBorder="1" applyAlignment="1">
      <alignment horizontal="left" vertical="center"/>
    </xf>
    <xf numFmtId="0" fontId="159" fillId="5" borderId="0" xfId="0" applyFont="1" applyFill="1" applyAlignment="1">
      <alignment horizontal="left" vertical="center"/>
    </xf>
    <xf numFmtId="0" fontId="159" fillId="5" borderId="5" xfId="0" applyFont="1" applyFill="1" applyBorder="1" applyAlignment="1">
      <alignment horizontal="left" vertical="center"/>
    </xf>
    <xf numFmtId="0" fontId="159" fillId="5" borderId="9" xfId="0" applyFont="1" applyFill="1" applyBorder="1" applyAlignment="1">
      <alignment horizontal="left" vertical="center"/>
    </xf>
    <xf numFmtId="0" fontId="159" fillId="5" borderId="12" xfId="0" applyFont="1" applyFill="1" applyBorder="1" applyAlignment="1">
      <alignment horizontal="left" vertical="center"/>
    </xf>
    <xf numFmtId="0" fontId="159" fillId="5" borderId="45" xfId="0" applyFont="1" applyFill="1" applyBorder="1" applyAlignment="1">
      <alignment horizontal="left" vertical="center"/>
    </xf>
    <xf numFmtId="0" fontId="159" fillId="5" borderId="47" xfId="0" applyFont="1" applyFill="1" applyBorder="1" applyAlignment="1">
      <alignment horizontal="left" vertical="center"/>
    </xf>
    <xf numFmtId="0" fontId="159" fillId="5" borderId="46" xfId="0" applyFont="1" applyFill="1" applyBorder="1" applyAlignment="1">
      <alignment horizontal="left" vertical="center"/>
    </xf>
    <xf numFmtId="0" fontId="159" fillId="5" borderId="33" xfId="0" applyFont="1" applyFill="1" applyBorder="1" applyAlignment="1">
      <alignment horizontal="left" vertical="center"/>
    </xf>
    <xf numFmtId="0" fontId="159" fillId="5" borderId="83" xfId="0" applyFont="1" applyFill="1" applyBorder="1" applyAlignment="1">
      <alignment horizontal="left" vertical="center"/>
    </xf>
    <xf numFmtId="0" fontId="159" fillId="5" borderId="49" xfId="0" applyFont="1" applyFill="1" applyBorder="1" applyAlignment="1">
      <alignment horizontal="left" vertical="center"/>
    </xf>
    <xf numFmtId="0" fontId="159" fillId="5" borderId="62" xfId="0" applyFont="1" applyFill="1" applyBorder="1" applyAlignment="1">
      <alignment horizontal="left" vertical="center"/>
    </xf>
    <xf numFmtId="0" fontId="159" fillId="5" borderId="34" xfId="0" applyFont="1" applyFill="1" applyBorder="1" applyAlignment="1">
      <alignment horizontal="left" vertical="center"/>
    </xf>
    <xf numFmtId="0" fontId="159" fillId="5" borderId="2" xfId="0" applyFont="1" applyFill="1" applyBorder="1" applyAlignment="1">
      <alignment horizontal="left" vertical="center"/>
    </xf>
    <xf numFmtId="9" fontId="159" fillId="5" borderId="2" xfId="0" applyNumberFormat="1" applyFont="1" applyFill="1" applyBorder="1" applyAlignment="1">
      <alignment horizontal="left" vertical="center"/>
    </xf>
    <xf numFmtId="0" fontId="195" fillId="5" borderId="22" xfId="0" applyFont="1" applyFill="1" applyBorder="1">
      <alignment vertical="center"/>
    </xf>
    <xf numFmtId="0" fontId="195" fillId="5" borderId="24" xfId="0" applyFont="1" applyFill="1" applyBorder="1">
      <alignment vertical="center"/>
    </xf>
    <xf numFmtId="0" fontId="147" fillId="5" borderId="22" xfId="0" applyFont="1" applyFill="1" applyBorder="1">
      <alignment vertical="center"/>
    </xf>
    <xf numFmtId="0" fontId="147" fillId="5" borderId="24" xfId="0" applyFont="1" applyFill="1" applyBorder="1">
      <alignment vertical="center"/>
    </xf>
    <xf numFmtId="0" fontId="198"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8"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78" fillId="5" borderId="11" xfId="0" applyFont="1" applyFill="1" applyBorder="1" applyAlignment="1">
      <alignment horizontal="left" vertical="center"/>
    </xf>
    <xf numFmtId="0" fontId="278" fillId="5" borderId="2" xfId="0" applyFont="1" applyFill="1" applyBorder="1" applyAlignment="1">
      <alignment horizontal="left" vertical="center"/>
    </xf>
    <xf numFmtId="0" fontId="278" fillId="5" borderId="12" xfId="0" applyFont="1" applyFill="1" applyBorder="1" applyAlignment="1">
      <alignment horizontal="left" vertical="center"/>
    </xf>
    <xf numFmtId="0" fontId="278" fillId="0" borderId="2" xfId="0" applyFont="1" applyBorder="1" applyAlignment="1" applyProtection="1">
      <alignment horizontal="left" vertical="center"/>
      <protection locked="0"/>
    </xf>
    <xf numFmtId="9" fontId="278" fillId="0" borderId="2" xfId="0" applyNumberFormat="1" applyFont="1" applyBorder="1" applyAlignment="1" applyProtection="1">
      <alignment horizontal="left" vertical="center"/>
      <protection locked="0"/>
    </xf>
    <xf numFmtId="0" fontId="278" fillId="5" borderId="11" xfId="0" applyFont="1" applyFill="1" applyBorder="1" applyAlignment="1" applyProtection="1">
      <alignment horizontal="left" vertical="center"/>
      <protection locked="0"/>
    </xf>
    <xf numFmtId="0" fontId="278" fillId="5" borderId="31" xfId="0" applyFont="1" applyFill="1" applyBorder="1" applyAlignment="1" applyProtection="1">
      <alignment horizontal="left" vertical="center"/>
      <protection locked="0"/>
    </xf>
    <xf numFmtId="0" fontId="278" fillId="5" borderId="0" xfId="0" applyFont="1" applyFill="1" applyAlignment="1" applyProtection="1">
      <alignment horizontal="left" vertical="center"/>
      <protection locked="0"/>
    </xf>
    <xf numFmtId="0" fontId="278" fillId="5" borderId="65" xfId="0" applyFont="1" applyFill="1" applyBorder="1" applyAlignment="1" applyProtection="1">
      <alignment horizontal="left" vertical="center"/>
      <protection locked="0"/>
    </xf>
    <xf numFmtId="0" fontId="278" fillId="5" borderId="31" xfId="0" applyFont="1" applyFill="1" applyBorder="1" applyAlignment="1">
      <alignment horizontal="left" vertical="center"/>
    </xf>
    <xf numFmtId="0" fontId="278" fillId="5" borderId="0" xfId="0" applyFont="1" applyFill="1" applyAlignment="1">
      <alignment horizontal="left" vertical="center"/>
    </xf>
    <xf numFmtId="0" fontId="278" fillId="5" borderId="65" xfId="0" applyFont="1" applyFill="1" applyBorder="1" applyAlignment="1">
      <alignment horizontal="left" vertical="center"/>
    </xf>
    <xf numFmtId="0" fontId="278" fillId="5" borderId="31" xfId="0" applyFont="1" applyFill="1" applyBorder="1" applyAlignment="1">
      <alignment horizontal="left"/>
    </xf>
    <xf numFmtId="0" fontId="278" fillId="5" borderId="0" xfId="0" applyFont="1" applyFill="1" applyAlignment="1">
      <alignment horizontal="left"/>
    </xf>
    <xf numFmtId="0" fontId="278" fillId="5" borderId="65" xfId="0" applyFont="1" applyFill="1" applyBorder="1" applyAlignment="1">
      <alignment horizontal="left"/>
    </xf>
    <xf numFmtId="0" fontId="278" fillId="5" borderId="11" xfId="0" applyFont="1" applyFill="1" applyBorder="1" applyAlignment="1">
      <alignment horizontal="left"/>
    </xf>
    <xf numFmtId="0" fontId="278" fillId="21" borderId="2" xfId="0" applyFont="1" applyFill="1" applyBorder="1" applyAlignment="1">
      <alignment horizontal="left"/>
    </xf>
    <xf numFmtId="0" fontId="278" fillId="5" borderId="2" xfId="0" applyFont="1" applyFill="1" applyBorder="1" applyAlignment="1">
      <alignment horizontal="left"/>
    </xf>
    <xf numFmtId="0" fontId="278" fillId="5" borderId="5" xfId="0" applyFont="1" applyFill="1" applyBorder="1" applyAlignment="1">
      <alignment horizontal="left"/>
    </xf>
    <xf numFmtId="0" fontId="278" fillId="5" borderId="8" xfId="0" applyFont="1" applyFill="1" applyBorder="1" applyAlignment="1">
      <alignment horizontal="left"/>
    </xf>
    <xf numFmtId="0" fontId="278" fillId="5" borderId="16" xfId="0" applyFont="1" applyFill="1" applyBorder="1" applyAlignment="1">
      <alignment horizontal="left"/>
    </xf>
    <xf numFmtId="9" fontId="278" fillId="5" borderId="2" xfId="0" applyNumberFormat="1" applyFont="1" applyFill="1" applyBorder="1" applyAlignment="1">
      <alignment horizontal="left"/>
    </xf>
    <xf numFmtId="0" fontId="278" fillId="5" borderId="43" xfId="0" applyFont="1" applyFill="1" applyBorder="1" applyAlignment="1">
      <alignment horizontal="left"/>
    </xf>
    <xf numFmtId="0" fontId="278" fillId="21" borderId="44" xfId="0" applyFont="1" applyFill="1" applyBorder="1" applyAlignment="1">
      <alignment horizontal="left"/>
    </xf>
    <xf numFmtId="0" fontId="278" fillId="5" borderId="44" xfId="0" applyFont="1" applyFill="1" applyBorder="1" applyAlignment="1">
      <alignment horizontal="left"/>
    </xf>
    <xf numFmtId="0" fontId="278" fillId="5" borderId="61" xfId="0" applyFont="1" applyFill="1" applyBorder="1" applyAlignment="1">
      <alignment horizontal="left"/>
    </xf>
    <xf numFmtId="0" fontId="278"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2"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0" fillId="0" borderId="0" xfId="5" applyNumberFormat="1" applyFont="1" applyAlignment="1">
      <alignment horizontal="left" vertical="center"/>
    </xf>
    <xf numFmtId="0" fontId="152" fillId="0" borderId="148" xfId="13" applyFont="1" applyBorder="1" applyAlignment="1">
      <alignment horizontal="left" vertical="center"/>
    </xf>
    <xf numFmtId="0" fontId="281"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29" fillId="0" borderId="0" xfId="13" applyFont="1">
      <alignment vertical="center"/>
    </xf>
    <xf numFmtId="0" fontId="152" fillId="0" borderId="0" xfId="13" applyFont="1">
      <alignment vertical="center"/>
    </xf>
    <xf numFmtId="0" fontId="152" fillId="23" borderId="0" xfId="13" applyFont="1" applyFill="1" applyAlignment="1">
      <alignment horizontal="left" vertical="center"/>
    </xf>
    <xf numFmtId="0" fontId="152" fillId="5" borderId="149" xfId="13" applyFont="1" applyFill="1" applyBorder="1" applyAlignment="1">
      <alignment horizontal="left" vertical="center"/>
    </xf>
    <xf numFmtId="0" fontId="152" fillId="5" borderId="148" xfId="13" applyFont="1" applyFill="1" applyBorder="1" applyAlignment="1">
      <alignment horizontal="left" vertical="center"/>
    </xf>
    <xf numFmtId="0" fontId="152" fillId="23" borderId="148" xfId="13" applyFont="1" applyFill="1" applyBorder="1" applyAlignment="1">
      <alignment horizontal="left" vertical="center"/>
    </xf>
    <xf numFmtId="0" fontId="275" fillId="15" borderId="122" xfId="13" applyFont="1" applyFill="1" applyBorder="1" applyAlignment="1">
      <alignment horizontal="left" vertical="center"/>
    </xf>
    <xf numFmtId="0" fontId="275" fillId="15" borderId="0" xfId="13" applyFont="1" applyFill="1" applyAlignment="1">
      <alignment horizontal="left" vertical="center"/>
    </xf>
    <xf numFmtId="0" fontId="275" fillId="23" borderId="0" xfId="13" applyFont="1" applyFill="1" applyAlignment="1">
      <alignment horizontal="left" vertical="center"/>
    </xf>
    <xf numFmtId="10" fontId="275" fillId="15" borderId="122" xfId="13" applyNumberFormat="1" applyFont="1" applyFill="1" applyBorder="1" applyAlignment="1">
      <alignment horizontal="left" vertical="center"/>
    </xf>
    <xf numFmtId="10" fontId="275" fillId="15" borderId="0" xfId="13" applyNumberFormat="1" applyFont="1" applyFill="1" applyAlignment="1">
      <alignment horizontal="left" vertical="center"/>
    </xf>
    <xf numFmtId="0" fontId="152" fillId="0" borderId="122" xfId="13" applyFont="1" applyBorder="1" applyAlignment="1">
      <alignment horizontal="left" vertical="center"/>
    </xf>
    <xf numFmtId="10" fontId="152" fillId="0" borderId="122" xfId="13" applyNumberFormat="1" applyFont="1" applyBorder="1" applyAlignment="1">
      <alignment horizontal="left" vertical="center"/>
    </xf>
    <xf numFmtId="10" fontId="152" fillId="0" borderId="0" xfId="13" applyNumberFormat="1" applyFont="1" applyAlignment="1">
      <alignment horizontal="left" vertical="center"/>
    </xf>
    <xf numFmtId="0" fontId="147" fillId="23" borderId="0" xfId="13" applyFont="1" applyFill="1" applyAlignment="1">
      <alignment horizontal="left" vertical="center"/>
    </xf>
    <xf numFmtId="10" fontId="147" fillId="0" borderId="122" xfId="13" applyNumberFormat="1" applyFont="1" applyBorder="1" applyAlignment="1">
      <alignment horizontal="left" vertical="center"/>
    </xf>
    <xf numFmtId="10" fontId="147" fillId="0" borderId="0" xfId="13" applyNumberFormat="1" applyFont="1" applyAlignment="1">
      <alignment horizontal="left" vertical="center"/>
    </xf>
    <xf numFmtId="0" fontId="152" fillId="22" borderId="0" xfId="13" applyFont="1" applyFill="1" applyAlignment="1">
      <alignment horizontal="left" vertical="center"/>
    </xf>
    <xf numFmtId="10" fontId="152" fillId="22" borderId="122" xfId="13" applyNumberFormat="1" applyFont="1" applyFill="1" applyBorder="1" applyAlignment="1">
      <alignment horizontal="left" vertical="center"/>
    </xf>
    <xf numFmtId="10" fontId="152" fillId="22" borderId="0" xfId="13" applyNumberFormat="1" applyFont="1" applyFill="1" applyAlignment="1">
      <alignment horizontal="left" vertical="center"/>
    </xf>
    <xf numFmtId="0" fontId="147" fillId="23" borderId="164" xfId="13" applyFont="1" applyFill="1" applyBorder="1" applyAlignment="1">
      <alignment horizontal="left" vertical="center"/>
    </xf>
    <xf numFmtId="10" fontId="147" fillId="16" borderId="165" xfId="13" applyNumberFormat="1" applyFont="1" applyFill="1" applyBorder="1" applyAlignment="1">
      <alignment horizontal="left" vertical="center"/>
    </xf>
    <xf numFmtId="10" fontId="147" fillId="16" borderId="164" xfId="13" applyNumberFormat="1" applyFont="1" applyFill="1" applyBorder="1" applyAlignment="1">
      <alignment horizontal="left" vertical="center"/>
    </xf>
    <xf numFmtId="0" fontId="256" fillId="15" borderId="0" xfId="13" applyFont="1" applyFill="1" applyAlignment="1">
      <alignment horizontal="left" vertical="center"/>
    </xf>
    <xf numFmtId="0" fontId="256" fillId="15" borderId="166" xfId="13" applyFont="1" applyFill="1" applyBorder="1" applyAlignment="1">
      <alignment horizontal="left" vertical="center"/>
    </xf>
    <xf numFmtId="0" fontId="147" fillId="0" borderId="0" xfId="13" applyFont="1" applyAlignment="1">
      <alignment horizontal="left" vertical="center"/>
    </xf>
    <xf numFmtId="0" fontId="147" fillId="0" borderId="166" xfId="13" applyFont="1" applyBorder="1" applyAlignment="1">
      <alignment horizontal="left" vertical="center"/>
    </xf>
    <xf numFmtId="0" fontId="147" fillId="0" borderId="167" xfId="13" applyFont="1" applyBorder="1" applyAlignment="1">
      <alignment horizontal="left" vertical="center"/>
    </xf>
    <xf numFmtId="0" fontId="147" fillId="0" borderId="168" xfId="13" applyFont="1" applyBorder="1" applyAlignment="1">
      <alignment horizontal="left" vertical="center"/>
    </xf>
    <xf numFmtId="0" fontId="147" fillId="16" borderId="164" xfId="13" applyFont="1" applyFill="1" applyBorder="1" applyAlignment="1">
      <alignment horizontal="left" vertical="center"/>
    </xf>
    <xf numFmtId="10" fontId="256" fillId="15" borderId="0" xfId="13" applyNumberFormat="1" applyFont="1" applyFill="1" applyAlignment="1">
      <alignment horizontal="left" vertical="center"/>
    </xf>
    <xf numFmtId="10" fontId="256" fillId="15" borderId="166" xfId="13" applyNumberFormat="1" applyFont="1" applyFill="1" applyBorder="1" applyAlignment="1">
      <alignment horizontal="left" vertical="center"/>
    </xf>
    <xf numFmtId="10" fontId="256" fillId="15" borderId="167" xfId="13" applyNumberFormat="1" applyFont="1" applyFill="1" applyBorder="1" applyAlignment="1">
      <alignment horizontal="left" vertical="center"/>
    </xf>
    <xf numFmtId="10" fontId="256" fillId="15" borderId="168" xfId="13" applyNumberFormat="1" applyFont="1" applyFill="1" applyBorder="1" applyAlignment="1">
      <alignment horizontal="left" vertical="center"/>
    </xf>
    <xf numFmtId="10" fontId="147" fillId="0" borderId="166" xfId="13" applyNumberFormat="1" applyFont="1" applyBorder="1" applyAlignment="1">
      <alignment horizontal="left" vertical="center"/>
    </xf>
    <xf numFmtId="10" fontId="147" fillId="0" borderId="167" xfId="13" applyNumberFormat="1" applyFont="1" applyBorder="1" applyAlignment="1">
      <alignment horizontal="left" vertical="center"/>
    </xf>
    <xf numFmtId="10" fontId="147" fillId="0" borderId="168" xfId="13" applyNumberFormat="1" applyFont="1" applyBorder="1" applyAlignment="1">
      <alignment horizontal="left" vertical="center"/>
    </xf>
    <xf numFmtId="10" fontId="152" fillId="22" borderId="166" xfId="13" applyNumberFormat="1" applyFont="1" applyFill="1" applyBorder="1" applyAlignment="1">
      <alignment horizontal="left" vertical="center"/>
    </xf>
    <xf numFmtId="10" fontId="152" fillId="22" borderId="167" xfId="13" applyNumberFormat="1" applyFont="1" applyFill="1" applyBorder="1" applyAlignment="1">
      <alignment horizontal="left" vertical="center"/>
    </xf>
    <xf numFmtId="10" fontId="152" fillId="22" borderId="168" xfId="13" applyNumberFormat="1" applyFont="1" applyFill="1" applyBorder="1" applyAlignment="1">
      <alignment horizontal="left" vertical="center"/>
    </xf>
    <xf numFmtId="10" fontId="147" fillId="16" borderId="169" xfId="13" applyNumberFormat="1" applyFont="1" applyFill="1" applyBorder="1" applyAlignment="1">
      <alignment horizontal="left" vertical="center"/>
    </xf>
    <xf numFmtId="10" fontId="147" fillId="16" borderId="170" xfId="13" applyNumberFormat="1" applyFont="1" applyFill="1" applyBorder="1" applyAlignment="1">
      <alignment horizontal="left" vertical="center"/>
    </xf>
    <xf numFmtId="10" fontId="147" fillId="16" borderId="171" xfId="13" applyNumberFormat="1" applyFont="1" applyFill="1" applyBorder="1" applyAlignment="1">
      <alignment horizontal="left" vertical="center"/>
    </xf>
    <xf numFmtId="14" fontId="0" fillId="5" borderId="0" xfId="0" applyNumberFormat="1" applyFill="1">
      <alignment vertical="center"/>
    </xf>
    <xf numFmtId="0" fontId="152" fillId="0" borderId="122" xfId="13" applyFont="1" applyBorder="1" applyAlignment="1" applyProtection="1">
      <alignment horizontal="left" vertical="center"/>
      <protection locked="0"/>
    </xf>
    <xf numFmtId="0" fontId="152" fillId="0" borderId="0" xfId="13" applyFont="1" applyAlignment="1" applyProtection="1">
      <alignment horizontal="left" vertical="center"/>
      <protection locked="0"/>
    </xf>
    <xf numFmtId="0" fontId="231" fillId="11" borderId="123" xfId="13" applyFont="1" applyFill="1" applyBorder="1" applyAlignment="1" applyProtection="1">
      <alignment horizontal="left" vertical="center" wrapText="1"/>
      <protection locked="0"/>
    </xf>
    <xf numFmtId="0" fontId="231" fillId="12" borderId="124" xfId="13" applyFont="1" applyFill="1" applyBorder="1" applyAlignment="1" applyProtection="1">
      <alignment horizontal="left" vertical="center" wrapText="1"/>
      <protection locked="0"/>
    </xf>
    <xf numFmtId="0" fontId="231" fillId="12" borderId="128" xfId="13" applyFont="1" applyFill="1" applyBorder="1" applyAlignment="1" applyProtection="1">
      <alignment horizontal="left" vertical="center" wrapText="1"/>
      <protection locked="0"/>
    </xf>
    <xf numFmtId="0" fontId="282" fillId="22" borderId="123" xfId="13" applyFont="1" applyFill="1" applyBorder="1" applyAlignment="1" applyProtection="1">
      <alignment horizontal="left" vertical="center" wrapText="1"/>
      <protection locked="0"/>
    </xf>
    <xf numFmtId="0" fontId="282" fillId="22" borderId="124" xfId="13" applyFont="1" applyFill="1" applyBorder="1" applyAlignment="1" applyProtection="1">
      <alignment horizontal="left" vertical="center" wrapText="1"/>
      <protection locked="0"/>
    </xf>
    <xf numFmtId="0" fontId="282" fillId="22" borderId="133" xfId="13" applyFont="1" applyFill="1" applyBorder="1" applyAlignment="1" applyProtection="1">
      <alignment horizontal="left" vertical="center" wrapText="1"/>
      <protection locked="0"/>
    </xf>
    <xf numFmtId="0" fontId="282" fillId="22" borderId="128" xfId="13" applyFont="1" applyFill="1" applyBorder="1" applyAlignment="1" applyProtection="1">
      <alignment horizontal="left" vertical="center" wrapText="1"/>
      <protection locked="0"/>
    </xf>
    <xf numFmtId="0" fontId="231" fillId="12" borderId="133" xfId="13" applyFont="1" applyFill="1" applyBorder="1" applyAlignment="1" applyProtection="1">
      <alignment horizontal="left" vertical="center" wrapText="1"/>
      <protection locked="0"/>
    </xf>
    <xf numFmtId="0" fontId="231" fillId="16" borderId="160" xfId="13" applyFont="1" applyFill="1" applyBorder="1" applyAlignment="1" applyProtection="1">
      <alignment horizontal="left" vertical="center" wrapText="1"/>
      <protection locked="0"/>
    </xf>
    <xf numFmtId="0" fontId="231" fillId="16" borderId="161" xfId="13" applyFont="1" applyFill="1" applyBorder="1" applyAlignment="1" applyProtection="1">
      <alignment horizontal="left" vertical="center" wrapText="1"/>
      <protection locked="0"/>
    </xf>
    <xf numFmtId="0" fontId="231" fillId="16" borderId="162" xfId="13" applyFont="1" applyFill="1" applyBorder="1" applyAlignment="1" applyProtection="1">
      <alignment horizontal="left" vertical="center" wrapText="1"/>
      <protection locked="0"/>
    </xf>
    <xf numFmtId="0" fontId="231" fillId="16" borderId="163" xfId="13" applyFont="1" applyFill="1" applyBorder="1" applyAlignment="1" applyProtection="1">
      <alignment horizontal="left" vertical="center" wrapText="1"/>
      <protection locked="0"/>
    </xf>
    <xf numFmtId="0" fontId="284" fillId="5" borderId="66" xfId="0" applyFont="1" applyFill="1" applyBorder="1" applyAlignment="1">
      <alignment horizontal="right" vertical="center"/>
    </xf>
    <xf numFmtId="0" fontId="285" fillId="5" borderId="28" xfId="0" applyFont="1" applyFill="1" applyBorder="1" applyAlignment="1">
      <alignment horizontal="left" vertical="center"/>
    </xf>
    <xf numFmtId="0" fontId="283" fillId="5" borderId="29" xfId="0" applyFont="1" applyFill="1" applyBorder="1" applyAlignment="1">
      <alignment horizontal="left" vertical="center"/>
    </xf>
    <xf numFmtId="0" fontId="283" fillId="5" borderId="44" xfId="0" applyFont="1" applyFill="1" applyBorder="1" applyAlignment="1">
      <alignment horizontal="left" vertical="center"/>
    </xf>
    <xf numFmtId="0" fontId="283" fillId="5" borderId="45" xfId="0" applyFont="1" applyFill="1" applyBorder="1" applyAlignment="1">
      <alignment horizontal="left" vertical="center"/>
    </xf>
    <xf numFmtId="0" fontId="284" fillId="5" borderId="61" xfId="0" applyFont="1" applyFill="1" applyBorder="1" applyAlignment="1">
      <alignment horizontal="left" vertical="center"/>
    </xf>
    <xf numFmtId="0" fontId="160" fillId="5" borderId="53" xfId="3" applyFont="1" applyFill="1" applyBorder="1" applyAlignment="1">
      <alignment horizontal="left" vertical="center" wrapText="1"/>
    </xf>
    <xf numFmtId="0" fontId="160" fillId="5" borderId="6" xfId="3" applyFont="1" applyFill="1" applyBorder="1" applyAlignment="1">
      <alignment horizontal="left" vertical="center" wrapText="1"/>
    </xf>
    <xf numFmtId="0" fontId="160" fillId="5" borderId="29"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60" fillId="5" borderId="17" xfId="3" applyFont="1" applyFill="1" applyBorder="1" applyAlignment="1">
      <alignment horizontal="left" vertical="center" wrapText="1"/>
    </xf>
    <xf numFmtId="0" fontId="160" fillId="5" borderId="55" xfId="3" applyFont="1" applyFill="1" applyBorder="1" applyAlignment="1">
      <alignment horizontal="left" vertical="center" wrapText="1"/>
    </xf>
    <xf numFmtId="0" fontId="160" fillId="5" borderId="44" xfId="3" applyFont="1" applyFill="1" applyBorder="1" applyAlignment="1">
      <alignment horizontal="left" vertical="center" wrapText="1"/>
    </xf>
    <xf numFmtId="0" fontId="160" fillId="5" borderId="45" xfId="3" applyFont="1" applyFill="1" applyBorder="1" applyAlignment="1">
      <alignment horizontal="left" vertical="center" wrapText="1"/>
    </xf>
    <xf numFmtId="0" fontId="155" fillId="5" borderId="45" xfId="3" applyFont="1" applyFill="1" applyBorder="1" applyAlignment="1">
      <alignment horizontal="left" vertical="center"/>
    </xf>
    <xf numFmtId="0" fontId="160" fillId="5" borderId="5" xfId="3" applyFont="1" applyFill="1" applyBorder="1" applyAlignment="1">
      <alignment horizontal="left" vertical="center" wrapText="1"/>
    </xf>
    <xf numFmtId="0" fontId="155" fillId="5" borderId="5" xfId="3" applyFont="1" applyFill="1" applyBorder="1" applyAlignment="1">
      <alignment horizontal="left" vertical="center"/>
    </xf>
    <xf numFmtId="0" fontId="140" fillId="5" borderId="5" xfId="3" applyFill="1" applyBorder="1" applyAlignment="1">
      <alignment horizontal="left" vertical="center"/>
    </xf>
    <xf numFmtId="0" fontId="140" fillId="5" borderId="2" xfId="3" applyFill="1" applyBorder="1" applyAlignment="1">
      <alignment horizontal="left" vertical="center"/>
    </xf>
    <xf numFmtId="0" fontId="140" fillId="5" borderId="0" xfId="3" applyFill="1" applyAlignment="1">
      <alignment horizontal="left" vertical="center"/>
    </xf>
    <xf numFmtId="0" fontId="160" fillId="5" borderId="4" xfId="3" applyFont="1" applyFill="1" applyBorder="1" applyAlignment="1">
      <alignment horizontal="left" vertical="center" wrapText="1"/>
    </xf>
    <xf numFmtId="0" fontId="155" fillId="5" borderId="4" xfId="3" applyFont="1" applyFill="1" applyBorder="1" applyAlignment="1">
      <alignment horizontal="left" vertical="center"/>
    </xf>
    <xf numFmtId="0" fontId="160" fillId="5" borderId="12" xfId="3" applyFont="1" applyFill="1" applyBorder="1" applyAlignment="1">
      <alignment horizontal="left" vertical="center" wrapText="1"/>
    </xf>
    <xf numFmtId="0" fontId="160" fillId="5" borderId="24" xfId="3" applyFont="1" applyFill="1" applyBorder="1" applyAlignment="1">
      <alignment horizontal="left" vertical="center" wrapText="1"/>
    </xf>
    <xf numFmtId="0" fontId="160" fillId="5" borderId="43" xfId="3" applyFont="1" applyFill="1" applyBorder="1" applyAlignment="1">
      <alignment horizontal="left" vertical="center" wrapText="1"/>
    </xf>
    <xf numFmtId="0" fontId="160" fillId="5" borderId="46" xfId="3" applyFont="1" applyFill="1" applyBorder="1" applyAlignment="1">
      <alignment horizontal="left" vertical="center" wrapText="1"/>
    </xf>
    <xf numFmtId="0" fontId="140" fillId="5" borderId="17" xfId="3" applyFill="1" applyBorder="1" applyAlignment="1">
      <alignment horizontal="left" vertical="center"/>
    </xf>
    <xf numFmtId="0" fontId="140" fillId="5" borderId="4" xfId="3" applyFill="1" applyBorder="1" applyAlignment="1">
      <alignment horizontal="left" vertical="center"/>
    </xf>
    <xf numFmtId="0" fontId="140" fillId="5" borderId="46" xfId="3" applyFill="1" applyBorder="1" applyAlignment="1">
      <alignment horizontal="left" vertical="center"/>
    </xf>
    <xf numFmtId="0" fontId="160" fillId="5" borderId="11" xfId="3" applyFont="1" applyFill="1" applyBorder="1" applyAlignment="1">
      <alignment horizontal="left" vertical="center" wrapText="1"/>
    </xf>
    <xf numFmtId="0" fontId="140" fillId="5" borderId="12" xfId="3" applyFill="1" applyBorder="1" applyAlignment="1">
      <alignment horizontal="left" vertical="center"/>
    </xf>
    <xf numFmtId="0" fontId="160" fillId="5" borderId="13" xfId="3" applyFont="1" applyFill="1" applyBorder="1" applyAlignment="1">
      <alignment horizontal="left" vertical="center" wrapText="1"/>
    </xf>
    <xf numFmtId="0" fontId="140" fillId="5" borderId="44" xfId="3" applyFill="1" applyBorder="1" applyAlignment="1">
      <alignment horizontal="left" vertical="center"/>
    </xf>
    <xf numFmtId="0" fontId="140" fillId="5" borderId="10" xfId="3" applyFill="1" applyBorder="1" applyAlignment="1">
      <alignment horizontal="left" vertical="center"/>
    </xf>
    <xf numFmtId="0" fontId="140" fillId="5" borderId="1" xfId="3" applyFill="1" applyBorder="1" applyAlignment="1">
      <alignment horizontal="left" vertical="center"/>
    </xf>
    <xf numFmtId="0" fontId="140" fillId="5" borderId="6" xfId="3" applyFill="1" applyBorder="1" applyAlignment="1">
      <alignment horizontal="left" vertical="center"/>
    </xf>
    <xf numFmtId="0" fontId="140" fillId="5" borderId="7" xfId="3" applyFill="1" applyBorder="1" applyAlignment="1">
      <alignment horizontal="left" vertical="center"/>
    </xf>
    <xf numFmtId="0" fontId="140" fillId="5" borderId="11" xfId="3" applyFill="1" applyBorder="1" applyAlignment="1">
      <alignment horizontal="left" vertical="center"/>
    </xf>
    <xf numFmtId="0" fontId="140" fillId="5" borderId="43" xfId="3" applyFill="1" applyBorder="1" applyAlignment="1">
      <alignment horizontal="left" vertical="center"/>
    </xf>
    <xf numFmtId="0" fontId="140" fillId="5" borderId="22" xfId="3" applyFill="1" applyBorder="1" applyAlignment="1">
      <alignment horizontal="left" vertical="center"/>
    </xf>
    <xf numFmtId="0" fontId="140" fillId="5" borderId="25" xfId="3" applyFill="1" applyBorder="1" applyAlignment="1">
      <alignment horizontal="left" vertical="center"/>
    </xf>
    <xf numFmtId="0" fontId="140" fillId="5" borderId="53" xfId="3" applyFill="1" applyBorder="1" applyAlignment="1">
      <alignment horizontal="left" vertical="center"/>
    </xf>
    <xf numFmtId="0" fontId="140" fillId="5" borderId="27" xfId="3" applyFill="1" applyBorder="1" applyAlignment="1">
      <alignment horizontal="left" vertical="center"/>
    </xf>
    <xf numFmtId="0" fontId="140" fillId="5" borderId="41" xfId="3" applyFill="1" applyBorder="1" applyAlignment="1">
      <alignment horizontal="left" vertical="center"/>
    </xf>
    <xf numFmtId="0" fontId="140" fillId="5" borderId="31" xfId="3" applyFill="1" applyBorder="1" applyAlignment="1">
      <alignment horizontal="left" vertical="center"/>
    </xf>
    <xf numFmtId="0" fontId="160" fillId="5" borderId="9" xfId="3" applyFont="1" applyFill="1" applyBorder="1" applyAlignment="1">
      <alignment horizontal="left" vertical="center" wrapText="1"/>
    </xf>
    <xf numFmtId="0" fontId="160" fillId="5" borderId="20" xfId="3" applyFont="1" applyFill="1" applyBorder="1" applyAlignment="1">
      <alignment horizontal="left" vertical="center" wrapText="1"/>
    </xf>
    <xf numFmtId="0" fontId="205" fillId="5" borderId="13" xfId="0" applyFont="1" applyFill="1" applyBorder="1" applyAlignment="1">
      <alignment horizontal="left" vertical="center" wrapText="1"/>
    </xf>
    <xf numFmtId="0" fontId="0" fillId="5" borderId="0" xfId="0" applyFill="1" applyAlignment="1">
      <alignment horizontal="left" vertical="center"/>
    </xf>
    <xf numFmtId="0" fontId="194" fillId="5" borderId="0" xfId="0" applyFont="1" applyFill="1" applyAlignment="1">
      <alignment horizontal="left" vertical="center"/>
    </xf>
    <xf numFmtId="0" fontId="161" fillId="5" borderId="40" xfId="0" applyFont="1" applyFill="1" applyBorder="1" applyAlignment="1">
      <alignment horizontal="left" vertical="center"/>
    </xf>
    <xf numFmtId="0" fontId="161" fillId="5" borderId="53" xfId="0" applyFont="1" applyFill="1" applyBorder="1" applyAlignment="1">
      <alignment horizontal="left" vertical="center" wrapText="1"/>
    </xf>
    <xf numFmtId="0" fontId="161" fillId="5" borderId="10" xfId="0" applyFont="1" applyFill="1" applyBorder="1" applyAlignment="1">
      <alignment horizontal="left" vertical="center"/>
    </xf>
    <xf numFmtId="0" fontId="160" fillId="5" borderId="1" xfId="0" applyFont="1" applyFill="1" applyBorder="1" applyAlignment="1">
      <alignment horizontal="left" vertical="center" wrapText="1"/>
    </xf>
    <xf numFmtId="0" fontId="286" fillId="5" borderId="6" xfId="0" applyFont="1" applyFill="1" applyBorder="1" applyAlignment="1">
      <alignment horizontal="left" vertical="center" wrapText="1"/>
    </xf>
    <xf numFmtId="10" fontId="287" fillId="5" borderId="6" xfId="0" applyNumberFormat="1" applyFont="1" applyFill="1" applyBorder="1" applyAlignment="1">
      <alignment horizontal="left" vertical="center" wrapText="1"/>
    </xf>
    <xf numFmtId="10" fontId="287" fillId="5" borderId="7" xfId="0" applyNumberFormat="1" applyFont="1" applyFill="1" applyBorder="1" applyAlignment="1">
      <alignment horizontal="left" vertical="center" wrapText="1"/>
    </xf>
    <xf numFmtId="0" fontId="160" fillId="5" borderId="11" xfId="0" applyFont="1" applyFill="1" applyBorder="1" applyAlignment="1">
      <alignment horizontal="left" vertical="center" wrapText="1"/>
    </xf>
    <xf numFmtId="0" fontId="286" fillId="5" borderId="2" xfId="0" applyFont="1" applyFill="1" applyBorder="1" applyAlignment="1">
      <alignment horizontal="left" vertical="center" wrapText="1"/>
    </xf>
    <xf numFmtId="10" fontId="287" fillId="5" borderId="2" xfId="0" applyNumberFormat="1" applyFont="1" applyFill="1" applyBorder="1" applyAlignment="1">
      <alignment horizontal="left" vertical="center" wrapText="1"/>
    </xf>
    <xf numFmtId="10" fontId="287" fillId="5" borderId="12" xfId="0" applyNumberFormat="1" applyFont="1" applyFill="1" applyBorder="1" applyAlignment="1">
      <alignment horizontal="left" vertical="center" wrapText="1"/>
    </xf>
    <xf numFmtId="0" fontId="160" fillId="5" borderId="22" xfId="0" applyFont="1" applyFill="1" applyBorder="1" applyAlignment="1">
      <alignment horizontal="left" vertical="center" wrapText="1"/>
    </xf>
    <xf numFmtId="0" fontId="286" fillId="5" borderId="10" xfId="0" applyFont="1" applyFill="1" applyBorder="1" applyAlignment="1">
      <alignment horizontal="left" vertical="center" wrapText="1"/>
    </xf>
    <xf numFmtId="10" fontId="287"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7" fillId="5" borderId="25" xfId="0" applyNumberFormat="1" applyFont="1" applyFill="1" applyBorder="1" applyAlignment="1">
      <alignment horizontal="left" vertical="center" wrapText="1"/>
    </xf>
    <xf numFmtId="0" fontId="288" fillId="5" borderId="2" xfId="0" applyFont="1" applyFill="1" applyBorder="1" applyAlignment="1">
      <alignment horizontal="left" vertical="center" wrapText="1"/>
    </xf>
    <xf numFmtId="0" fontId="288" fillId="5" borderId="10" xfId="0" applyFont="1" applyFill="1" applyBorder="1" applyAlignment="1">
      <alignment horizontal="left" vertical="center" wrapText="1"/>
    </xf>
    <xf numFmtId="0" fontId="286" fillId="5" borderId="1" xfId="0" applyFont="1" applyFill="1" applyBorder="1" applyAlignment="1">
      <alignment horizontal="left" vertical="center" wrapText="1"/>
    </xf>
    <xf numFmtId="0" fontId="286"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6" fillId="5" borderId="22" xfId="0" applyFont="1" applyFill="1" applyBorder="1" applyAlignment="1">
      <alignment horizontal="left" vertical="center" wrapText="1"/>
    </xf>
    <xf numFmtId="10" fontId="147"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7" fillId="5" borderId="2" xfId="0" applyNumberFormat="1" applyFont="1" applyFill="1" applyBorder="1" applyAlignment="1">
      <alignment horizontal="left" vertical="center" wrapText="1"/>
    </xf>
    <xf numFmtId="10" fontId="147" fillId="5" borderId="12" xfId="0" applyNumberFormat="1" applyFont="1" applyFill="1" applyBorder="1" applyAlignment="1">
      <alignment horizontal="left" vertical="center" wrapText="1"/>
    </xf>
    <xf numFmtId="10" fontId="147" fillId="5" borderId="25" xfId="0" applyNumberFormat="1" applyFont="1" applyFill="1" applyBorder="1" applyAlignment="1">
      <alignment horizontal="left" vertical="center" wrapText="1"/>
    </xf>
    <xf numFmtId="195" fontId="286" fillId="5" borderId="2" xfId="17" applyFont="1" applyFill="1" applyBorder="1" applyAlignment="1">
      <alignment horizontal="left" vertical="center" wrapText="1"/>
    </xf>
    <xf numFmtId="0" fontId="286" fillId="5" borderId="43" xfId="0" applyFont="1" applyFill="1" applyBorder="1" applyAlignment="1">
      <alignment horizontal="left" vertical="center" wrapText="1"/>
    </xf>
    <xf numFmtId="0" fontId="286" fillId="5" borderId="44" xfId="0" applyFont="1" applyFill="1" applyBorder="1" applyAlignment="1">
      <alignment horizontal="left" vertical="center" wrapText="1"/>
    </xf>
    <xf numFmtId="10" fontId="287" fillId="5" borderId="44" xfId="0" applyNumberFormat="1" applyFont="1" applyFill="1" applyBorder="1" applyAlignment="1">
      <alignment horizontal="left" vertical="center" wrapText="1"/>
    </xf>
    <xf numFmtId="10" fontId="287" fillId="5" borderId="46" xfId="0" applyNumberFormat="1" applyFont="1" applyFill="1" applyBorder="1" applyAlignment="1">
      <alignment horizontal="left" vertical="center" wrapText="1"/>
    </xf>
    <xf numFmtId="0" fontId="289" fillId="0" borderId="0" xfId="0" applyFont="1" applyAlignment="1">
      <alignment horizontal="left" vertical="center"/>
    </xf>
    <xf numFmtId="0" fontId="140" fillId="0" borderId="0" xfId="0" applyFont="1" applyAlignment="1">
      <alignment horizontal="right" vertical="center"/>
    </xf>
    <xf numFmtId="0" fontId="290" fillId="0" borderId="2" xfId="0" applyFont="1" applyBorder="1" applyAlignment="1">
      <alignment horizontal="left" vertical="center"/>
    </xf>
    <xf numFmtId="0" fontId="290" fillId="0" borderId="2" xfId="0" applyFont="1" applyBorder="1" applyAlignment="1">
      <alignment horizontal="left" vertical="center" wrapText="1"/>
    </xf>
    <xf numFmtId="0" fontId="291" fillId="0" borderId="2" xfId="0" applyFont="1" applyBorder="1" applyAlignment="1">
      <alignment horizontal="left" vertical="center"/>
    </xf>
    <xf numFmtId="0" fontId="292"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3" fillId="5" borderId="19" xfId="0" applyFont="1" applyFill="1" applyBorder="1" applyAlignment="1">
      <alignment horizontal="left" vertical="center"/>
    </xf>
    <xf numFmtId="0" fontId="153"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79"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6"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4"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0" fillId="6" borderId="9" xfId="3" applyFont="1" applyFill="1" applyBorder="1" applyAlignment="1" applyProtection="1">
      <alignment horizontal="left" vertical="center" wrapText="1"/>
      <protection locked="0"/>
    </xf>
    <xf numFmtId="0" fontId="160" fillId="6" borderId="2" xfId="3" applyFont="1" applyFill="1" applyBorder="1" applyAlignment="1" applyProtection="1">
      <alignment horizontal="left" vertical="center" wrapText="1"/>
      <protection locked="0"/>
    </xf>
    <xf numFmtId="0" fontId="160" fillId="6" borderId="21" xfId="3" applyFont="1" applyFill="1" applyBorder="1" applyAlignment="1" applyProtection="1">
      <alignment horizontal="left" vertical="center" wrapText="1"/>
      <protection locked="0"/>
    </xf>
    <xf numFmtId="49" fontId="154" fillId="5" borderId="23" xfId="0" applyNumberFormat="1" applyFont="1" applyFill="1" applyBorder="1" applyAlignment="1">
      <alignment horizontal="left" vertical="center" wrapText="1"/>
    </xf>
    <xf numFmtId="49" fontId="216" fillId="5" borderId="1" xfId="0" applyNumberFormat="1" applyFont="1" applyFill="1" applyBorder="1" applyAlignment="1">
      <alignment horizontal="center" vertical="center" wrapText="1"/>
    </xf>
    <xf numFmtId="0" fontId="216"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7" fillId="5" borderId="9" xfId="0" applyFont="1" applyFill="1" applyBorder="1" applyAlignment="1">
      <alignment horizontal="center" vertical="center" wrapText="1"/>
    </xf>
    <xf numFmtId="0" fontId="195" fillId="5" borderId="11" xfId="0" applyFont="1" applyFill="1" applyBorder="1" applyAlignment="1">
      <alignment horizontal="left" vertical="center" wrapText="1"/>
    </xf>
    <xf numFmtId="0" fontId="199" fillId="5" borderId="59" xfId="0" applyFont="1" applyFill="1" applyBorder="1" applyAlignment="1">
      <alignment horizontal="left" vertical="center"/>
    </xf>
    <xf numFmtId="0" fontId="147" fillId="5" borderId="2" xfId="0" applyFont="1" applyFill="1" applyBorder="1" applyAlignment="1">
      <alignment horizontal="left" vertical="center" wrapText="1"/>
    </xf>
    <xf numFmtId="0" fontId="153" fillId="5" borderId="2" xfId="0" applyFont="1" applyFill="1" applyBorder="1" applyAlignment="1">
      <alignment horizontal="left" vertical="center" wrapText="1"/>
    </xf>
    <xf numFmtId="0" fontId="147" fillId="0" borderId="2" xfId="0" applyFont="1" applyBorder="1" applyAlignment="1" applyProtection="1">
      <alignment horizontal="left" vertical="center" wrapText="1"/>
      <protection locked="0"/>
    </xf>
    <xf numFmtId="9" fontId="147" fillId="5" borderId="2" xfId="16" applyFont="1" applyFill="1" applyBorder="1" applyAlignment="1" applyProtection="1">
      <alignment horizontal="left" vertical="center" wrapText="1"/>
    </xf>
    <xf numFmtId="0" fontId="256" fillId="0" borderId="2" xfId="0" applyFont="1" applyBorder="1" applyAlignment="1" applyProtection="1">
      <alignment horizontal="left" vertical="center" wrapText="1"/>
      <protection locked="0"/>
    </xf>
    <xf numFmtId="9" fontId="147" fillId="5" borderId="44" xfId="16" applyFont="1" applyFill="1" applyBorder="1" applyAlignment="1" applyProtection="1">
      <alignment horizontal="left" vertical="center" wrapText="1"/>
    </xf>
    <xf numFmtId="0" fontId="198" fillId="5" borderId="0" xfId="3" applyFont="1" applyFill="1" applyAlignment="1">
      <alignment horizontal="left" vertical="center"/>
    </xf>
    <xf numFmtId="0" fontId="140" fillId="5" borderId="0" xfId="3" applyFill="1" applyAlignment="1">
      <alignment horizontal="left" vertical="center" wrapText="1"/>
    </xf>
    <xf numFmtId="0" fontId="154" fillId="5" borderId="0" xfId="3" applyFont="1" applyFill="1" applyAlignment="1">
      <alignment horizontal="left" vertical="center"/>
    </xf>
    <xf numFmtId="0" fontId="144" fillId="5" borderId="0" xfId="3" applyFont="1" applyFill="1" applyAlignment="1">
      <alignment horizontal="left" vertical="center"/>
    </xf>
    <xf numFmtId="0" fontId="39" fillId="8" borderId="0" xfId="3" applyFont="1" applyFill="1" applyAlignment="1">
      <alignment horizontal="left" vertical="center" wrapText="1"/>
    </xf>
    <xf numFmtId="0" fontId="198" fillId="5" borderId="59" xfId="3" applyFont="1" applyFill="1" applyBorder="1" applyAlignment="1">
      <alignment horizontal="left" vertical="center"/>
    </xf>
    <xf numFmtId="0" fontId="154" fillId="5" borderId="28" xfId="3" applyFont="1" applyFill="1" applyBorder="1" applyAlignment="1">
      <alignment horizontal="left" vertical="center"/>
    </xf>
    <xf numFmtId="0" fontId="199" fillId="5" borderId="30" xfId="3" applyFont="1" applyFill="1" applyBorder="1" applyAlignment="1">
      <alignment horizontal="left" vertical="center"/>
    </xf>
    <xf numFmtId="0" fontId="199" fillId="5" borderId="57" xfId="3" applyFont="1" applyFill="1" applyBorder="1" applyAlignment="1">
      <alignment horizontal="left" vertical="center"/>
    </xf>
    <xf numFmtId="0" fontId="159" fillId="5" borderId="11"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58" fillId="5" borderId="2" xfId="3" applyFont="1" applyFill="1" applyBorder="1" applyAlignment="1">
      <alignment horizontal="left" vertical="center" wrapText="1"/>
    </xf>
    <xf numFmtId="0" fontId="147"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5"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59" fillId="5" borderId="2" xfId="3" applyNumberFormat="1" applyFont="1" applyFill="1" applyBorder="1" applyAlignment="1">
      <alignment horizontal="left" vertical="center" wrapText="1"/>
    </xf>
    <xf numFmtId="0" fontId="158" fillId="6" borderId="2" xfId="3" applyFont="1" applyFill="1" applyBorder="1" applyAlignment="1" applyProtection="1">
      <alignment horizontal="left" vertical="center" wrapText="1"/>
      <protection locked="0"/>
    </xf>
    <xf numFmtId="10" fontId="147"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4" fillId="0" borderId="2" xfId="3" applyNumberFormat="1" applyFont="1" applyBorder="1" applyAlignment="1" applyProtection="1">
      <alignment horizontal="left" vertical="center"/>
      <protection locked="0"/>
    </xf>
    <xf numFmtId="10" fontId="144"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0" fillId="0" borderId="2" xfId="0" applyFont="1" applyBorder="1" applyAlignment="1" applyProtection="1">
      <alignment horizontal="left" vertical="center" wrapText="1"/>
      <protection locked="0"/>
    </xf>
    <xf numFmtId="0" fontId="260" fillId="0" borderId="10" xfId="0" applyFont="1" applyBorder="1" applyAlignment="1" applyProtection="1">
      <alignment horizontal="left" vertical="center" wrapText="1"/>
      <protection locked="0"/>
    </xf>
    <xf numFmtId="0" fontId="159" fillId="5" borderId="64" xfId="3" applyFont="1" applyFill="1" applyBorder="1" applyAlignment="1">
      <alignment horizontal="left" vertical="center" wrapText="1"/>
    </xf>
    <xf numFmtId="0" fontId="159" fillId="5" borderId="10" xfId="3" applyFont="1" applyFill="1" applyBorder="1" applyAlignment="1">
      <alignment horizontal="left" vertical="center" wrapText="1"/>
    </xf>
    <xf numFmtId="0" fontId="159" fillId="5" borderId="43" xfId="3" applyFont="1" applyFill="1" applyBorder="1" applyAlignment="1">
      <alignment horizontal="left" vertical="center" wrapText="1"/>
    </xf>
    <xf numFmtId="49" fontId="159"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0" fillId="5" borderId="30" xfId="3" applyFont="1" applyFill="1" applyBorder="1" applyAlignment="1">
      <alignment horizontal="left" vertical="center"/>
    </xf>
    <xf numFmtId="49" fontId="159" fillId="5" borderId="44" xfId="3" applyNumberFormat="1" applyFont="1" applyFill="1" applyBorder="1" applyAlignment="1">
      <alignment horizontal="left" vertical="center" wrapText="1"/>
    </xf>
    <xf numFmtId="0" fontId="158" fillId="6" borderId="2" xfId="0" applyFont="1" applyFill="1" applyBorder="1" applyAlignment="1" applyProtection="1">
      <alignment horizontal="left" vertical="center" wrapText="1"/>
      <protection locked="0"/>
    </xf>
    <xf numFmtId="10" fontId="144" fillId="0" borderId="2" xfId="0" applyNumberFormat="1" applyFont="1" applyBorder="1" applyAlignment="1" applyProtection="1">
      <alignment horizontal="left" vertical="center"/>
      <protection locked="0"/>
    </xf>
    <xf numFmtId="10" fontId="144"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59" fillId="0" borderId="44" xfId="3" applyFont="1" applyBorder="1" applyAlignment="1" applyProtection="1">
      <alignment horizontal="left" vertical="center" wrapText="1"/>
      <protection locked="0"/>
    </xf>
    <xf numFmtId="0" fontId="159" fillId="5" borderId="44" xfId="3" applyFont="1" applyFill="1" applyBorder="1" applyAlignment="1">
      <alignment horizontal="left" vertical="center" wrapText="1"/>
    </xf>
    <xf numFmtId="0" fontId="158" fillId="6" borderId="0" xfId="3" applyFont="1" applyFill="1" applyAlignment="1" applyProtection="1">
      <alignment horizontal="left" vertical="center" wrapText="1"/>
      <protection locked="0"/>
    </xf>
    <xf numFmtId="10" fontId="147"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4" fillId="0" borderId="0" xfId="3" applyNumberFormat="1" applyFont="1" applyAlignment="1" applyProtection="1">
      <alignment horizontal="left" vertical="center"/>
      <protection locked="0"/>
    </xf>
    <xf numFmtId="10" fontId="144" fillId="5" borderId="0" xfId="3" applyNumberFormat="1" applyFont="1" applyFill="1" applyAlignment="1">
      <alignment horizontal="left" vertical="center"/>
    </xf>
    <xf numFmtId="9" fontId="147"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5" fillId="5" borderId="2" xfId="0" applyFont="1" applyFill="1" applyBorder="1" applyAlignment="1">
      <alignment horizontal="left" vertical="center" wrapText="1"/>
    </xf>
    <xf numFmtId="0" fontId="205"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3" fillId="5" borderId="12" xfId="0" applyFont="1" applyFill="1" applyBorder="1" applyAlignment="1">
      <alignment horizontal="left" vertical="center" wrapText="1"/>
    </xf>
    <xf numFmtId="0" fontId="153" fillId="5" borderId="44" xfId="0" applyFont="1" applyFill="1" applyBorder="1" applyAlignment="1">
      <alignment horizontal="left" vertical="center" wrapText="1"/>
    </xf>
    <xf numFmtId="0" fontId="153"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1" fillId="5" borderId="28" xfId="3" applyNumberFormat="1" applyFont="1" applyFill="1" applyBorder="1" applyAlignment="1">
      <alignment horizontal="left" vertical="center" wrapText="1"/>
    </xf>
    <xf numFmtId="0" fontId="147" fillId="5" borderId="0" xfId="0" applyFont="1" applyFill="1" applyAlignment="1">
      <alignment horizontal="left" vertical="center" wrapText="1"/>
    </xf>
    <xf numFmtId="0" fontId="159" fillId="5" borderId="0" xfId="3" applyFont="1" applyFill="1" applyAlignment="1">
      <alignment horizontal="left" vertical="center" wrapText="1"/>
    </xf>
    <xf numFmtId="10" fontId="144" fillId="0" borderId="0" xfId="0" applyNumberFormat="1" applyFont="1" applyAlignment="1" applyProtection="1">
      <alignment horizontal="left" vertical="center"/>
      <protection locked="0"/>
    </xf>
    <xf numFmtId="9" fontId="147"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5" fillId="0" borderId="0" xfId="13" applyFont="1">
      <alignment vertical="center"/>
    </xf>
    <xf numFmtId="49" fontId="82" fillId="5" borderId="2" xfId="13" applyNumberFormat="1" applyFont="1" applyFill="1" applyBorder="1" applyAlignment="1">
      <alignment horizontal="left" vertical="center" wrapText="1"/>
    </xf>
    <xf numFmtId="0" fontId="297" fillId="9" borderId="0" xfId="0" applyFont="1" applyFill="1">
      <alignment vertical="center"/>
    </xf>
    <xf numFmtId="0" fontId="298" fillId="8" borderId="0" xfId="0" applyFont="1" applyFill="1" applyAlignment="1">
      <alignment horizontal="left" vertical="center"/>
    </xf>
    <xf numFmtId="0" fontId="298" fillId="8" borderId="0" xfId="0" applyFont="1" applyFill="1">
      <alignment vertical="center"/>
    </xf>
    <xf numFmtId="9" fontId="298" fillId="8" borderId="0" xfId="0" applyNumberFormat="1" applyFont="1" applyFill="1">
      <alignment vertical="center"/>
    </xf>
    <xf numFmtId="0" fontId="298" fillId="8" borderId="0" xfId="0" applyFont="1" applyFill="1" applyAlignment="1">
      <alignment horizontal="right" vertical="center"/>
    </xf>
    <xf numFmtId="0" fontId="297" fillId="15" borderId="0" xfId="0" applyFont="1" applyFill="1" applyAlignment="1">
      <alignment horizontal="left" vertical="center"/>
    </xf>
    <xf numFmtId="0" fontId="297" fillId="15" borderId="0" xfId="0" applyFont="1" applyFill="1" applyAlignment="1">
      <alignment horizontal="right" vertical="center"/>
    </xf>
    <xf numFmtId="0" fontId="297" fillId="15" borderId="0" xfId="0" applyFont="1" applyFill="1" applyAlignment="1">
      <alignment horizontal="center" vertical="center"/>
    </xf>
    <xf numFmtId="10" fontId="297" fillId="15" borderId="0" xfId="0" applyNumberFormat="1" applyFont="1" applyFill="1" applyAlignment="1">
      <alignment horizontal="center" vertical="center"/>
    </xf>
    <xf numFmtId="0" fontId="297" fillId="15" borderId="0" xfId="0" applyFont="1" applyFill="1">
      <alignment vertical="center"/>
    </xf>
    <xf numFmtId="10" fontId="298" fillId="8" borderId="0" xfId="0" applyNumberFormat="1" applyFont="1" applyFill="1">
      <alignment vertical="center"/>
    </xf>
    <xf numFmtId="10" fontId="297" fillId="15" borderId="0" xfId="0" applyNumberFormat="1" applyFont="1" applyFill="1">
      <alignment vertical="center"/>
    </xf>
    <xf numFmtId="0" fontId="298" fillId="0" borderId="61" xfId="18" applyFont="1" applyBorder="1" applyAlignment="1">
      <alignment horizontal="left" vertical="center"/>
    </xf>
    <xf numFmtId="0" fontId="298" fillId="24" borderId="61" xfId="18" applyFont="1" applyFill="1" applyBorder="1" applyAlignment="1">
      <alignment horizontal="left" vertical="center"/>
    </xf>
    <xf numFmtId="9" fontId="298" fillId="24" borderId="61" xfId="18" applyNumberFormat="1" applyFont="1" applyFill="1" applyBorder="1" applyAlignment="1">
      <alignment horizontal="left" vertical="center"/>
    </xf>
    <xf numFmtId="10" fontId="298" fillId="24" borderId="61" xfId="18" applyNumberFormat="1" applyFont="1" applyFill="1" applyBorder="1" applyAlignment="1">
      <alignment horizontal="left" vertical="center"/>
    </xf>
    <xf numFmtId="0" fontId="298" fillId="25" borderId="61" xfId="18" applyFont="1" applyFill="1" applyBorder="1" applyAlignment="1">
      <alignment horizontal="left" vertical="center"/>
    </xf>
    <xf numFmtId="0" fontId="298" fillId="14" borderId="61" xfId="18" applyFont="1" applyFill="1" applyBorder="1" applyAlignment="1">
      <alignment horizontal="left" vertical="center"/>
    </xf>
    <xf numFmtId="0" fontId="298" fillId="0" borderId="0" xfId="18" applyFont="1" applyAlignment="1">
      <alignment vertical="center"/>
    </xf>
    <xf numFmtId="14" fontId="298" fillId="0" borderId="0" xfId="18" applyNumberFormat="1" applyFont="1" applyAlignment="1">
      <alignment vertical="center"/>
    </xf>
    <xf numFmtId="0" fontId="298" fillId="24" borderId="0" xfId="18" applyFont="1" applyFill="1" applyAlignment="1">
      <alignment vertical="center"/>
    </xf>
    <xf numFmtId="1" fontId="298" fillId="24" borderId="0" xfId="18" applyNumberFormat="1" applyFont="1" applyFill="1" applyAlignment="1">
      <alignment vertical="center"/>
    </xf>
    <xf numFmtId="10" fontId="298" fillId="24" borderId="0" xfId="18" applyNumberFormat="1" applyFont="1" applyFill="1" applyAlignment="1">
      <alignment vertical="center"/>
    </xf>
    <xf numFmtId="0" fontId="298" fillId="25" borderId="0" xfId="18" applyFont="1" applyFill="1" applyAlignment="1">
      <alignment vertical="center"/>
    </xf>
    <xf numFmtId="0" fontId="298" fillId="14" borderId="0" xfId="18" applyFont="1" applyFill="1" applyAlignment="1">
      <alignment horizontal="right" vertical="center"/>
    </xf>
    <xf numFmtId="0" fontId="298" fillId="7" borderId="0" xfId="18" applyFont="1" applyFill="1" applyAlignment="1">
      <alignment vertical="center"/>
    </xf>
    <xf numFmtId="22" fontId="298" fillId="0" borderId="0" xfId="18" applyNumberFormat="1" applyFont="1" applyAlignment="1">
      <alignment vertical="center"/>
    </xf>
    <xf numFmtId="0" fontId="140" fillId="8" borderId="0" xfId="1" applyFill="1">
      <alignment vertical="center"/>
    </xf>
    <xf numFmtId="0" fontId="300" fillId="8" borderId="0" xfId="21" applyFill="1">
      <alignment vertical="center"/>
    </xf>
    <xf numFmtId="0" fontId="301" fillId="0" borderId="0" xfId="18" applyFont="1" applyAlignment="1">
      <alignment vertical="center"/>
    </xf>
    <xf numFmtId="14" fontId="301" fillId="0" borderId="0" xfId="18" applyNumberFormat="1" applyFont="1" applyAlignment="1">
      <alignment vertical="center"/>
    </xf>
    <xf numFmtId="0" fontId="302" fillId="0" borderId="0" xfId="18" applyFont="1" applyAlignment="1">
      <alignment vertical="center"/>
    </xf>
    <xf numFmtId="0" fontId="301" fillId="24" borderId="0" xfId="18" applyFont="1" applyFill="1" applyAlignment="1">
      <alignment vertical="center"/>
    </xf>
    <xf numFmtId="1" fontId="302" fillId="24" borderId="0" xfId="18" applyNumberFormat="1" applyFont="1" applyFill="1" applyAlignment="1">
      <alignment vertical="center"/>
    </xf>
    <xf numFmtId="0" fontId="302" fillId="24" borderId="0" xfId="18" applyFont="1" applyFill="1" applyAlignment="1">
      <alignment vertical="center"/>
    </xf>
    <xf numFmtId="10" fontId="302" fillId="24" borderId="0" xfId="18" applyNumberFormat="1" applyFont="1" applyFill="1" applyAlignment="1">
      <alignment vertical="center"/>
    </xf>
    <xf numFmtId="0" fontId="301" fillId="25" borderId="0" xfId="18" applyFont="1" applyFill="1" applyAlignment="1">
      <alignment vertical="center"/>
    </xf>
    <xf numFmtId="0" fontId="301" fillId="14" borderId="0" xfId="18" applyFont="1" applyFill="1" applyAlignment="1">
      <alignment horizontal="right" vertical="center"/>
    </xf>
    <xf numFmtId="14" fontId="302" fillId="0" borderId="0" xfId="18" applyNumberFormat="1" applyFont="1" applyAlignment="1">
      <alignment vertical="center"/>
    </xf>
    <xf numFmtId="22" fontId="302" fillId="0" borderId="0" xfId="18" applyNumberFormat="1" applyFont="1" applyAlignment="1">
      <alignment vertical="center"/>
    </xf>
    <xf numFmtId="0" fontId="302" fillId="25" borderId="0" xfId="18" applyFont="1" applyFill="1" applyAlignment="1">
      <alignment vertical="center"/>
    </xf>
    <xf numFmtId="0" fontId="302" fillId="14" borderId="0" xfId="18" applyFont="1" applyFill="1" applyAlignment="1">
      <alignment horizontal="right" vertical="center"/>
    </xf>
    <xf numFmtId="0" fontId="303" fillId="0" borderId="0" xfId="18" applyFont="1" applyAlignment="1">
      <alignment vertical="center"/>
    </xf>
    <xf numFmtId="14" fontId="303" fillId="0" borderId="0" xfId="18" applyNumberFormat="1" applyFont="1" applyAlignment="1">
      <alignment vertical="center"/>
    </xf>
    <xf numFmtId="0" fontId="303" fillId="24" borderId="0" xfId="18" applyFont="1" applyFill="1" applyAlignment="1">
      <alignment vertical="center"/>
    </xf>
    <xf numFmtId="0" fontId="303" fillId="25" borderId="0" xfId="18" applyFont="1" applyFill="1" applyAlignment="1">
      <alignment vertical="center"/>
    </xf>
    <xf numFmtId="0" fontId="303" fillId="14" borderId="0" xfId="18" applyFont="1" applyFill="1" applyAlignment="1">
      <alignment horizontal="right" vertical="center"/>
    </xf>
    <xf numFmtId="1" fontId="303" fillId="24" borderId="0" xfId="18" applyNumberFormat="1" applyFont="1" applyFill="1" applyAlignment="1">
      <alignment vertical="center"/>
    </xf>
    <xf numFmtId="10" fontId="303" fillId="24" borderId="0" xfId="18" applyNumberFormat="1" applyFont="1" applyFill="1" applyAlignment="1">
      <alignment vertical="center"/>
    </xf>
    <xf numFmtId="0" fontId="304" fillId="8" borderId="0" xfId="1" applyFont="1" applyFill="1" applyAlignment="1">
      <alignment horizontal="left" vertical="center"/>
    </xf>
    <xf numFmtId="0" fontId="305" fillId="8" borderId="2" xfId="1" applyFont="1" applyFill="1" applyBorder="1" applyAlignment="1">
      <alignment horizontal="left" vertical="center"/>
    </xf>
    <xf numFmtId="0" fontId="305" fillId="8" borderId="2" xfId="1" applyFont="1" applyFill="1" applyBorder="1" applyAlignment="1">
      <alignment horizontal="left" vertical="center" wrapText="1"/>
    </xf>
    <xf numFmtId="185" fontId="306" fillId="14" borderId="2" xfId="1" applyNumberFormat="1" applyFont="1" applyFill="1" applyBorder="1" applyAlignment="1">
      <alignment horizontal="left" vertical="center" wrapText="1"/>
    </xf>
    <xf numFmtId="0" fontId="298" fillId="8" borderId="0" xfId="1" applyFont="1" applyFill="1" applyAlignment="1">
      <alignment horizontal="left" vertical="center"/>
    </xf>
    <xf numFmtId="180" fontId="305" fillId="8" borderId="2" xfId="1" applyNumberFormat="1" applyFont="1" applyFill="1" applyBorder="1" applyAlignment="1">
      <alignment horizontal="left" vertical="center" wrapText="1"/>
    </xf>
    <xf numFmtId="180" fontId="305" fillId="8" borderId="2" xfId="1" applyNumberFormat="1" applyFont="1" applyFill="1" applyBorder="1" applyAlignment="1">
      <alignment horizontal="left" vertical="center"/>
    </xf>
    <xf numFmtId="185" fontId="306" fillId="14" borderId="2" xfId="1" applyNumberFormat="1" applyFont="1" applyFill="1" applyBorder="1" applyAlignment="1">
      <alignment horizontal="left" vertical="center"/>
    </xf>
    <xf numFmtId="0" fontId="304" fillId="26" borderId="0" xfId="1" applyFont="1" applyFill="1" applyAlignment="1">
      <alignment horizontal="left" vertical="center"/>
    </xf>
    <xf numFmtId="0" fontId="305" fillId="26" borderId="2" xfId="1" applyFont="1" applyFill="1" applyBorder="1" applyAlignment="1">
      <alignment horizontal="left" vertical="center"/>
    </xf>
    <xf numFmtId="0" fontId="305" fillId="26" borderId="2" xfId="1" applyFont="1" applyFill="1" applyBorder="1" applyAlignment="1">
      <alignment horizontal="left" vertical="center" wrapText="1"/>
    </xf>
    <xf numFmtId="180" fontId="305" fillId="26" borderId="2" xfId="1" applyNumberFormat="1" applyFont="1" applyFill="1" applyBorder="1" applyAlignment="1">
      <alignment horizontal="left" vertical="center"/>
    </xf>
    <xf numFmtId="185" fontId="306" fillId="26" borderId="2" xfId="1" applyNumberFormat="1" applyFont="1" applyFill="1" applyBorder="1" applyAlignment="1">
      <alignment horizontal="left" vertical="center"/>
    </xf>
    <xf numFmtId="0" fontId="298" fillId="26" borderId="0" xfId="1" applyFont="1" applyFill="1" applyAlignment="1">
      <alignment horizontal="left" vertical="center"/>
    </xf>
    <xf numFmtId="180" fontId="307" fillId="26" borderId="2" xfId="1" applyNumberFormat="1" applyFont="1" applyFill="1" applyBorder="1" applyAlignment="1">
      <alignment horizontal="left" vertical="center"/>
    </xf>
    <xf numFmtId="0" fontId="298" fillId="8" borderId="2" xfId="1" applyFont="1" applyFill="1" applyBorder="1" applyAlignment="1">
      <alignment horizontal="left" vertical="center"/>
    </xf>
    <xf numFmtId="0" fontId="304" fillId="5" borderId="0" xfId="1" applyFont="1" applyFill="1" applyAlignment="1">
      <alignment horizontal="left" vertical="center"/>
    </xf>
    <xf numFmtId="0" fontId="305" fillId="5" borderId="2" xfId="1" applyFont="1" applyFill="1" applyBorder="1" applyAlignment="1">
      <alignment horizontal="left" vertical="center"/>
    </xf>
    <xf numFmtId="0" fontId="305" fillId="5" borderId="2" xfId="1" applyFont="1" applyFill="1" applyBorder="1" applyAlignment="1">
      <alignment horizontal="left" vertical="center" wrapText="1"/>
    </xf>
    <xf numFmtId="180" fontId="305" fillId="5" borderId="2" xfId="1" applyNumberFormat="1" applyFont="1" applyFill="1" applyBorder="1" applyAlignment="1">
      <alignment horizontal="left" vertical="center"/>
    </xf>
    <xf numFmtId="0" fontId="298" fillId="5" borderId="0" xfId="1" applyFont="1" applyFill="1" applyAlignment="1">
      <alignment horizontal="left" vertical="center"/>
    </xf>
    <xf numFmtId="0" fontId="308" fillId="8" borderId="2" xfId="1" applyFont="1" applyFill="1" applyBorder="1" applyAlignment="1">
      <alignment horizontal="left" vertical="center" wrapText="1"/>
    </xf>
    <xf numFmtId="0" fontId="300" fillId="8" borderId="0" xfId="22" applyFill="1" applyAlignment="1">
      <alignment horizontal="left" vertical="center"/>
    </xf>
    <xf numFmtId="0" fontId="298" fillId="5" borderId="2" xfId="1" applyFont="1" applyFill="1" applyBorder="1" applyAlignment="1">
      <alignment horizontal="left" vertical="center"/>
    </xf>
    <xf numFmtId="0" fontId="304" fillId="0" borderId="0" xfId="1" applyFont="1" applyAlignment="1">
      <alignment horizontal="left" vertical="center"/>
    </xf>
    <xf numFmtId="0" fontId="305" fillId="0" borderId="2" xfId="1" applyFont="1" applyBorder="1" applyAlignment="1">
      <alignment horizontal="left" vertical="center"/>
    </xf>
    <xf numFmtId="0" fontId="298" fillId="0" borderId="2" xfId="1" applyFont="1" applyBorder="1" applyAlignment="1">
      <alignment horizontal="left" vertical="center"/>
    </xf>
    <xf numFmtId="0" fontId="305" fillId="0" borderId="2" xfId="1" applyFont="1" applyBorder="1" applyAlignment="1">
      <alignment horizontal="left" vertical="center" wrapText="1"/>
    </xf>
    <xf numFmtId="180" fontId="305" fillId="0" borderId="2" xfId="1" applyNumberFormat="1" applyFont="1" applyBorder="1" applyAlignment="1">
      <alignment horizontal="left" vertical="center"/>
    </xf>
    <xf numFmtId="0" fontId="298" fillId="0" borderId="0" xfId="1" applyFont="1" applyAlignment="1">
      <alignment horizontal="left" vertical="center"/>
    </xf>
    <xf numFmtId="0" fontId="306" fillId="8" borderId="0" xfId="1" applyFont="1" applyFill="1" applyAlignment="1">
      <alignment horizontal="left" vertical="center"/>
    </xf>
    <xf numFmtId="0" fontId="298" fillId="8" borderId="0" xfId="1" applyFont="1" applyFill="1" applyAlignment="1">
      <alignment horizontal="left" vertical="center" wrapText="1"/>
    </xf>
    <xf numFmtId="185" fontId="306" fillId="8" borderId="0" xfId="1" applyNumberFormat="1" applyFont="1" applyFill="1" applyAlignment="1">
      <alignment horizontal="left" vertical="center"/>
    </xf>
    <xf numFmtId="0" fontId="306" fillId="14" borderId="0" xfId="1" applyFont="1" applyFill="1" applyAlignment="1">
      <alignment horizontal="left" vertical="center"/>
    </xf>
    <xf numFmtId="0" fontId="298" fillId="14" borderId="0" xfId="1" applyFont="1" applyFill="1" applyAlignment="1">
      <alignment horizontal="left" vertical="center"/>
    </xf>
    <xf numFmtId="184" fontId="312" fillId="0" borderId="2" xfId="0" applyNumberFormat="1" applyFont="1" applyBorder="1" applyAlignment="1" applyProtection="1">
      <alignment horizontal="center" vertical="center"/>
      <protection locked="0"/>
    </xf>
    <xf numFmtId="0" fontId="67" fillId="5" borderId="42" xfId="0" applyFont="1" applyFill="1" applyBorder="1" applyAlignment="1" applyProtection="1">
      <alignment horizontal="center" vertical="center" wrapText="1"/>
      <protection locked="0"/>
    </xf>
    <xf numFmtId="0" fontId="313" fillId="8" borderId="0" xfId="0" applyFont="1" applyFill="1" applyProtection="1">
      <alignment vertical="center"/>
      <protection locked="0"/>
    </xf>
    <xf numFmtId="0" fontId="82" fillId="0" borderId="2" xfId="2" applyNumberFormat="1" applyFont="1" applyBorder="1" applyAlignment="1" applyProtection="1">
      <alignment horizontal="center" vertical="center"/>
      <protection locked="0"/>
    </xf>
    <xf numFmtId="0" fontId="91" fillId="5" borderId="2" xfId="2" applyNumberFormat="1" applyFont="1" applyFill="1" applyBorder="1" applyAlignment="1">
      <alignment horizontal="center" vertical="center"/>
    </xf>
    <xf numFmtId="0" fontId="82" fillId="5" borderId="2" xfId="2" applyNumberFormat="1" applyFont="1" applyFill="1" applyBorder="1">
      <alignment vertical="center"/>
    </xf>
    <xf numFmtId="0" fontId="216" fillId="5" borderId="0" xfId="0" applyFont="1" applyFill="1" applyProtection="1">
      <alignment vertical="center"/>
      <protection locked="0"/>
    </xf>
    <xf numFmtId="0" fontId="91" fillId="5" borderId="0" xfId="0" applyFont="1" applyFill="1" applyProtection="1">
      <alignment vertical="center"/>
      <protection locked="0"/>
    </xf>
    <xf numFmtId="0" fontId="91" fillId="5" borderId="0" xfId="0" applyFont="1" applyFill="1" applyAlignment="1" applyProtection="1">
      <alignment horizontal="center" vertical="center"/>
      <protection locked="0"/>
    </xf>
    <xf numFmtId="0" fontId="216" fillId="5" borderId="0" xfId="0" applyFont="1" applyFill="1" applyAlignment="1" applyProtection="1">
      <alignment horizontal="left" vertical="center"/>
      <protection locked="0"/>
    </xf>
    <xf numFmtId="0" fontId="123" fillId="5" borderId="0" xfId="0" applyFont="1" applyFill="1" applyAlignment="1" applyProtection="1">
      <alignment horizontal="left" vertical="center"/>
      <protection locked="0"/>
    </xf>
    <xf numFmtId="0" fontId="82" fillId="5" borderId="0" xfId="0" applyFont="1" applyFill="1" applyProtection="1">
      <alignment vertical="center"/>
      <protection locked="0"/>
    </xf>
    <xf numFmtId="0" fontId="82" fillId="5" borderId="0" xfId="0" applyFont="1" applyFill="1" applyAlignment="1" applyProtection="1">
      <alignment horizontal="center" vertical="center"/>
      <protection locked="0"/>
    </xf>
    <xf numFmtId="10" fontId="82" fillId="5" borderId="0" xfId="0" applyNumberFormat="1" applyFont="1" applyFill="1" applyProtection="1">
      <alignment vertical="center"/>
      <protection locked="0"/>
    </xf>
    <xf numFmtId="10" fontId="91" fillId="27" borderId="5" xfId="2" applyNumberFormat="1" applyFont="1" applyFill="1" applyBorder="1" applyAlignment="1">
      <alignment horizontal="center" vertical="center"/>
    </xf>
    <xf numFmtId="0" fontId="0" fillId="8" borderId="0" xfId="0" applyFill="1" applyAlignment="1" applyProtection="1">
      <alignment horizontal="left" vertical="center"/>
      <protection locked="0"/>
    </xf>
    <xf numFmtId="0" fontId="141" fillId="28" borderId="0" xfId="0" applyFont="1" applyFill="1" applyAlignment="1" applyProtection="1">
      <alignment horizontal="left" vertical="center"/>
      <protection locked="0"/>
    </xf>
    <xf numFmtId="0" fontId="140" fillId="12" borderId="0" xfId="0" applyFont="1" applyFill="1" applyAlignment="1" applyProtection="1">
      <alignment horizontal="left" vertical="center"/>
      <protection locked="0"/>
    </xf>
    <xf numFmtId="10" fontId="0" fillId="12" borderId="0" xfId="0" applyNumberFormat="1" applyFill="1" applyAlignment="1" applyProtection="1">
      <alignment horizontal="left" vertical="center"/>
      <protection locked="0"/>
    </xf>
    <xf numFmtId="10" fontId="141" fillId="28" borderId="0" xfId="0" applyNumberFormat="1" applyFont="1" applyFill="1" applyAlignment="1" applyProtection="1">
      <alignment horizontal="left" vertical="center"/>
      <protection locked="0"/>
    </xf>
    <xf numFmtId="0" fontId="141" fillId="29" borderId="0" xfId="0" applyFont="1" applyFill="1" applyAlignment="1" applyProtection="1">
      <alignment horizontal="left" vertical="center"/>
      <protection locked="0"/>
    </xf>
    <xf numFmtId="0" fontId="141" fillId="30" borderId="0" xfId="0" applyFont="1" applyFill="1" applyAlignment="1" applyProtection="1">
      <alignment horizontal="left" vertical="center"/>
      <protection locked="0"/>
    </xf>
    <xf numFmtId="0" fontId="305" fillId="8" borderId="21" xfId="1" applyFont="1" applyFill="1" applyBorder="1" applyAlignment="1">
      <alignment horizontal="left" vertical="center"/>
    </xf>
    <xf numFmtId="0" fontId="305" fillId="8" borderId="21" xfId="1" applyFont="1" applyFill="1" applyBorder="1" applyAlignment="1">
      <alignment horizontal="left" vertical="center" wrapText="1"/>
    </xf>
    <xf numFmtId="180" fontId="305" fillId="8" borderId="21" xfId="1" applyNumberFormat="1" applyFont="1" applyFill="1" applyBorder="1" applyAlignment="1">
      <alignment horizontal="left" vertical="center"/>
    </xf>
    <xf numFmtId="185" fontId="306" fillId="14" borderId="21" xfId="1" applyNumberFormat="1" applyFont="1" applyFill="1" applyBorder="1" applyAlignment="1">
      <alignment horizontal="left" vertical="center"/>
    </xf>
    <xf numFmtId="0" fontId="304" fillId="26" borderId="61" xfId="1" applyFont="1" applyFill="1" applyBorder="1" applyAlignment="1">
      <alignment horizontal="left" vertical="center"/>
    </xf>
    <xf numFmtId="0" fontId="305" fillId="26" borderId="44" xfId="1" applyFont="1" applyFill="1" applyBorder="1" applyAlignment="1">
      <alignment horizontal="left" vertical="center"/>
    </xf>
    <xf numFmtId="0" fontId="305" fillId="26" borderId="44" xfId="1" applyFont="1" applyFill="1" applyBorder="1" applyAlignment="1">
      <alignment horizontal="left" vertical="center" wrapText="1"/>
    </xf>
    <xf numFmtId="0" fontId="308" fillId="26" borderId="44" xfId="1" applyFont="1" applyFill="1" applyBorder="1" applyAlignment="1">
      <alignment horizontal="left" vertical="center" wrapText="1"/>
    </xf>
    <xf numFmtId="180" fontId="305" fillId="26" borderId="44" xfId="1" applyNumberFormat="1" applyFont="1" applyFill="1" applyBorder="1" applyAlignment="1">
      <alignment horizontal="left" vertical="center"/>
    </xf>
    <xf numFmtId="185" fontId="306" fillId="26" borderId="44" xfId="1" applyNumberFormat="1" applyFont="1" applyFill="1" applyBorder="1" applyAlignment="1">
      <alignment horizontal="left" vertical="center"/>
    </xf>
    <xf numFmtId="0" fontId="300" fillId="26" borderId="61" xfId="22" applyFill="1" applyBorder="1" applyAlignment="1">
      <alignment horizontal="left" vertical="center"/>
    </xf>
    <xf numFmtId="0" fontId="298" fillId="26" borderId="61" xfId="1" applyFont="1" applyFill="1" applyBorder="1" applyAlignment="1">
      <alignment horizontal="left" vertical="center"/>
    </xf>
    <xf numFmtId="185" fontId="306" fillId="5" borderId="2" xfId="1" applyNumberFormat="1" applyFont="1" applyFill="1" applyBorder="1" applyAlignment="1">
      <alignment horizontal="left" vertical="center"/>
    </xf>
    <xf numFmtId="0" fontId="315" fillId="8" borderId="2" xfId="1" applyFont="1" applyFill="1" applyBorder="1" applyAlignment="1">
      <alignment horizontal="left" vertical="center"/>
    </xf>
    <xf numFmtId="196" fontId="298" fillId="24" borderId="0" xfId="18" applyNumberFormat="1" applyFont="1" applyFill="1" applyAlignment="1">
      <alignment vertical="center"/>
    </xf>
    <xf numFmtId="0" fontId="316" fillId="0" borderId="0" xfId="18" applyFont="1" applyFill="1" applyAlignment="1">
      <alignment vertical="center"/>
    </xf>
    <xf numFmtId="0" fontId="316" fillId="0" borderId="0" xfId="18" applyFont="1" applyAlignment="1">
      <alignment vertical="center" wrapText="1"/>
    </xf>
    <xf numFmtId="0" fontId="298" fillId="0" borderId="0" xfId="18" applyFont="1" applyAlignment="1">
      <alignment vertical="center"/>
    </xf>
    <xf numFmtId="0" fontId="298" fillId="24" borderId="0" xfId="18" applyFont="1" applyFill="1" applyAlignment="1">
      <alignment vertical="center"/>
    </xf>
    <xf numFmtId="1" fontId="298" fillId="24" borderId="0" xfId="18" applyNumberFormat="1" applyFont="1" applyFill="1" applyAlignment="1">
      <alignment vertical="center"/>
    </xf>
    <xf numFmtId="10" fontId="298" fillId="24" borderId="0" xfId="18" applyNumberFormat="1" applyFont="1" applyFill="1" applyAlignment="1">
      <alignment vertical="center"/>
    </xf>
    <xf numFmtId="0" fontId="298" fillId="0" borderId="61" xfId="18" applyFont="1" applyBorder="1" applyAlignment="1">
      <alignment vertical="center"/>
    </xf>
    <xf numFmtId="14" fontId="298" fillId="0" borderId="61" xfId="18" applyNumberFormat="1" applyFont="1" applyBorder="1" applyAlignment="1">
      <alignment vertical="center"/>
    </xf>
    <xf numFmtId="0" fontId="298" fillId="24" borderId="61" xfId="18" applyFont="1" applyFill="1" applyBorder="1" applyAlignment="1">
      <alignment vertical="center"/>
    </xf>
    <xf numFmtId="1" fontId="298" fillId="24" borderId="61" xfId="18" applyNumberFormat="1" applyFont="1" applyFill="1" applyBorder="1" applyAlignment="1">
      <alignment vertical="center"/>
    </xf>
    <xf numFmtId="10" fontId="298" fillId="24" borderId="61" xfId="18" applyNumberFormat="1" applyFont="1" applyFill="1" applyBorder="1" applyAlignment="1">
      <alignment vertical="center"/>
    </xf>
    <xf numFmtId="0" fontId="298" fillId="25" borderId="61" xfId="18" applyFont="1" applyFill="1" applyBorder="1" applyAlignment="1">
      <alignment vertical="center"/>
    </xf>
    <xf numFmtId="0" fontId="298" fillId="14" borderId="61" xfId="18" applyFont="1" applyFill="1" applyBorder="1" applyAlignment="1">
      <alignment horizontal="right" vertical="center"/>
    </xf>
    <xf numFmtId="0" fontId="298" fillId="7" borderId="61" xfId="18" applyFont="1" applyFill="1" applyBorder="1" applyAlignment="1">
      <alignment vertical="center"/>
    </xf>
    <xf numFmtId="10" fontId="297" fillId="24" borderId="0" xfId="18" applyNumberFormat="1" applyFont="1" applyFill="1" applyAlignment="1">
      <alignment vertical="center"/>
    </xf>
    <xf numFmtId="196" fontId="298" fillId="24" borderId="61" xfId="18" applyNumberFormat="1" applyFont="1" applyFill="1" applyBorder="1" applyAlignment="1">
      <alignment vertical="center"/>
    </xf>
    <xf numFmtId="0" fontId="316" fillId="0" borderId="0" xfId="18" applyFont="1" applyAlignment="1">
      <alignment vertical="center"/>
    </xf>
    <xf numFmtId="14" fontId="316" fillId="0" borderId="0" xfId="18" applyNumberFormat="1" applyFont="1" applyAlignment="1">
      <alignment vertical="center"/>
    </xf>
    <xf numFmtId="0" fontId="316" fillId="24" borderId="0" xfId="18" applyFont="1" applyFill="1" applyAlignment="1">
      <alignment vertical="center"/>
    </xf>
    <xf numFmtId="1" fontId="316" fillId="24" borderId="0" xfId="18" applyNumberFormat="1" applyFont="1" applyFill="1" applyAlignment="1">
      <alignment vertical="center"/>
    </xf>
    <xf numFmtId="10" fontId="316" fillId="24" borderId="0" xfId="18" applyNumberFormat="1" applyFont="1" applyFill="1" applyAlignment="1">
      <alignment vertical="center"/>
    </xf>
    <xf numFmtId="0" fontId="316" fillId="25" borderId="0" xfId="18" applyFont="1" applyFill="1" applyAlignment="1">
      <alignment vertical="center"/>
    </xf>
    <xf numFmtId="0" fontId="316" fillId="14" borderId="0" xfId="18" applyFont="1" applyFill="1" applyAlignment="1">
      <alignment horizontal="right" vertical="center"/>
    </xf>
    <xf numFmtId="1" fontId="301" fillId="24" borderId="0" xfId="18" applyNumberFormat="1" applyFont="1" applyFill="1" applyAlignment="1">
      <alignment vertical="center"/>
    </xf>
    <xf numFmtId="10" fontId="301" fillId="24" borderId="0" xfId="18" applyNumberFormat="1" applyFont="1" applyFill="1" applyAlignment="1">
      <alignment vertical="center"/>
    </xf>
    <xf numFmtId="0" fontId="180" fillId="0" borderId="0" xfId="7" applyFont="1" applyAlignment="1">
      <alignment horizontal="left" vertical="top" wrapText="1"/>
    </xf>
    <xf numFmtId="0" fontId="185" fillId="0" borderId="0" xfId="0" applyFont="1" applyAlignment="1">
      <alignment horizontal="center" vertical="center"/>
    </xf>
    <xf numFmtId="0" fontId="227" fillId="0" borderId="2" xfId="0" applyFont="1" applyBorder="1" applyAlignment="1" applyProtection="1">
      <alignment horizontal="center" vertical="center" wrapText="1"/>
      <protection locked="0"/>
    </xf>
    <xf numFmtId="0" fontId="190" fillId="0" borderId="2" xfId="0" applyFont="1" applyBorder="1" applyAlignment="1" applyProtection="1">
      <alignment horizontal="center" vertical="center" wrapText="1"/>
      <protection locked="0"/>
    </xf>
    <xf numFmtId="0" fontId="190" fillId="0" borderId="2" xfId="0" applyFont="1" applyBorder="1" applyAlignment="1">
      <alignment horizontal="center" vertical="center" wrapText="1"/>
    </xf>
    <xf numFmtId="0" fontId="201" fillId="0" borderId="5" xfId="0" applyFont="1" applyBorder="1" applyAlignment="1">
      <alignment horizontal="center" vertical="center" wrapText="1"/>
    </xf>
    <xf numFmtId="0" fontId="201" fillId="0" borderId="8" xfId="0" applyFont="1" applyBorder="1" applyAlignment="1">
      <alignment horizontal="center" vertical="center" wrapText="1"/>
    </xf>
    <xf numFmtId="0" fontId="201" fillId="0" borderId="9" xfId="0" applyFont="1" applyBorder="1" applyAlignment="1">
      <alignment horizontal="center" vertical="center" wrapText="1"/>
    </xf>
    <xf numFmtId="0" fontId="189" fillId="0" borderId="0" xfId="0" applyFont="1" applyAlignment="1">
      <alignment vertical="center" wrapText="1"/>
    </xf>
    <xf numFmtId="49" fontId="181" fillId="0" borderId="0" xfId="0" applyNumberFormat="1" applyFont="1" applyAlignment="1" applyProtection="1">
      <alignment vertical="center" wrapText="1"/>
      <protection locked="0"/>
    </xf>
    <xf numFmtId="0" fontId="181" fillId="0" borderId="0" xfId="0" applyFont="1" applyAlignment="1" applyProtection="1">
      <alignment vertical="center" wrapText="1"/>
      <protection locked="0"/>
    </xf>
    <xf numFmtId="0" fontId="189" fillId="0" borderId="0" xfId="0" applyFont="1" applyAlignment="1" applyProtection="1">
      <alignment vertical="center" wrapText="1"/>
      <protection locked="0"/>
    </xf>
    <xf numFmtId="0" fontId="162" fillId="0" borderId="10" xfId="0" applyFont="1" applyBorder="1" applyAlignment="1">
      <alignment horizontal="left" vertical="center" wrapText="1"/>
    </xf>
    <xf numFmtId="0" fontId="162" fillId="0" borderId="3" xfId="0" applyFont="1" applyBorder="1" applyAlignment="1">
      <alignment horizontal="left" vertical="center" wrapText="1"/>
    </xf>
    <xf numFmtId="0" fontId="162" fillId="0" borderId="21" xfId="0" applyFont="1" applyBorder="1" applyAlignment="1">
      <alignment horizontal="left" vertical="center" wrapText="1"/>
    </xf>
    <xf numFmtId="0" fontId="144" fillId="0" borderId="5" xfId="0" applyFont="1" applyBorder="1" applyAlignment="1">
      <alignment horizontal="left" vertical="center"/>
    </xf>
    <xf numFmtId="0" fontId="144" fillId="0" borderId="9" xfId="0" applyFont="1" applyBorder="1" applyAlignment="1">
      <alignment horizontal="left" vertical="center"/>
    </xf>
    <xf numFmtId="0" fontId="144" fillId="0" borderId="2" xfId="0" applyFont="1" applyBorder="1" applyAlignment="1">
      <alignment horizontal="left" vertical="center"/>
    </xf>
    <xf numFmtId="0" fontId="144" fillId="9" borderId="2" xfId="0" applyFont="1" applyFill="1" applyBorder="1" applyAlignment="1">
      <alignment horizontal="left" vertical="center"/>
    </xf>
    <xf numFmtId="0" fontId="144" fillId="6" borderId="2" xfId="0" applyFont="1" applyFill="1" applyBorder="1" applyAlignment="1">
      <alignment horizontal="left" vertical="center"/>
    </xf>
    <xf numFmtId="0" fontId="48" fillId="0" borderId="5" xfId="0" applyFont="1" applyBorder="1" applyAlignment="1">
      <alignment horizontal="left" vertical="center"/>
    </xf>
    <xf numFmtId="0" fontId="144" fillId="0" borderId="10" xfId="0" applyFont="1" applyBorder="1" applyAlignment="1">
      <alignment horizontal="left" vertical="center"/>
    </xf>
    <xf numFmtId="0" fontId="144" fillId="0" borderId="3" xfId="0"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0" fontId="267" fillId="0" borderId="154" xfId="7" applyFont="1" applyBorder="1" applyAlignment="1">
      <alignment horizontal="left" vertical="center"/>
    </xf>
    <xf numFmtId="0" fontId="268" fillId="6" borderId="5" xfId="7" applyFont="1" applyFill="1" applyBorder="1" applyAlignment="1">
      <alignment horizontal="left" vertical="center"/>
    </xf>
    <xf numFmtId="0" fontId="268" fillId="6" borderId="8" xfId="7" applyFont="1" applyFill="1" applyBorder="1" applyAlignment="1">
      <alignment horizontal="left" vertical="center"/>
    </xf>
    <xf numFmtId="0" fontId="160"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1" fillId="8" borderId="5" xfId="0" applyFont="1" applyFill="1" applyBorder="1" applyAlignment="1" applyProtection="1">
      <alignment vertical="center" wrapText="1"/>
      <protection locked="0"/>
    </xf>
    <xf numFmtId="0" fontId="181" fillId="8" borderId="8" xfId="0" applyFont="1" applyFill="1" applyBorder="1" applyAlignment="1" applyProtection="1">
      <alignment vertical="center" wrapText="1"/>
      <protection locked="0"/>
    </xf>
    <xf numFmtId="0" fontId="181"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1" fillId="8" borderId="5" xfId="0" applyNumberFormat="1" applyFont="1" applyFill="1" applyBorder="1" applyAlignment="1" applyProtection="1">
      <alignment horizontal="left" vertical="center"/>
      <protection locked="0"/>
    </xf>
    <xf numFmtId="49" fontId="181" fillId="8" borderId="8" xfId="0" applyNumberFormat="1" applyFont="1" applyFill="1" applyBorder="1" applyAlignment="1" applyProtection="1">
      <alignment horizontal="left" vertical="center"/>
      <protection locked="0"/>
    </xf>
    <xf numFmtId="49" fontId="181"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1" fillId="8" borderId="5" xfId="0" applyFont="1" applyFill="1" applyBorder="1" applyProtection="1">
      <alignment vertical="center"/>
      <protection locked="0"/>
    </xf>
    <xf numFmtId="0" fontId="181" fillId="8" borderId="8" xfId="0" applyFont="1" applyFill="1" applyBorder="1" applyProtection="1">
      <alignment vertical="center"/>
      <protection locked="0"/>
    </xf>
    <xf numFmtId="0" fontId="181"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2" fillId="5" borderId="21" xfId="0" applyFont="1" applyFill="1" applyBorder="1" applyAlignment="1">
      <alignment horizontal="center" vertical="center" wrapText="1"/>
    </xf>
    <xf numFmtId="0" fontId="152" fillId="5" borderId="17" xfId="0" applyFont="1" applyFill="1" applyBorder="1" applyAlignment="1">
      <alignment horizontal="center" vertical="center" wrapText="1"/>
    </xf>
    <xf numFmtId="0" fontId="147" fillId="5" borderId="10" xfId="0" applyFont="1" applyFill="1" applyBorder="1" applyAlignment="1">
      <alignment horizontal="center" vertical="center" wrapText="1"/>
    </xf>
    <xf numFmtId="0" fontId="147" fillId="5" borderId="21" xfId="0" applyFont="1" applyFill="1" applyBorder="1" applyAlignment="1">
      <alignment horizontal="center" vertical="center" wrapText="1"/>
    </xf>
    <xf numFmtId="0" fontId="160" fillId="5" borderId="2" xfId="0" applyFont="1" applyFill="1" applyBorder="1" applyAlignment="1">
      <alignment horizontal="center" vertical="center" wrapText="1"/>
    </xf>
    <xf numFmtId="0" fontId="152"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61"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7"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0" fillId="5" borderId="71" xfId="0" applyFont="1" applyFill="1" applyBorder="1" applyAlignment="1">
      <alignment horizontal="center" vertical="center" wrapText="1"/>
    </xf>
    <xf numFmtId="0" fontId="160" fillId="5" borderId="84" xfId="0" applyFont="1" applyFill="1" applyBorder="1" applyAlignment="1">
      <alignment horizontal="center" vertical="center" wrapText="1"/>
    </xf>
    <xf numFmtId="0" fontId="147" fillId="5" borderId="2" xfId="0" applyFont="1" applyFill="1" applyBorder="1" applyAlignment="1">
      <alignment horizontal="center" vertical="center" wrapText="1"/>
    </xf>
    <xf numFmtId="0" fontId="168" fillId="5" borderId="35" xfId="0" applyFont="1" applyFill="1" applyBorder="1" applyAlignment="1">
      <alignment horizontal="center" vertical="center" wrapText="1"/>
    </xf>
    <xf numFmtId="0" fontId="168" fillId="5" borderId="79" xfId="0" applyFont="1" applyFill="1" applyBorder="1" applyAlignment="1">
      <alignment horizontal="center" vertical="center" wrapText="1"/>
    </xf>
    <xf numFmtId="0" fontId="168"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0" fillId="5" borderId="36" xfId="0" applyFont="1" applyFill="1" applyBorder="1" applyAlignment="1">
      <alignment horizontal="center" vertical="center" wrapText="1"/>
    </xf>
    <xf numFmtId="0" fontId="170" fillId="5" borderId="37" xfId="0" applyFont="1" applyFill="1" applyBorder="1" applyAlignment="1">
      <alignment horizontal="center" vertical="center" wrapText="1"/>
    </xf>
    <xf numFmtId="0" fontId="170"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8" fillId="0" borderId="36" xfId="0" applyFont="1" applyBorder="1" applyAlignment="1" applyProtection="1">
      <alignment horizontal="center" vertical="center"/>
      <protection locked="0"/>
    </xf>
    <xf numFmtId="0" fontId="148" fillId="0" borderId="37" xfId="0" applyFont="1" applyBorder="1" applyAlignment="1" applyProtection="1">
      <alignment horizontal="center" vertical="center"/>
      <protection locked="0"/>
    </xf>
    <xf numFmtId="0" fontId="148" fillId="0" borderId="61" xfId="0" applyFont="1" applyBorder="1" applyAlignment="1" applyProtection="1">
      <alignment horizontal="center" vertical="center"/>
      <protection locked="0"/>
    </xf>
    <xf numFmtId="0" fontId="148"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5" fillId="5" borderId="13" xfId="0" applyFont="1" applyFill="1" applyBorder="1" applyAlignment="1">
      <alignment horizontal="left" vertical="center" wrapText="1"/>
    </xf>
    <xf numFmtId="0" fontId="205" fillId="5" borderId="0" xfId="0" applyFont="1" applyFill="1" applyAlignment="1">
      <alignment horizontal="left" vertical="center" wrapText="1"/>
    </xf>
    <xf numFmtId="0" fontId="210"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1" fillId="5" borderId="36" xfId="0" applyFont="1" applyFill="1" applyBorder="1">
      <alignment vertical="center"/>
    </xf>
    <xf numFmtId="0" fontId="151"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39" fillId="5" borderId="1" xfId="0" applyFont="1" applyFill="1" applyBorder="1" applyAlignment="1">
      <alignment horizontal="center" vertical="center" wrapText="1"/>
    </xf>
    <xf numFmtId="0" fontId="139" fillId="5" borderId="6" xfId="0" applyFont="1" applyFill="1" applyBorder="1" applyAlignment="1">
      <alignment horizontal="center" vertical="center" wrapText="1"/>
    </xf>
    <xf numFmtId="0" fontId="139" fillId="5" borderId="11" xfId="0" applyFont="1" applyFill="1" applyBorder="1" applyAlignment="1">
      <alignment horizontal="center" vertical="center" wrapText="1"/>
    </xf>
    <xf numFmtId="0" fontId="139"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5" fillId="0" borderId="22" xfId="0" applyFont="1" applyBorder="1" applyAlignment="1" applyProtection="1">
      <alignment horizontal="center" vertical="center" wrapText="1"/>
      <protection locked="0"/>
    </xf>
    <xf numFmtId="0" fontId="255" fillId="0" borderId="25"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255" fillId="0" borderId="12" xfId="0" applyFont="1" applyBorder="1" applyAlignment="1" applyProtection="1">
      <alignment horizontal="center" vertical="center" wrapText="1"/>
      <protection locked="0"/>
    </xf>
    <xf numFmtId="0" fontId="255" fillId="0" borderId="43" xfId="0" applyFont="1" applyBorder="1" applyAlignment="1" applyProtection="1">
      <alignment horizontal="center" vertical="center" wrapText="1"/>
      <protection locked="0"/>
    </xf>
    <xf numFmtId="0" fontId="255"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9" fillId="5" borderId="0" xfId="3" applyFont="1" applyFill="1" applyAlignment="1">
      <alignment horizontal="left" vertical="center"/>
    </xf>
    <xf numFmtId="49" fontId="216"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4" fillId="5" borderId="0" xfId="3" applyFont="1" applyFill="1" applyAlignment="1">
      <alignment horizontal="center" vertical="center"/>
    </xf>
    <xf numFmtId="0" fontId="159" fillId="5" borderId="2" xfId="3" applyFont="1" applyFill="1" applyBorder="1" applyAlignment="1">
      <alignment horizontal="center" vertical="center"/>
    </xf>
    <xf numFmtId="0" fontId="262" fillId="5" borderId="10" xfId="0" applyFont="1" applyFill="1" applyBorder="1" applyAlignment="1">
      <alignment vertical="center" wrapText="1"/>
    </xf>
    <xf numFmtId="0" fontId="262"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59" fillId="5" borderId="10" xfId="3" applyFont="1" applyFill="1" applyBorder="1" applyAlignment="1">
      <alignment horizontal="center" vertical="center"/>
    </xf>
    <xf numFmtId="0" fontId="159" fillId="5" borderId="3" xfId="3" applyFont="1" applyFill="1" applyBorder="1" applyAlignment="1">
      <alignment horizontal="center" vertical="center"/>
    </xf>
    <xf numFmtId="0" fontId="159"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44" fillId="5" borderId="26" xfId="0" applyFont="1" applyFill="1" applyBorder="1" applyAlignment="1">
      <alignment horizontal="center" vertical="center" wrapText="1"/>
    </xf>
    <xf numFmtId="0" fontId="144" fillId="5" borderId="39" xfId="0" applyFont="1" applyFill="1" applyBorder="1" applyAlignment="1">
      <alignment horizontal="center" vertical="center" wrapText="1"/>
    </xf>
    <xf numFmtId="0" fontId="144" fillId="5" borderId="87" xfId="0" applyFont="1" applyFill="1" applyBorder="1" applyAlignment="1">
      <alignment horizontal="center" vertical="center" wrapText="1"/>
    </xf>
    <xf numFmtId="0" fontId="144"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5" fillId="0" borderId="9" xfId="0" applyFont="1" applyBorder="1" applyAlignment="1" applyProtection="1">
      <alignment horizontal="center" vertical="center" wrapText="1"/>
      <protection locked="0"/>
    </xf>
    <xf numFmtId="0" fontId="255" fillId="0" borderId="5" xfId="0" applyFont="1" applyBorder="1" applyAlignment="1" applyProtection="1">
      <alignment horizontal="center" vertical="center" wrapText="1"/>
      <protection locked="0"/>
    </xf>
    <xf numFmtId="0" fontId="255" fillId="0" borderId="32" xfId="0" applyFont="1" applyBorder="1" applyAlignment="1" applyProtection="1">
      <alignment horizontal="center" vertical="center" wrapText="1"/>
      <protection locked="0"/>
    </xf>
    <xf numFmtId="0" fontId="255" fillId="0" borderId="4" xfId="0" applyFont="1" applyBorder="1" applyAlignment="1" applyProtection="1">
      <alignment horizontal="center" vertical="center" wrapText="1"/>
      <protection locked="0"/>
    </xf>
    <xf numFmtId="0" fontId="159" fillId="5" borderId="2" xfId="0" applyFont="1" applyFill="1" applyBorder="1" applyAlignment="1">
      <alignment horizontal="left" vertical="center"/>
    </xf>
    <xf numFmtId="0" fontId="159" fillId="5" borderId="10" xfId="0" applyFont="1" applyFill="1" applyBorder="1" applyAlignment="1">
      <alignment horizontal="left" vertical="center"/>
    </xf>
    <xf numFmtId="0" fontId="159" fillId="5" borderId="21" xfId="0" applyFont="1" applyFill="1" applyBorder="1" applyAlignment="1">
      <alignment horizontal="left" vertical="center"/>
    </xf>
    <xf numFmtId="0" fontId="159" fillId="5" borderId="3" xfId="0" applyFont="1" applyFill="1" applyBorder="1" applyAlignment="1">
      <alignment horizontal="left" vertical="center"/>
    </xf>
    <xf numFmtId="0" fontId="159" fillId="5" borderId="1" xfId="0" applyFont="1" applyFill="1" applyBorder="1" applyAlignment="1">
      <alignment horizontal="left" vertical="center"/>
    </xf>
    <xf numFmtId="0" fontId="159" fillId="5" borderId="11" xfId="0" applyFont="1" applyFill="1" applyBorder="1" applyAlignment="1">
      <alignment horizontal="left" vertical="center"/>
    </xf>
    <xf numFmtId="0" fontId="159" fillId="5" borderId="43" xfId="0" applyFont="1" applyFill="1" applyBorder="1" applyAlignment="1">
      <alignment horizontal="left" vertical="center"/>
    </xf>
    <xf numFmtId="0" fontId="159" fillId="5" borderId="27" xfId="0" applyFont="1" applyFill="1" applyBorder="1" applyAlignment="1">
      <alignment horizontal="left" vertical="center"/>
    </xf>
    <xf numFmtId="0" fontId="159" fillId="5" borderId="55" xfId="0" applyFont="1" applyFill="1" applyBorder="1" applyAlignment="1">
      <alignment horizontal="left" vertical="center"/>
    </xf>
    <xf numFmtId="0" fontId="159" fillId="5" borderId="53" xfId="0" applyFont="1" applyFill="1" applyBorder="1" applyAlignment="1">
      <alignment horizontal="left" vertical="center"/>
    </xf>
    <xf numFmtId="0" fontId="159" fillId="5" borderId="24" xfId="0" applyFont="1" applyFill="1" applyBorder="1" applyAlignment="1">
      <alignment horizontal="left" vertical="center"/>
    </xf>
    <xf numFmtId="0" fontId="159" fillId="5" borderId="23" xfId="0" applyFont="1" applyFill="1" applyBorder="1" applyAlignment="1">
      <alignment horizontal="left" vertical="center"/>
    </xf>
    <xf numFmtId="0" fontId="283" fillId="5" borderId="0" xfId="0" applyFont="1" applyFill="1" applyAlignment="1">
      <alignment horizontal="center" vertical="center"/>
    </xf>
    <xf numFmtId="0" fontId="283" fillId="5" borderId="65" xfId="0" applyFont="1" applyFill="1" applyBorder="1" applyAlignment="1">
      <alignment horizontal="center" vertical="center"/>
    </xf>
    <xf numFmtId="0" fontId="283" fillId="5" borderId="1" xfId="0" applyFont="1" applyFill="1" applyBorder="1" applyAlignment="1">
      <alignment horizontal="left" vertical="center" wrapText="1"/>
    </xf>
    <xf numFmtId="0" fontId="283" fillId="5" borderId="43" xfId="0" applyFont="1" applyFill="1" applyBorder="1" applyAlignment="1">
      <alignment horizontal="left" vertical="center" wrapText="1"/>
    </xf>
    <xf numFmtId="0" fontId="289" fillId="0" borderId="0" xfId="0" applyFont="1" applyAlignment="1">
      <alignment horizontal="center" vertical="center"/>
    </xf>
    <xf numFmtId="0" fontId="289" fillId="0" borderId="18" xfId="0" applyFont="1" applyBorder="1" applyAlignment="1">
      <alignment horizontal="center" vertical="center"/>
    </xf>
    <xf numFmtId="0" fontId="194" fillId="5" borderId="0" xfId="0" applyFont="1" applyFill="1" applyAlignment="1">
      <alignment horizontal="left" vertical="center"/>
    </xf>
    <xf numFmtId="0" fontId="225" fillId="0" borderId="0" xfId="10" applyFont="1" applyAlignment="1">
      <alignment horizontal="left" vertical="center"/>
    </xf>
    <xf numFmtId="0" fontId="152" fillId="0" borderId="0" xfId="10" applyFont="1" applyAlignment="1">
      <alignment horizontal="left" vertical="center"/>
    </xf>
    <xf numFmtId="0" fontId="229" fillId="0" borderId="0" xfId="10" applyFont="1" applyAlignment="1">
      <alignment horizontal="left" vertical="center"/>
    </xf>
    <xf numFmtId="0" fontId="231" fillId="11" borderId="129" xfId="10" applyFont="1" applyFill="1" applyBorder="1" applyAlignment="1">
      <alignment horizontal="left" vertical="center" wrapText="1"/>
    </xf>
    <xf numFmtId="0" fontId="231" fillId="11" borderId="123" xfId="10" applyFont="1" applyFill="1" applyBorder="1" applyAlignment="1">
      <alignment horizontal="left" vertical="center" wrapText="1"/>
    </xf>
    <xf numFmtId="0" fontId="231" fillId="11" borderId="125" xfId="10" applyFont="1" applyFill="1" applyBorder="1" applyAlignment="1">
      <alignment horizontal="left" vertical="center" wrapText="1"/>
    </xf>
    <xf numFmtId="0" fontId="147" fillId="11" borderId="129" xfId="10" applyFont="1" applyFill="1" applyBorder="1" applyAlignment="1">
      <alignment horizontal="left" vertical="center" wrapText="1"/>
    </xf>
    <xf numFmtId="0" fontId="147" fillId="11" borderId="123" xfId="10" applyFont="1" applyFill="1" applyBorder="1" applyAlignment="1">
      <alignment horizontal="left" vertical="center" wrapText="1"/>
    </xf>
    <xf numFmtId="0" fontId="147" fillId="11" borderId="125" xfId="10" applyFont="1" applyFill="1" applyBorder="1" applyAlignment="1">
      <alignment horizontal="left" vertical="center" wrapText="1"/>
    </xf>
    <xf numFmtId="0" fontId="231" fillId="11" borderId="119" xfId="10" applyFont="1" applyFill="1" applyBorder="1" applyAlignment="1">
      <alignment horizontal="left" vertical="center" wrapText="1"/>
    </xf>
    <xf numFmtId="0" fontId="231" fillId="11" borderId="152" xfId="10" applyFont="1" applyFill="1" applyBorder="1" applyAlignment="1">
      <alignment horizontal="left" vertical="center" wrapText="1"/>
    </xf>
    <xf numFmtId="0" fontId="225" fillId="0" borderId="0" xfId="13" applyFont="1" applyAlignment="1">
      <alignment horizontal="left" vertical="center"/>
    </xf>
    <xf numFmtId="0" fontId="152"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0" fillId="5" borderId="10" xfId="0" applyFont="1" applyFill="1" applyBorder="1" applyAlignment="1">
      <alignment vertical="top" wrapText="1"/>
    </xf>
    <xf numFmtId="0" fontId="220" fillId="5" borderId="18" xfId="0" applyFont="1" applyFill="1" applyBorder="1" applyAlignment="1">
      <alignment vertical="top" wrapText="1"/>
    </xf>
    <xf numFmtId="0" fontId="220" fillId="5" borderId="3" xfId="0" applyFont="1" applyFill="1" applyBorder="1" applyAlignment="1">
      <alignment vertical="top" wrapText="1"/>
    </xf>
    <xf numFmtId="0" fontId="220" fillId="5" borderId="21" xfId="0" applyFont="1" applyFill="1" applyBorder="1" applyAlignment="1">
      <alignment vertical="top" wrapText="1"/>
    </xf>
    <xf numFmtId="0" fontId="156" fillId="5" borderId="49" xfId="0" applyFont="1" applyFill="1" applyBorder="1" applyAlignment="1">
      <alignment horizontal="left" vertical="center" wrapText="1"/>
    </xf>
    <xf numFmtId="0" fontId="156" fillId="5" borderId="38" xfId="0" applyFont="1" applyFill="1" applyBorder="1" applyAlignment="1">
      <alignment horizontal="left" vertical="center" wrapText="1"/>
    </xf>
    <xf numFmtId="0" fontId="153" fillId="5" borderId="49" xfId="0" applyFont="1" applyFill="1" applyBorder="1" applyAlignment="1">
      <alignment horizontal="left" vertical="center" wrapText="1"/>
    </xf>
    <xf numFmtId="0" fontId="153"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2" fillId="5" borderId="22" xfId="6" applyFont="1" applyFill="1" applyBorder="1" applyAlignment="1" applyProtection="1">
      <alignment horizontal="left" vertical="center"/>
      <protection locked="0"/>
    </xf>
    <xf numFmtId="0" fontId="152"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2" fillId="5" borderId="36" xfId="6" applyFont="1" applyFill="1" applyBorder="1" applyAlignment="1">
      <alignment horizontal="left" vertical="center"/>
    </xf>
    <xf numFmtId="0" fontId="152" fillId="5" borderId="37" xfId="6" applyFont="1" applyFill="1" applyBorder="1" applyAlignment="1">
      <alignment horizontal="left" vertical="center"/>
    </xf>
    <xf numFmtId="0" fontId="152"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4">
    <cellStyle name="百分比" xfId="16" builtinId="5"/>
    <cellStyle name="百分比 2" xfId="11"/>
    <cellStyle name="百分比 3" xfId="23"/>
    <cellStyle name="常规" xfId="0" builtinId="0"/>
    <cellStyle name="常规 10" xfId="18"/>
    <cellStyle name="常规 11" xfId="17"/>
    <cellStyle name="常规 12" xfId="19"/>
    <cellStyle name="常规 13" xfId="2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21" builtinId="8"/>
    <cellStyle name="超链接 2" xfId="22"/>
  </cellStyles>
  <dxfs count="20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364672</xdr:colOff>
      <xdr:row>1</xdr:row>
      <xdr:rowOff>29935</xdr:rowOff>
    </xdr:from>
    <xdr:to>
      <xdr:col>25</xdr:col>
      <xdr:colOff>506330</xdr:colOff>
      <xdr:row>41</xdr:row>
      <xdr:rowOff>29078</xdr:rowOff>
    </xdr:to>
    <xdr:pic>
      <xdr:nvPicPr>
        <xdr:cNvPr id="2" name="图片 1">
          <a:extLst>
            <a:ext uri="{FF2B5EF4-FFF2-40B4-BE49-F238E27FC236}">
              <a16:creationId xmlns=""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7908472" y="201385"/>
          <a:ext cx="9742858" cy="6857143"/>
        </a:xfrm>
        <a:prstGeom prst="rect">
          <a:avLst/>
        </a:prstGeom>
      </xdr:spPr>
    </xdr:pic>
    <xdr:clientData/>
  </xdr:twoCellAnchor>
  <xdr:twoCellAnchor editAs="oneCell">
    <xdr:from>
      <xdr:col>11</xdr:col>
      <xdr:colOff>223158</xdr:colOff>
      <xdr:row>130</xdr:row>
      <xdr:rowOff>148317</xdr:rowOff>
    </xdr:from>
    <xdr:to>
      <xdr:col>23</xdr:col>
      <xdr:colOff>184036</xdr:colOff>
      <xdr:row>163</xdr:row>
      <xdr:rowOff>71420</xdr:rowOff>
    </xdr:to>
    <xdr:pic>
      <xdr:nvPicPr>
        <xdr:cNvPr id="4" name="图片 3">
          <a:extLst>
            <a:ext uri="{FF2B5EF4-FFF2-40B4-BE49-F238E27FC236}">
              <a16:creationId xmlns="" xmlns:a16="http://schemas.microsoft.com/office/drawing/2014/main" id="{00000000-0008-0000-1800-000004000000}"/>
            </a:ext>
          </a:extLst>
        </xdr:cNvPr>
        <xdr:cNvPicPr>
          <a:picLocks noChangeAspect="1"/>
        </xdr:cNvPicPr>
      </xdr:nvPicPr>
      <xdr:blipFill>
        <a:blip xmlns:r="http://schemas.openxmlformats.org/officeDocument/2006/relationships" r:embed="rId2"/>
        <a:stretch>
          <a:fillRect/>
        </a:stretch>
      </xdr:blipFill>
      <xdr:spPr>
        <a:xfrm>
          <a:off x="7766958" y="22436817"/>
          <a:ext cx="8190478" cy="5580953"/>
        </a:xfrm>
        <a:prstGeom prst="rect">
          <a:avLst/>
        </a:prstGeom>
      </xdr:spPr>
    </xdr:pic>
    <xdr:clientData/>
  </xdr:twoCellAnchor>
  <xdr:twoCellAnchor editAs="oneCell">
    <xdr:from>
      <xdr:col>0</xdr:col>
      <xdr:colOff>76200</xdr:colOff>
      <xdr:row>0</xdr:row>
      <xdr:rowOff>164646</xdr:rowOff>
    </xdr:from>
    <xdr:to>
      <xdr:col>11</xdr:col>
      <xdr:colOff>227639</xdr:colOff>
      <xdr:row>44</xdr:row>
      <xdr:rowOff>30370</xdr:rowOff>
    </xdr:to>
    <xdr:pic>
      <xdr:nvPicPr>
        <xdr:cNvPr id="5" name="图片 4">
          <a:extLst>
            <a:ext uri="{FF2B5EF4-FFF2-40B4-BE49-F238E27FC236}">
              <a16:creationId xmlns="" xmlns:a16="http://schemas.microsoft.com/office/drawing/2014/main" id="{00000000-0008-0000-1800-000005000000}"/>
            </a:ext>
          </a:extLst>
        </xdr:cNvPr>
        <xdr:cNvPicPr>
          <a:picLocks noChangeAspect="1"/>
        </xdr:cNvPicPr>
      </xdr:nvPicPr>
      <xdr:blipFill>
        <a:blip xmlns:r="http://schemas.openxmlformats.org/officeDocument/2006/relationships" r:embed="rId3"/>
        <a:stretch>
          <a:fillRect/>
        </a:stretch>
      </xdr:blipFill>
      <xdr:spPr>
        <a:xfrm>
          <a:off x="76200" y="164646"/>
          <a:ext cx="7695239" cy="7409524"/>
        </a:xfrm>
        <a:prstGeom prst="rect">
          <a:avLst/>
        </a:prstGeom>
      </xdr:spPr>
    </xdr:pic>
    <xdr:clientData/>
  </xdr:twoCellAnchor>
  <xdr:twoCellAnchor editAs="oneCell">
    <xdr:from>
      <xdr:col>0</xdr:col>
      <xdr:colOff>272143</xdr:colOff>
      <xdr:row>43</xdr:row>
      <xdr:rowOff>13608</xdr:rowOff>
    </xdr:from>
    <xdr:to>
      <xdr:col>7</xdr:col>
      <xdr:colOff>625928</xdr:colOff>
      <xdr:row>60</xdr:row>
      <xdr:rowOff>138321</xdr:rowOff>
    </xdr:to>
    <xdr:pic>
      <xdr:nvPicPr>
        <xdr:cNvPr id="6" name="图片 5">
          <a:extLst>
            <a:ext uri="{FF2B5EF4-FFF2-40B4-BE49-F238E27FC236}">
              <a16:creationId xmlns="" xmlns:a16="http://schemas.microsoft.com/office/drawing/2014/main" id="{00000000-0008-0000-1800-000006000000}"/>
            </a:ext>
          </a:extLst>
        </xdr:cNvPr>
        <xdr:cNvPicPr>
          <a:picLocks noChangeAspect="1"/>
        </xdr:cNvPicPr>
      </xdr:nvPicPr>
      <xdr:blipFill>
        <a:blip xmlns:r="http://schemas.openxmlformats.org/officeDocument/2006/relationships" r:embed="rId4"/>
        <a:stretch>
          <a:fillRect/>
        </a:stretch>
      </xdr:blipFill>
      <xdr:spPr>
        <a:xfrm>
          <a:off x="272143" y="7385958"/>
          <a:ext cx="5154385" cy="3039363"/>
        </a:xfrm>
        <a:prstGeom prst="rect">
          <a:avLst/>
        </a:prstGeom>
      </xdr:spPr>
    </xdr:pic>
    <xdr:clientData/>
  </xdr:twoCellAnchor>
  <xdr:twoCellAnchor editAs="oneCell">
    <xdr:from>
      <xdr:col>0</xdr:col>
      <xdr:colOff>285752</xdr:colOff>
      <xdr:row>105</xdr:row>
      <xdr:rowOff>149679</xdr:rowOff>
    </xdr:from>
    <xdr:to>
      <xdr:col>7</xdr:col>
      <xdr:colOff>312966</xdr:colOff>
      <xdr:row>128</xdr:row>
      <xdr:rowOff>26096</xdr:rowOff>
    </xdr:to>
    <xdr:pic>
      <xdr:nvPicPr>
        <xdr:cNvPr id="8" name="图片 7">
          <a:extLst>
            <a:ext uri="{FF2B5EF4-FFF2-40B4-BE49-F238E27FC236}">
              <a16:creationId xmlns="" xmlns:a16="http://schemas.microsoft.com/office/drawing/2014/main" id="{00000000-0008-0000-1800-000008000000}"/>
            </a:ext>
          </a:extLst>
        </xdr:cNvPr>
        <xdr:cNvPicPr>
          <a:picLocks noChangeAspect="1"/>
        </xdr:cNvPicPr>
      </xdr:nvPicPr>
      <xdr:blipFill>
        <a:blip xmlns:r="http://schemas.openxmlformats.org/officeDocument/2006/relationships" r:embed="rId5"/>
        <a:stretch>
          <a:fillRect/>
        </a:stretch>
      </xdr:blipFill>
      <xdr:spPr>
        <a:xfrm>
          <a:off x="285752" y="18151929"/>
          <a:ext cx="4827814" cy="3819767"/>
        </a:xfrm>
        <a:prstGeom prst="rect">
          <a:avLst/>
        </a:prstGeom>
      </xdr:spPr>
    </xdr:pic>
    <xdr:clientData/>
  </xdr:twoCellAnchor>
  <xdr:twoCellAnchor editAs="oneCell">
    <xdr:from>
      <xdr:col>0</xdr:col>
      <xdr:colOff>204107</xdr:colOff>
      <xdr:row>130</xdr:row>
      <xdr:rowOff>163286</xdr:rowOff>
    </xdr:from>
    <xdr:to>
      <xdr:col>11</xdr:col>
      <xdr:colOff>205893</xdr:colOff>
      <xdr:row>171</xdr:row>
      <xdr:rowOff>5917</xdr:rowOff>
    </xdr:to>
    <xdr:pic>
      <xdr:nvPicPr>
        <xdr:cNvPr id="9" name="图片 8">
          <a:extLst>
            <a:ext uri="{FF2B5EF4-FFF2-40B4-BE49-F238E27FC236}">
              <a16:creationId xmlns="" xmlns:a16="http://schemas.microsoft.com/office/drawing/2014/main" id="{00000000-0008-0000-1800-000009000000}"/>
            </a:ext>
          </a:extLst>
        </xdr:cNvPr>
        <xdr:cNvPicPr>
          <a:picLocks noChangeAspect="1"/>
        </xdr:cNvPicPr>
      </xdr:nvPicPr>
      <xdr:blipFill>
        <a:blip xmlns:r="http://schemas.openxmlformats.org/officeDocument/2006/relationships" r:embed="rId6"/>
        <a:stretch>
          <a:fillRect/>
        </a:stretch>
      </xdr:blipFill>
      <xdr:spPr>
        <a:xfrm>
          <a:off x="204107" y="22451786"/>
          <a:ext cx="7545586" cy="6872081"/>
        </a:xfrm>
        <a:prstGeom prst="rect">
          <a:avLst/>
        </a:prstGeom>
      </xdr:spPr>
    </xdr:pic>
    <xdr:clientData/>
  </xdr:twoCellAnchor>
  <xdr:twoCellAnchor editAs="oneCell">
    <xdr:from>
      <xdr:col>0</xdr:col>
      <xdr:colOff>149677</xdr:colOff>
      <xdr:row>171</xdr:row>
      <xdr:rowOff>13606</xdr:rowOff>
    </xdr:from>
    <xdr:to>
      <xdr:col>8</xdr:col>
      <xdr:colOff>678839</xdr:colOff>
      <xdr:row>179</xdr:row>
      <xdr:rowOff>108858</xdr:rowOff>
    </xdr:to>
    <xdr:pic>
      <xdr:nvPicPr>
        <xdr:cNvPr id="10" name="图片 9">
          <a:extLst>
            <a:ext uri="{FF2B5EF4-FFF2-40B4-BE49-F238E27FC236}">
              <a16:creationId xmlns="" xmlns:a16="http://schemas.microsoft.com/office/drawing/2014/main" id="{00000000-0008-0000-1800-00000A000000}"/>
            </a:ext>
          </a:extLst>
        </xdr:cNvPr>
        <xdr:cNvPicPr>
          <a:picLocks noChangeAspect="1"/>
        </xdr:cNvPicPr>
      </xdr:nvPicPr>
      <xdr:blipFill>
        <a:blip xmlns:r="http://schemas.openxmlformats.org/officeDocument/2006/relationships" r:embed="rId7"/>
        <a:stretch>
          <a:fillRect/>
        </a:stretch>
      </xdr:blipFill>
      <xdr:spPr>
        <a:xfrm>
          <a:off x="149677" y="29331556"/>
          <a:ext cx="6015562" cy="1466852"/>
        </a:xfrm>
        <a:prstGeom prst="rect">
          <a:avLst/>
        </a:prstGeom>
      </xdr:spPr>
    </xdr:pic>
    <xdr:clientData/>
  </xdr:twoCellAnchor>
  <xdr:twoCellAnchor editAs="oneCell">
    <xdr:from>
      <xdr:col>0</xdr:col>
      <xdr:colOff>136072</xdr:colOff>
      <xdr:row>180</xdr:row>
      <xdr:rowOff>122465</xdr:rowOff>
    </xdr:from>
    <xdr:to>
      <xdr:col>17</xdr:col>
      <xdr:colOff>370002</xdr:colOff>
      <xdr:row>220</xdr:row>
      <xdr:rowOff>122941</xdr:rowOff>
    </xdr:to>
    <xdr:pic>
      <xdr:nvPicPr>
        <xdr:cNvPr id="11" name="图片 10"/>
        <xdr:cNvPicPr>
          <a:picLocks noChangeAspect="1"/>
        </xdr:cNvPicPr>
      </xdr:nvPicPr>
      <xdr:blipFill>
        <a:blip xmlns:r="http://schemas.openxmlformats.org/officeDocument/2006/relationships" r:embed="rId8"/>
        <a:stretch>
          <a:fillRect/>
        </a:stretch>
      </xdr:blipFill>
      <xdr:spPr>
        <a:xfrm>
          <a:off x="136072" y="31963179"/>
          <a:ext cx="11800001" cy="7076191"/>
        </a:xfrm>
        <a:prstGeom prst="rect">
          <a:avLst/>
        </a:prstGeom>
      </xdr:spPr>
    </xdr:pic>
    <xdr:clientData/>
  </xdr:twoCellAnchor>
  <xdr:twoCellAnchor editAs="oneCell">
    <xdr:from>
      <xdr:col>8</xdr:col>
      <xdr:colOff>676275</xdr:colOff>
      <xdr:row>62</xdr:row>
      <xdr:rowOff>0</xdr:rowOff>
    </xdr:from>
    <xdr:to>
      <xdr:col>22</xdr:col>
      <xdr:colOff>17933</xdr:colOff>
      <xdr:row>98</xdr:row>
      <xdr:rowOff>113515</xdr:rowOff>
    </xdr:to>
    <xdr:pic>
      <xdr:nvPicPr>
        <xdr:cNvPr id="12" name="图片 11"/>
        <xdr:cNvPicPr>
          <a:picLocks noChangeAspect="1"/>
        </xdr:cNvPicPr>
      </xdr:nvPicPr>
      <xdr:blipFill>
        <a:blip xmlns:r="http://schemas.openxmlformats.org/officeDocument/2006/relationships" r:embed="rId9"/>
        <a:stretch>
          <a:fillRect/>
        </a:stretch>
      </xdr:blipFill>
      <xdr:spPr>
        <a:xfrm>
          <a:off x="6162675" y="10629900"/>
          <a:ext cx="8942858" cy="62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609600</xdr:colOff>
      <xdr:row>20</xdr:row>
      <xdr:rowOff>400050</xdr:rowOff>
    </xdr:from>
    <xdr:to>
      <xdr:col>13</xdr:col>
      <xdr:colOff>2324100</xdr:colOff>
      <xdr:row>36</xdr:row>
      <xdr:rowOff>285750</xdr:rowOff>
    </xdr:to>
    <xdr:pic>
      <xdr:nvPicPr>
        <xdr:cNvPr id="2" name="图片 1">
          <a:extLst>
            <a:ext uri="{FF2B5EF4-FFF2-40B4-BE49-F238E27FC236}">
              <a16:creationId xmlns="" xmlns:a16="http://schemas.microsoft.com/office/drawing/2014/main" id="{D8C09F84-3AC2-F041-8D5F-6E9CC623490F}"/>
            </a:ext>
          </a:extLst>
        </xdr:cNvPr>
        <xdr:cNvPicPr>
          <a:picLocks noChangeAspect="1"/>
        </xdr:cNvPicPr>
      </xdr:nvPicPr>
      <xdr:blipFill>
        <a:blip xmlns:r="http://schemas.openxmlformats.org/officeDocument/2006/relationships" r:embed="rId1"/>
        <a:srcRect l="626" t="16799" r="3035" b="12489"/>
        <a:stretch>
          <a:fillRect/>
        </a:stretch>
      </xdr:blipFill>
      <xdr:spPr>
        <a:xfrm>
          <a:off x="3200400" y="9163050"/>
          <a:ext cx="11696700" cy="6896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wangchaoyue23/&#20849;&#20139;&#25991;&#26723;2/&#38134;&#34892;&#32452;/&#36164;&#26009;&#22841;&#8212;&#8212;&#37073;&#29146;/&#19994;&#21153;&#19977;&#37096;-&#23425;&#23567;&#40151;/&#22823;&#32418;&#38376;B&#21306;&#38750;&#23429;&#27979;&#31639;&#34920;/&#22303;&#22320;&#65288;&#40511;&#37117;&#22269;&#38469;&#36731;&#32442;&#22478;&#65289;-0912-&#19971;&#3689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wangchaoyue23/&#20849;&#20139;&#25991;&#26723;2/&#38134;&#34892;&#32452;/&#36164;&#26009;&#22841;&#8212;&#8212;&#37073;&#29146;/&#19994;&#21153;&#19977;&#37096;-&#23425;&#23567;&#40151;/&#22823;&#32418;&#38376;B&#21306;&#38750;&#23429;&#27979;&#31639;&#34920;/&#22303;&#22320;&#65288;&#40511;&#37117;&#22269;&#38469;&#36731;&#32442;&#22478;&#65289;-09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65288;&#40511;&#37117;&#22269;&#38469;&#36731;&#32442;&#22478;&#65289;-09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608;&#24196;&#23376;&#23454;&#29289;&#34917;&#2060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6731;&#32442;&#22478;&#36755;&#26426;&#34920;&#65288;&#35777;&#36733;2023.11.1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增值收益扣减）法"/>
      <sheetName val="基准地价"/>
      <sheetName val="比较法-工业"/>
      <sheetName val="剩余法-现房"/>
      <sheetName val="比较法-住宅、综合"/>
      <sheetName val="不动产收益法"/>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通兴房顺昌门出让-工业"/>
      <sheetName val="比较法案例位置"/>
      <sheetName val="成本逼近法"/>
      <sheetName val="比较法-土地一级开发"/>
      <sheetName val="土地一级开发案例"/>
      <sheetName val="丰台出让"/>
      <sheetName val="丰台集地征收"/>
      <sheetName val="朝海石出让"/>
      <sheetName val="成本表"/>
      <sheetName val="北京市城市地价动态监测结果"/>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3">
          <cell r="D3">
            <v>17556.580000000002</v>
          </cell>
        </row>
        <row r="17">
          <cell r="C17" t="str">
            <v>项目类型</v>
          </cell>
        </row>
        <row r="19">
          <cell r="C19" t="str">
            <v>鸿都轻纺城</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ow r="33">
          <cell r="C33">
            <v>0.62309999999999999</v>
          </cell>
        </row>
      </sheetData>
      <sheetData sheetId="19"/>
      <sheetData sheetId="20">
        <row r="4">
          <cell r="B4">
            <v>8309</v>
          </cell>
        </row>
        <row r="71">
          <cell r="B71" t="str">
            <v>用途</v>
          </cell>
          <cell r="C71" t="str">
            <v>仓储</v>
          </cell>
          <cell r="D71" t="str">
            <v xml:space="preserve"> W1物流用地</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1" refreshError="1"/>
      <sheetData sheetId="2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3" refreshError="1"/>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ow r="26">
          <cell r="B26">
            <v>4910</v>
          </cell>
        </row>
      </sheetData>
      <sheetData sheetId="39" refreshError="1"/>
      <sheetData sheetId="40" refreshError="1"/>
      <sheetData sheetId="41" refreshError="1"/>
      <sheetData sheetId="42" refreshError="1"/>
      <sheetData sheetId="43" refreshError="1"/>
      <sheetData sheetId="4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增值收益扣减）法"/>
      <sheetName val="基准地价"/>
      <sheetName val="修正"/>
      <sheetName val="区片价"/>
      <sheetName val="区片价-范围"/>
      <sheetName val="容积率修正"/>
      <sheetName val="因素修正幅度"/>
      <sheetName val="比较法-工业"/>
      <sheetName val="剩余法-现房"/>
      <sheetName val="不动产收益法"/>
      <sheetName val="通州大兴房山出让-工业"/>
      <sheetName val="成本逼近法"/>
      <sheetName val="比较法-住宅、综合"/>
      <sheetName val="基准地价（汇总）"/>
      <sheetName val="收益还原法"/>
      <sheetName val="比较法-土地一级开发"/>
      <sheetName val="土地一级开发案例"/>
      <sheetName val="丰台出让"/>
      <sheetName val="丰台集地征收"/>
      <sheetName val="朝海石出让"/>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成本表"/>
      <sheetName val="北京市城市地价动态监测结果"/>
      <sheetName val="地价"/>
      <sheetName val="地价-分区"/>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鸿都国际轻纺城市场</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sheetData sheetId="2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1" refreshError="1"/>
      <sheetData sheetId="22" refreshError="1"/>
      <sheetData sheetId="23" refreshError="1"/>
      <sheetData sheetId="24" refreshError="1"/>
      <sheetData sheetId="25">
        <row r="71">
          <cell r="B71" t="str">
            <v>用途</v>
          </cell>
          <cell r="C71" t="str">
            <v>仓储</v>
          </cell>
          <cell r="D71" t="str">
            <v xml:space="preserve"> W1物流用地</v>
          </cell>
          <cell r="E71" t="str">
            <v xml:space="preserve"> 物流仓储用地</v>
          </cell>
        </row>
        <row r="98">
          <cell r="B98" t="str">
            <v>毗邻道路的类型与等级</v>
          </cell>
        </row>
        <row r="100">
          <cell r="B100" t="str">
            <v>土地级别</v>
          </cell>
        </row>
        <row r="111">
          <cell r="B111" t="str">
            <v>宗地形状</v>
          </cell>
          <cell r="C111" t="str">
            <v>较规则</v>
          </cell>
          <cell r="D111" t="str">
            <v>较不规则</v>
          </cell>
        </row>
        <row r="113">
          <cell r="B113" t="str">
            <v>宗地开发程度</v>
          </cell>
          <cell r="C113" t="str">
            <v>七通一平</v>
          </cell>
          <cell r="D113" t="str">
            <v>六通一平</v>
          </cell>
          <cell r="E113" t="str">
            <v>五通一平</v>
          </cell>
          <cell r="F113" t="str">
            <v>四通一平</v>
          </cell>
          <cell r="G113" t="str">
            <v>三通一平</v>
          </cell>
        </row>
        <row r="115">
          <cell r="B115" t="str">
            <v>工程地质条件</v>
          </cell>
          <cell r="C115" t="str">
            <v>较好</v>
          </cell>
        </row>
      </sheetData>
      <sheetData sheetId="26" refreshError="1"/>
      <sheetData sheetId="27" refreshError="1"/>
      <sheetData sheetId="28" refreshError="1"/>
      <sheetData sheetId="29"/>
      <sheetData sheetId="3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31" refreshError="1"/>
      <sheetData sheetId="32" refreshError="1"/>
      <sheetData sheetId="33" refreshError="1"/>
      <sheetData sheetId="34">
        <row r="3">
          <cell r="F3" t="str">
            <v>Ⅲ-05</v>
          </cell>
        </row>
      </sheetData>
      <sheetData sheetId="35" refreshError="1"/>
      <sheetData sheetId="36" refreshError="1"/>
      <sheetData sheetId="37"/>
      <sheetData sheetId="38" refreshError="1"/>
      <sheetData sheetId="3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增值收益扣减）法"/>
      <sheetName val="基准地价"/>
      <sheetName val="修正"/>
      <sheetName val="区片价"/>
      <sheetName val="区片价-范围"/>
      <sheetName val="容积率修正"/>
      <sheetName val="因素修正幅度"/>
      <sheetName val="比较法-工业"/>
      <sheetName val="剩余法-现房"/>
      <sheetName val="不动产收益法"/>
      <sheetName val="通州大兴房山出让-工业"/>
      <sheetName val="成本逼近法"/>
      <sheetName val="比较法-住宅、综合"/>
      <sheetName val="基准地价（汇总）"/>
      <sheetName val="收益还原法"/>
      <sheetName val="比较法-土地一级开发"/>
      <sheetName val="土地一级开发案例"/>
      <sheetName val="丰台出让"/>
      <sheetName val="丰台集地征收"/>
      <sheetName val="朝海石出让"/>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成本表"/>
      <sheetName val="北京市城市地价动态监测结果"/>
      <sheetName val="地价"/>
      <sheetName val="地价-分区"/>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鸿都国际轻纺城市场</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sheetData sheetId="2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1" refreshError="1"/>
      <sheetData sheetId="22" refreshError="1"/>
      <sheetData sheetId="23" refreshError="1"/>
      <sheetData sheetId="24" refreshError="1"/>
      <sheetData sheetId="25">
        <row r="71">
          <cell r="B71" t="str">
            <v>用途</v>
          </cell>
          <cell r="C71" t="str">
            <v>仓储</v>
          </cell>
          <cell r="D71" t="str">
            <v xml:space="preserve"> W1物流用地</v>
          </cell>
          <cell r="E71" t="str">
            <v xml:space="preserve"> 物流仓储用地</v>
          </cell>
        </row>
        <row r="98">
          <cell r="B98" t="str">
            <v>毗邻道路的类型与等级</v>
          </cell>
        </row>
        <row r="100">
          <cell r="B100" t="str">
            <v>土地级别</v>
          </cell>
        </row>
        <row r="111">
          <cell r="B111" t="str">
            <v>宗地形状</v>
          </cell>
          <cell r="C111" t="str">
            <v>较规则</v>
          </cell>
          <cell r="D111" t="str">
            <v>较不规则</v>
          </cell>
        </row>
        <row r="113">
          <cell r="B113" t="str">
            <v>宗地开发程度</v>
          </cell>
          <cell r="C113" t="str">
            <v>七通一平</v>
          </cell>
          <cell r="D113" t="str">
            <v>六通一平</v>
          </cell>
          <cell r="E113" t="str">
            <v>五通一平</v>
          </cell>
          <cell r="F113" t="str">
            <v>四通一平</v>
          </cell>
          <cell r="G113" t="str">
            <v>三通一平</v>
          </cell>
        </row>
        <row r="115">
          <cell r="B115" t="str">
            <v>工程地质条件</v>
          </cell>
          <cell r="C115" t="str">
            <v>较好</v>
          </cell>
        </row>
      </sheetData>
      <sheetData sheetId="26" refreshError="1"/>
      <sheetData sheetId="27" refreshError="1"/>
      <sheetData sheetId="28" refreshError="1"/>
      <sheetData sheetId="29"/>
      <sheetData sheetId="3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31" refreshError="1"/>
      <sheetData sheetId="32" refreshError="1"/>
      <sheetData sheetId="33" refreshError="1"/>
      <sheetData sheetId="34">
        <row r="3">
          <cell r="F3" t="str">
            <v>Ⅲ-05</v>
          </cell>
        </row>
      </sheetData>
      <sheetData sheetId="35" refreshError="1"/>
      <sheetData sheetId="36" refreshError="1"/>
      <sheetData sheetId="37"/>
      <sheetData sheetId="38" refreshError="1"/>
      <sheetData sheetId="3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 sheetId="47" refreshError="1"/>
      <sheetData sheetId="48" refreshError="1"/>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6">
          <cell r="F56">
            <v>6450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一层 (9.7)"/>
      <sheetName val="汇总表"/>
      <sheetName val="（2-7）一层"/>
      <sheetName val="（2-7）二层"/>
      <sheetName val="局部三层"/>
      <sheetName val="1号房"/>
      <sheetName val="9号房"/>
      <sheetName val="变压器房"/>
      <sheetName val="分值"/>
      <sheetName val="附属物"/>
    </sheetNames>
    <sheetDataSet>
      <sheetData sheetId="0">
        <row r="225">
          <cell r="D225">
            <v>6018144</v>
          </cell>
        </row>
        <row r="252">
          <cell r="B252">
            <v>2716571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hyperlink" Target="http://yewu.ghzrzyw.beijing.gov.cn/gwxxfb/tdsc/tdzpgxm.html" TargetMode="Externa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land.3fang.com/market/eb190192-c162-4c4e-a759-510afdd938e5_110100.html" TargetMode="External"/><Relationship Id="rId1" Type="http://schemas.openxmlformats.org/officeDocument/2006/relationships/hyperlink" Target="https://baijiahao.baidu.com/s?id=1759608990352329476&amp;wfr=spider&amp;for=pc" TargetMode="External"/><Relationship Id="rId5" Type="http://schemas.openxmlformats.org/officeDocument/2006/relationships/comments" Target="../comments15.xml"/><Relationship Id="rId4" Type="http://schemas.openxmlformats.org/officeDocument/2006/relationships/vmlDrawing" Target="../drawings/vmlDrawing1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186" customWidth="1"/>
    <col min="2" max="2" width="78.125" style="2187" customWidth="1"/>
    <col min="3" max="18" width="9" style="2180"/>
    <col min="19" max="19" width="17.875" style="2180" customWidth="1"/>
    <col min="20" max="51" width="9" style="2180"/>
    <col min="52" max="52" width="13.125" style="2180" customWidth="1"/>
    <col min="53" max="53" width="13.5" style="2180" bestFit="1" customWidth="1"/>
    <col min="54" max="54" width="11.625" style="2180" bestFit="1" customWidth="1"/>
    <col min="55" max="55" width="13.5" style="2180" bestFit="1" customWidth="1"/>
    <col min="56" max="16384" width="9" style="2180"/>
  </cols>
  <sheetData>
    <row r="1" spans="1:55" s="2192" customFormat="1" ht="16.5" thickBot="1">
      <c r="A1" s="2190" t="s">
        <v>1935</v>
      </c>
      <c r="B1" s="2191" t="s">
        <v>2032</v>
      </c>
    </row>
    <row r="2" spans="1:55" s="2195" customFormat="1" ht="15" thickTop="1">
      <c r="A2" s="2193" t="s">
        <v>1939</v>
      </c>
      <c r="B2" s="2194" t="str">
        <f>'预评函-封皮'!B37</f>
        <v>北京市丰台区大红门西后街甲1号“鸿都国际轻纺城”项目划拨国有建设用地使用权市场价格预评估</v>
      </c>
      <c r="AX2" s="2196"/>
      <c r="AZ2" s="2196"/>
      <c r="BA2" s="2197"/>
      <c r="BC2" s="2197"/>
    </row>
    <row r="3" spans="1:55">
      <c r="A3" s="2181" t="s">
        <v>1940</v>
      </c>
      <c r="B3" s="2182">
        <f>'预评函-封皮'!B40</f>
        <v>0</v>
      </c>
    </row>
    <row r="4" spans="1:55" s="2183" customFormat="1">
      <c r="A4" s="2181" t="s">
        <v>1941</v>
      </c>
      <c r="B4" s="2182" t="str">
        <f>'预评函-封皮'!B46</f>
        <v>郑燚、土地估价师</v>
      </c>
      <c r="N4" s="2183" t="str">
        <f>'预评函-1'!A28</f>
        <v>——</v>
      </c>
    </row>
    <row r="5" spans="1:55" s="2192" customFormat="1" ht="15" thickBot="1">
      <c r="A5" s="2198" t="s">
        <v>1942</v>
      </c>
      <c r="B5" s="2199" t="str">
        <f>'预评函-封皮'!B49</f>
        <v>康正预评字号</v>
      </c>
    </row>
    <row r="6" spans="1:55" s="2200" customFormat="1" ht="15" thickTop="1">
      <c r="A6" s="2193" t="s">
        <v>1984</v>
      </c>
      <c r="B6" s="2194" t="str">
        <f>'预评函-1'!A4</f>
        <v>受贵公司委托，我公司对北京市丰台区大红门西后街甲1号“鸿都国际轻纺城”项目划拨国有建设用地使用权市场价格进行了预评估。</v>
      </c>
      <c r="AM6" s="2201"/>
    </row>
    <row r="7" spans="1:55">
      <c r="A7" s="2181" t="s">
        <v>1936</v>
      </c>
      <c r="B7" s="2182" t="str">
        <f>'预评函-1'!A6</f>
        <v>估价对象为使用的、位于北京市丰台区大红门西后街甲1号“鸿都国际轻纺城”项目划拨国有建设用地使用权。根据《国有土地使用证》[丰国用（2002）字第001393号]，估价对象（分摊）划拨国有建设用地使用权面积为17556.58平方米。根据《房屋所有权证》[京房权证丰国字第04279号]，估价对象规划建筑面积为5006.88平方米。</v>
      </c>
    </row>
    <row r="8" spans="1:55">
      <c r="A8" s="2181" t="s">
        <v>1937</v>
      </c>
      <c r="B8" s="218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1" t="s">
        <v>1987</v>
      </c>
      <c r="B9" s="2182" t="str">
        <f>'预评函-1'!A9</f>
        <v>本次评估为委托估价方了解标的物之市场价格提供参考依据而评估划拨国有建设用地使用权市场价格。</v>
      </c>
    </row>
    <row r="10" spans="1:55">
      <c r="A10" s="2181" t="s">
        <v>1938</v>
      </c>
      <c r="B10" s="2182" t="str">
        <f>'预评函-1'!A11</f>
        <v>2023年9月27日</v>
      </c>
    </row>
    <row r="11" spans="1:55">
      <c r="A11" s="2181" t="s">
        <v>1944</v>
      </c>
      <c r="B11" s="2182" t="str">
        <f>'预评函-1'!A14</f>
        <v>根据《国有土地使用证》[丰国用（2002）字第001393号]，本次评估估价对象证载（地类）用途为仓储。</v>
      </c>
    </row>
    <row r="12" spans="1:55">
      <c r="A12" s="2181" t="s">
        <v>1945</v>
      </c>
      <c r="B12" s="2182" t="str">
        <f>'预评函-1'!A15</f>
        <v>本次评估设定用途即为证载用途仓储。</v>
      </c>
    </row>
    <row r="13" spans="1:55">
      <c r="A13" s="2181" t="s">
        <v>1946</v>
      </c>
      <c r="B13" s="2182" t="str">
        <f>'预评函-1'!A17</f>
        <v>根据委托估价方介绍及评估专业人员现场勘查，本次评估估价对象实际土地开发程度为红线外市政基础设施达“七通”（即通路、通电、通讯、通上水、通下水、通热、燃气）、宗地红线内场地未平整，已完工。</v>
      </c>
    </row>
    <row r="14" spans="1:55">
      <c r="A14" s="2181" t="s">
        <v>1947</v>
      </c>
      <c r="B14" s="2182" t="str">
        <f>'预评函-1'!A18</f>
        <v>。本次评估设定土地开发程度为红线外市政基础设施达“七通”、宗地红线内场地平整。</v>
      </c>
    </row>
    <row r="15" spans="1:55">
      <c r="A15" s="2181" t="s">
        <v>1943</v>
      </c>
      <c r="B15" s="2182" t="str">
        <f>'预评函-1'!A20</f>
        <v>根据《国有土地使用证》[丰国用（2002）字第001393号]，估价对象（分摊）出让国有建设用地使用权面积为17556.58平方米。根据《房屋所有权证》[京房权证丰国字第04279号]，估价对象规划建筑面积为5006.88平方米。</v>
      </c>
    </row>
    <row r="16" spans="1:55">
      <c r="A16" s="2181" t="s">
        <v>1948</v>
      </c>
      <c r="B16" s="2182" t="str">
        <f>'预评函-1'!A22</f>
        <v>本次估价对象国有建设用地使用权类型为划拨，无土地使用年限限制。</v>
      </c>
    </row>
    <row r="17" spans="1:48">
      <c r="A17" s="2181" t="s">
        <v>1949</v>
      </c>
      <c r="B17" s="2182" t="str">
        <f>'预评函-1'!A23</f>
        <v/>
      </c>
    </row>
    <row r="18" spans="1:48">
      <c r="A18" s="2181" t="s">
        <v>1950</v>
      </c>
      <c r="B18" s="2182" t="str">
        <f>'预评函-1'!A25</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仓储的划拨国有建设用地使用权价格。</v>
      </c>
    </row>
    <row r="19" spans="1:48">
      <c r="A19" s="2181" t="s">
        <v>1951</v>
      </c>
      <c r="B19" s="2182" t="str">
        <f>'预评函-1'!A26</f>
        <v>——</v>
      </c>
    </row>
    <row r="20" spans="1:48">
      <c r="A20" s="2181" t="s">
        <v>1952</v>
      </c>
      <c r="B20" s="2182" t="str">
        <f>'预评函-1'!A27</f>
        <v>——</v>
      </c>
    </row>
    <row r="21" spans="1:48" s="2192" customFormat="1" ht="15" thickBot="1">
      <c r="A21" s="2198" t="s">
        <v>1953</v>
      </c>
      <c r="B21" s="2199" t="str">
        <f>'预评函-1'!A28</f>
        <v>——</v>
      </c>
    </row>
    <row r="22" spans="1:48" ht="15" thickTop="1">
      <c r="A22" s="2188" t="s">
        <v>1954</v>
      </c>
      <c r="B22" s="218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181" t="s">
        <v>1955</v>
      </c>
      <c r="B23" s="2182" t="str">
        <f>'预评函-2'!K2</f>
        <v>估价期日：2023年9月27日</v>
      </c>
    </row>
    <row r="24" spans="1:48">
      <c r="A24" s="2181" t="s">
        <v>1956</v>
      </c>
      <c r="B24" s="2182" t="str">
        <f>'预评函-2'!R2</f>
        <v>估价期日的国有建设用地使用权性质：划拨</v>
      </c>
    </row>
    <row r="25" spans="1:48">
      <c r="A25" s="2181" t="s">
        <v>2012</v>
      </c>
      <c r="B25" s="2182" t="str">
        <f>'预评函-2'!A3</f>
        <v>估价期日土地使用者</v>
      </c>
    </row>
    <row r="26" spans="1:48">
      <c r="A26" s="2181" t="s">
        <v>1988</v>
      </c>
      <c r="B26" s="2182" t="str">
        <f>'预评函-2'!A5</f>
        <v>中信开发</v>
      </c>
    </row>
    <row r="27" spans="1:48">
      <c r="A27" s="2181" t="s">
        <v>2013</v>
      </c>
      <c r="B27" s="2182" t="str">
        <f>'预评函-2'!B3</f>
        <v>宗地编号/不动产单元号</v>
      </c>
    </row>
    <row r="28" spans="1:48">
      <c r="A28" s="2181" t="s">
        <v>1989</v>
      </c>
      <c r="B28" s="2182" t="str">
        <f>'预评函-2'!B5</f>
        <v>11111111111</v>
      </c>
    </row>
    <row r="29" spans="1:48">
      <c r="A29" s="2181" t="s">
        <v>2015</v>
      </c>
      <c r="B29" s="2182">
        <f>'预评函-2'!C5</f>
        <v>22</v>
      </c>
    </row>
    <row r="30" spans="1:48">
      <c r="A30" s="2181" t="s">
        <v>2016</v>
      </c>
      <c r="B30" s="2182" t="str">
        <f>'预评函-2'!D3</f>
        <v>土地使用证编号/不动产权证书编号</v>
      </c>
    </row>
    <row r="31" spans="1:48">
      <c r="A31" s="2181" t="s">
        <v>1990</v>
      </c>
      <c r="B31" s="2182" t="str">
        <f>'预评函-2'!D5</f>
        <v>京国土字第111号</v>
      </c>
    </row>
    <row r="32" spans="1:48">
      <c r="A32" s="2181" t="s">
        <v>1991</v>
      </c>
      <c r="B32" s="2182" t="str">
        <f>'预评函-2'!E5</f>
        <v>仓储</v>
      </c>
      <c r="AV32" s="2184"/>
    </row>
    <row r="33" spans="1:2">
      <c r="A33" s="2181" t="s">
        <v>1992</v>
      </c>
      <c r="B33" s="2182">
        <f>'预评函-2'!F5</f>
        <v>258</v>
      </c>
    </row>
    <row r="34" spans="1:2">
      <c r="A34" s="2181" t="s">
        <v>1993</v>
      </c>
      <c r="B34" s="2182" t="str">
        <f>'预评函-2'!G5</f>
        <v>仓储</v>
      </c>
    </row>
    <row r="35" spans="1:2">
      <c r="A35" s="2181" t="s">
        <v>1994</v>
      </c>
      <c r="B35" s="2182">
        <f>'预评函-2'!H5</f>
        <v>1.5</v>
      </c>
    </row>
    <row r="36" spans="1:2">
      <c r="A36" s="2181" t="s">
        <v>1995</v>
      </c>
      <c r="B36" s="2182">
        <f>'预评函-2'!I5</f>
        <v>1.5</v>
      </c>
    </row>
    <row r="37" spans="1:2">
      <c r="A37" s="2181" t="s">
        <v>1996</v>
      </c>
      <c r="B37" s="2182">
        <f>'预评函-2'!J5</f>
        <v>1.5</v>
      </c>
    </row>
    <row r="38" spans="1:2">
      <c r="A38" s="2181" t="s">
        <v>1997</v>
      </c>
      <c r="B38" s="2182" t="str">
        <f>'预评函-2'!K5</f>
        <v>红线外七通、宗地红线内场地未平整</v>
      </c>
    </row>
    <row r="39" spans="1:2">
      <c r="A39" s="2181" t="s">
        <v>1998</v>
      </c>
      <c r="B39" s="2182" t="str">
        <f>'预评函-2'!L5</f>
        <v>红线外七通、宗地红线内场地</v>
      </c>
    </row>
    <row r="40" spans="1:2">
      <c r="A40" s="2181" t="s">
        <v>2017</v>
      </c>
      <c r="B40" s="2182" t="str">
        <f>'预评函-2'!M3</f>
        <v>（剩余）土地使用年限/年</v>
      </c>
    </row>
    <row r="41" spans="1:2">
      <c r="A41" s="2181" t="s">
        <v>1999</v>
      </c>
      <c r="B41" s="2182" t="str">
        <f>'预评函-2'!M5</f>
        <v>——</v>
      </c>
    </row>
    <row r="42" spans="1:2">
      <c r="A42" s="2181" t="s">
        <v>2018</v>
      </c>
      <c r="B42" s="2182" t="str">
        <f>'预评函-2'!N3</f>
        <v>（分摊）划拨国有建设用地使用权面积/㎡</v>
      </c>
    </row>
    <row r="43" spans="1:2">
      <c r="A43" s="2181" t="s">
        <v>2000</v>
      </c>
      <c r="B43" s="2182">
        <f>'预评函-2'!N5</f>
        <v>17556.580000000002</v>
      </c>
    </row>
    <row r="44" spans="1:2">
      <c r="A44" s="2181" t="s">
        <v>2019</v>
      </c>
      <c r="B44" s="2182" t="str">
        <f>'预评函-2'!O3</f>
        <v>规划建筑面积/㎡</v>
      </c>
    </row>
    <row r="45" spans="1:2">
      <c r="A45" s="2181" t="s">
        <v>2001</v>
      </c>
      <c r="B45" s="2182">
        <f>'预评函-2'!O5</f>
        <v>5006.88</v>
      </c>
    </row>
    <row r="46" spans="1:2">
      <c r="A46" s="2181" t="s">
        <v>2002</v>
      </c>
      <c r="B46" s="2182" t="e">
        <f ca="1">'预评函-2'!P5</f>
        <v>#REF!</v>
      </c>
    </row>
    <row r="47" spans="1:2">
      <c r="A47" s="2181" t="s">
        <v>2003</v>
      </c>
      <c r="B47" s="2182" t="e">
        <f ca="1">'预评函-2'!Q5</f>
        <v>#REF!</v>
      </c>
    </row>
    <row r="48" spans="1:2">
      <c r="A48" s="2181" t="s">
        <v>2004</v>
      </c>
      <c r="B48" s="2182" t="e">
        <f ca="1">'预评函-2'!R5</f>
        <v>#REF!</v>
      </c>
    </row>
    <row r="49" spans="1:2">
      <c r="A49" s="2181" t="s">
        <v>2020</v>
      </c>
      <c r="B49" s="2182" t="str">
        <f>'预评函-2'!A6</f>
        <v>——</v>
      </c>
    </row>
    <row r="50" spans="1:2">
      <c r="A50" s="2181" t="s">
        <v>2005</v>
      </c>
      <c r="B50" s="2182" t="str">
        <f>'预评函-2'!R6</f>
        <v>——</v>
      </c>
    </row>
    <row r="51" spans="1:2">
      <c r="A51" s="2181" t="s">
        <v>2021</v>
      </c>
      <c r="B51" s="2182" t="str">
        <f>'预评函-2'!A7</f>
        <v>——</v>
      </c>
    </row>
    <row r="52" spans="1:2">
      <c r="A52" s="2181" t="s">
        <v>2006</v>
      </c>
      <c r="B52" s="2182" t="str">
        <f>'预评函-2'!R7</f>
        <v>——</v>
      </c>
    </row>
    <row r="53" spans="1:2">
      <c r="A53" s="2181" t="s">
        <v>2022</v>
      </c>
      <c r="B53" s="2182" t="str">
        <f>'预评函-2'!A8</f>
        <v>——</v>
      </c>
    </row>
    <row r="54" spans="1:2" s="2192" customFormat="1" ht="15" thickBot="1">
      <c r="A54" s="2198" t="s">
        <v>2007</v>
      </c>
      <c r="B54" s="2199" t="str">
        <f>'预评函-2'!R8</f>
        <v>——</v>
      </c>
    </row>
    <row r="55" spans="1:2" ht="15" thickTop="1">
      <c r="A55" s="2188" t="s">
        <v>1957</v>
      </c>
      <c r="B55" s="2189" t="str">
        <f>'预评函-3'!A2</f>
        <v>1.权利限制：根据估价对象《房屋所有权证》复印件、《国有土地使用权》复印件，截至估价期日，估价对象抵押权未见登记。未设定租赁等其他他项权利。</v>
      </c>
    </row>
    <row r="56" spans="1:2">
      <c r="A56" s="2181" t="s">
        <v>1958</v>
      </c>
      <c r="B56" s="2182" t="str">
        <f>'预评函-3'!A3</f>
        <v>2.基础设施条件：估价对象实际开发程度为红线外七通、宗地红线内场地未平整；本次评估设定开发程度为红线外七通、宗地红线内场地。</v>
      </c>
    </row>
    <row r="57" spans="1:2">
      <c r="A57" s="2181" t="s">
        <v>1959</v>
      </c>
      <c r="B57" s="2182" t="str">
        <f>'预评函-3'!A4</f>
        <v>3.估价规划限制条件：详见《房屋所有权证》[京房权证丰国字第04279号]。</v>
      </c>
    </row>
    <row r="58" spans="1:2" s="2192" customFormat="1" ht="15" thickBot="1">
      <c r="A58" s="2198" t="s">
        <v>2008</v>
      </c>
      <c r="B58" s="2199" t="str">
        <f>'预评函-3'!A5</f>
        <v>4.影响价格的其他限定条件：无。</v>
      </c>
    </row>
    <row r="59" spans="1:2" ht="15" thickTop="1">
      <c r="A59" s="2188" t="s">
        <v>1960</v>
      </c>
      <c r="B59" s="2189" t="str">
        <f>'预评函-3'!A8</f>
        <v>2.本次评估设定估价对象宗地权属无争议，未被查封或者以其他形式限制其房地产权利，未设定抵押权等他项权利，不涉及第三方权利义务。</v>
      </c>
    </row>
    <row r="60" spans="1:2">
      <c r="A60" s="2181" t="s">
        <v>1961</v>
      </c>
      <c r="B60" s="2182" t="str">
        <f>'预评函-3'!A9</f>
        <v>——</v>
      </c>
    </row>
    <row r="61" spans="1:2">
      <c r="A61" s="2181" t="s">
        <v>1963</v>
      </c>
      <c r="B61" s="2182" t="str">
        <f>'预评函-3'!A10</f>
        <v>——</v>
      </c>
    </row>
    <row r="62" spans="1:2">
      <c r="A62" s="2181" t="s">
        <v>1962</v>
      </c>
      <c r="B62" s="2182" t="str">
        <f>'预评函-3'!A11</f>
        <v>——</v>
      </c>
    </row>
    <row r="63" spans="1:2">
      <c r="A63" s="2181" t="s">
        <v>1964</v>
      </c>
      <c r="B63" s="21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1" t="s">
        <v>1965</v>
      </c>
      <c r="B64" s="2185" t="str">
        <f>'预评函-3'!A13</f>
        <v>（3）。</v>
      </c>
    </row>
    <row r="65" spans="1:2">
      <c r="A65" s="2181" t="s">
        <v>1966</v>
      </c>
      <c r="B65" s="2182" t="str">
        <f>'预评函-3'!A14</f>
        <v>——</v>
      </c>
    </row>
    <row r="66" spans="1:2">
      <c r="A66" s="2181" t="s">
        <v>1967</v>
      </c>
      <c r="B66" s="218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1" t="s">
        <v>1968</v>
      </c>
      <c r="B67" s="218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2" customFormat="1" ht="15" thickBot="1">
      <c r="A68" s="2198" t="s">
        <v>1971</v>
      </c>
      <c r="B68" s="2202">
        <f>'预评函-3'!D30</f>
        <v>42558</v>
      </c>
    </row>
    <row r="69" spans="1:2" ht="15" thickTop="1">
      <c r="A69" s="2188" t="s">
        <v>1969</v>
      </c>
      <c r="B69" s="2189" t="str">
        <f>'预评函-3'!A20</f>
        <v>郑燚</v>
      </c>
    </row>
    <row r="70" spans="1:2">
      <c r="A70" s="2181" t="s">
        <v>1969</v>
      </c>
      <c r="B70" s="2182">
        <f ca="1">'预评函-3'!B20</f>
        <v>2014110011</v>
      </c>
    </row>
    <row r="71" spans="1:2">
      <c r="A71" s="2181" t="s">
        <v>1970</v>
      </c>
      <c r="B71" s="2182" t="str">
        <f>'预评函-3'!A21</f>
        <v>土地估价师</v>
      </c>
    </row>
    <row r="72" spans="1:2" s="2192" customFormat="1" ht="15" thickBot="1">
      <c r="A72" s="2198" t="s">
        <v>1970</v>
      </c>
      <c r="B72" s="2199">
        <f>'预评函-3'!B21</f>
        <v>0</v>
      </c>
    </row>
    <row r="73" spans="1:2" ht="15" thickTop="1">
      <c r="A73" s="2188" t="s">
        <v>2029</v>
      </c>
      <c r="B73" s="21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1" t="s">
        <v>2030</v>
      </c>
      <c r="B74" s="2182" t="str">
        <f>'预评函-1 (储备)'!A18</f>
        <v>由于本次评估估价目的是评估储备国有建设用地使用权的“抵押价格”，因此本次评估设定土地开发程度为红线外市政基础设施达“七通”、宗地红线内场地平整。</v>
      </c>
    </row>
    <row r="75" spans="1:2" s="2192" customFormat="1" ht="15" thickBot="1">
      <c r="A75" s="2198" t="s">
        <v>2031</v>
      </c>
      <c r="B75" s="21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6" t="s">
        <v>2061</v>
      </c>
      <c r="B76" s="2187" t="str">
        <f>'预评函-3'!A25</f>
        <v>XX</v>
      </c>
    </row>
  </sheetData>
  <phoneticPr fontId="2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G45"/>
  <sheetViews>
    <sheetView workbookViewId="0">
      <selection activeCell="B4" sqref="B4"/>
    </sheetView>
  </sheetViews>
  <sheetFormatPr defaultColWidth="15.125" defaultRowHeight="13.5"/>
  <cols>
    <col min="1" max="16384" width="15.125" style="2695"/>
  </cols>
  <sheetData>
    <row r="1" spans="1:6">
      <c r="A1" s="3031" t="s">
        <v>2670</v>
      </c>
      <c r="B1" s="3032"/>
      <c r="C1" s="3032"/>
      <c r="D1" s="3032"/>
      <c r="E1" s="3032"/>
      <c r="F1" s="3033"/>
    </row>
    <row r="2" spans="1:6">
      <c r="A2" s="3034"/>
      <c r="B2" s="3035"/>
      <c r="C2" s="3035"/>
      <c r="D2" s="3035"/>
      <c r="E2" s="3035"/>
      <c r="F2" s="3036"/>
    </row>
    <row r="3" spans="1:6">
      <c r="A3" s="2988" t="s">
        <v>2671</v>
      </c>
      <c r="B3" s="3037">
        <f>项目基本情况!D3</f>
        <v>45196</v>
      </c>
      <c r="C3" s="3038"/>
      <c r="D3" s="3038"/>
      <c r="E3" s="3038"/>
      <c r="F3" s="3036"/>
    </row>
    <row r="4" spans="1:6">
      <c r="A4" s="2988" t="s">
        <v>2672</v>
      </c>
      <c r="B4" s="3039" t="s">
        <v>2673</v>
      </c>
      <c r="C4" s="3039" t="s">
        <v>2674</v>
      </c>
      <c r="D4" s="3039" t="s">
        <v>2675</v>
      </c>
      <c r="E4" s="3039" t="s">
        <v>2676</v>
      </c>
      <c r="F4" s="3036"/>
    </row>
    <row r="5" spans="1:6">
      <c r="A5" s="3040"/>
      <c r="B5" s="3037"/>
      <c r="C5" s="3039">
        <f>ROUNDDOWN(MIN((B5-B3)/365,A5),2)</f>
        <v>-123.82</v>
      </c>
      <c r="D5" s="3041">
        <f>IF(ISERROR(ROUND(POWER(1+E5,A5-C5)*(POWER(1+E5,C5)-1)/(POWER(1+E5,A5)-1),3)),0,ROUND(POWER(1+E5,A5-C5)*(POWER(1+E5,C5)-1)/(POWER(1+E5,A5)-1),4))</f>
        <v>0</v>
      </c>
      <c r="E5" s="3042"/>
      <c r="F5" s="3036"/>
    </row>
    <row r="6" spans="1:6">
      <c r="A6" s="3040"/>
      <c r="B6" s="3037"/>
      <c r="C6" s="3039">
        <f>ROUNDDOWN(MIN((B6-B3)/365,A6),2)</f>
        <v>-123.82</v>
      </c>
      <c r="D6" s="3041">
        <f>IF(ISERROR(ROUND(POWER(1+E6,A6-C6)*(POWER(1+E6,C6)-1)/(POWER(1+E6,A6)-1),3)),0,ROUND(POWER(1+E6,A6-C6)*(POWER(1+E6,C6)-1)/(POWER(1+E6,A6)-1),4))</f>
        <v>0</v>
      </c>
      <c r="E6" s="3042"/>
      <c r="F6" s="3036"/>
    </row>
    <row r="7" spans="1:6">
      <c r="A7" s="3040"/>
      <c r="B7" s="3037"/>
      <c r="C7" s="3039">
        <f>ROUNDDOWN(MIN((B7-B3)/365,A7),2)</f>
        <v>-123.82</v>
      </c>
      <c r="D7" s="3041">
        <f>IF(ISERROR(ROUND(POWER(1+E7,A7-C7)*(POWER(1+E7,C7)-1)/(POWER(1+E7,A7)-1),3)),0,ROUND(POWER(1+E7,A7-C7)*(POWER(1+E7,C7)-1)/(POWER(1+E7,A7)-1),4))</f>
        <v>0</v>
      </c>
      <c r="E7" s="3042"/>
      <c r="F7" s="3036"/>
    </row>
    <row r="8" spans="1:6">
      <c r="A8" s="3034"/>
      <c r="B8" s="3035"/>
      <c r="C8" s="3035"/>
      <c r="D8" s="3035"/>
      <c r="E8" s="3035"/>
      <c r="F8" s="3036"/>
    </row>
    <row r="9" spans="1:6">
      <c r="A9" s="2988" t="s">
        <v>2677</v>
      </c>
      <c r="B9" s="3039"/>
      <c r="C9" s="3039"/>
      <c r="D9" s="3039"/>
      <c r="E9" s="3039"/>
      <c r="F9" s="3043"/>
    </row>
    <row r="10" spans="1:6">
      <c r="A10" s="2988" t="s">
        <v>2678</v>
      </c>
      <c r="B10" s="3039"/>
      <c r="C10" s="3039"/>
      <c r="D10" s="3039" t="s">
        <v>2676</v>
      </c>
      <c r="E10" s="3039"/>
      <c r="F10" s="3043" t="s">
        <v>2675</v>
      </c>
    </row>
    <row r="11" spans="1:6">
      <c r="A11" s="2988" t="s">
        <v>2679</v>
      </c>
      <c r="B11" s="3044"/>
      <c r="C11" s="3039" t="s">
        <v>2680</v>
      </c>
      <c r="D11" s="3044"/>
      <c r="E11" s="3039" t="s">
        <v>2681</v>
      </c>
      <c r="F11" s="3045">
        <f>ROUND(1-(1/(POWER(1+D11,B11))),4)</f>
        <v>0</v>
      </c>
    </row>
    <row r="12" spans="1:6">
      <c r="A12" s="2988" t="s">
        <v>2682</v>
      </c>
      <c r="B12" s="3044"/>
      <c r="C12" s="3039" t="s">
        <v>2683</v>
      </c>
      <c r="D12" s="3044"/>
      <c r="E12" s="3039" t="s">
        <v>2684</v>
      </c>
      <c r="F12" s="3045">
        <f>ROUND(1-(1/(POWER(1+D12,B12))),4)</f>
        <v>0</v>
      </c>
    </row>
    <row r="13" spans="1:6">
      <c r="A13" s="2988" t="s">
        <v>2685</v>
      </c>
      <c r="B13" s="3039"/>
      <c r="C13" s="3038"/>
      <c r="D13" s="3035"/>
      <c r="E13" s="3035"/>
      <c r="F13" s="3036"/>
    </row>
    <row r="14" spans="1:6">
      <c r="A14" s="2988" t="s">
        <v>2686</v>
      </c>
      <c r="B14" s="3044"/>
      <c r="C14" s="3038"/>
      <c r="D14" s="3035"/>
      <c r="E14" s="3035"/>
      <c r="F14" s="3036"/>
    </row>
    <row r="15" spans="1:6">
      <c r="A15" s="2988" t="s">
        <v>2687</v>
      </c>
      <c r="B15" s="3039" t="e">
        <f>ROUND(B14*F12/F11,2)</f>
        <v>#DIV/0!</v>
      </c>
      <c r="C15" s="3039" t="e">
        <f>ROUND(F12/F11,4)</f>
        <v>#DIV/0!</v>
      </c>
      <c r="D15" s="3035"/>
      <c r="E15" s="3035"/>
      <c r="F15" s="3036"/>
    </row>
    <row r="16" spans="1:6">
      <c r="A16" s="2988" t="s">
        <v>2688</v>
      </c>
      <c r="B16" s="3039"/>
      <c r="C16" s="3038"/>
      <c r="D16" s="3035"/>
      <c r="E16" s="3035"/>
      <c r="F16" s="3036"/>
    </row>
    <row r="17" spans="1:7">
      <c r="A17" s="2988" t="s">
        <v>2687</v>
      </c>
      <c r="B17" s="3044"/>
      <c r="C17" s="3038"/>
      <c r="D17" s="3035"/>
      <c r="E17" s="3035"/>
      <c r="F17" s="3036"/>
    </row>
    <row r="18" spans="1:7" ht="14.25" thickBot="1">
      <c r="A18" s="3046" t="s">
        <v>2686</v>
      </c>
      <c r="B18" s="3047" t="e">
        <f>ROUND(B17*F11/F12,2)</f>
        <v>#DIV/0!</v>
      </c>
      <c r="C18" s="3047" t="e">
        <f>ROUND(F11/F12,4)</f>
        <v>#DIV/0!</v>
      </c>
      <c r="D18" s="3048"/>
      <c r="E18" s="3048"/>
      <c r="F18" s="3049"/>
    </row>
    <row r="19" spans="1:7" ht="14.25" thickBot="1"/>
    <row r="20" spans="1:7">
      <c r="A20" s="3050" t="s">
        <v>2689</v>
      </c>
      <c r="B20" s="3051"/>
      <c r="C20" s="3051"/>
      <c r="D20" s="3051"/>
      <c r="E20" s="3051"/>
      <c r="F20" s="3051"/>
      <c r="G20" s="3052"/>
    </row>
    <row r="21" spans="1:7">
      <c r="A21" s="3053"/>
      <c r="B21" s="3054" t="s">
        <v>2690</v>
      </c>
      <c r="C21" s="3054" t="s">
        <v>2691</v>
      </c>
      <c r="D21" s="3054" t="s">
        <v>2692</v>
      </c>
      <c r="E21" s="3054" t="s">
        <v>2693</v>
      </c>
      <c r="F21" s="3054" t="s">
        <v>2694</v>
      </c>
      <c r="G21" s="3055" t="s">
        <v>2695</v>
      </c>
    </row>
    <row r="22" spans="1:7">
      <c r="A22" s="3053" t="s">
        <v>2696</v>
      </c>
      <c r="B22" s="3056">
        <v>50</v>
      </c>
      <c r="C22" s="3056">
        <v>32</v>
      </c>
      <c r="D22" s="3057">
        <v>0.05</v>
      </c>
      <c r="E22" s="3054">
        <f>ROUND(POWER(1+D22,B22-C22)*(POWER(1+D22,C22)-1)/(POWER(1+D22,B22)-1),3)</f>
        <v>0.86599999999999999</v>
      </c>
      <c r="F22" s="3057">
        <v>0.6</v>
      </c>
      <c r="G22" s="3055">
        <f>ROUND(100*(1-(1-E22)*F22),1)</f>
        <v>92</v>
      </c>
    </row>
    <row r="23" spans="1:7">
      <c r="A23" s="3058" t="s">
        <v>2697</v>
      </c>
      <c r="B23" s="3056">
        <v>50</v>
      </c>
      <c r="C23" s="3056">
        <v>35</v>
      </c>
      <c r="D23" s="3057">
        <v>0.05</v>
      </c>
      <c r="E23" s="3054">
        <f>ROUND(POWER(1+D23,B23-C23)*(POWER(1+D23,C23)-1)/(POWER(1+D23,B23)-1),3)</f>
        <v>0.89700000000000002</v>
      </c>
      <c r="F23" s="3057">
        <f>F22</f>
        <v>0.6</v>
      </c>
      <c r="G23" s="3055">
        <f>ROUND(100*(1-(1-E23)*F23),1)</f>
        <v>93.8</v>
      </c>
    </row>
    <row r="24" spans="1:7">
      <c r="A24" s="3058" t="s">
        <v>2698</v>
      </c>
      <c r="B24" s="3056">
        <v>50</v>
      </c>
      <c r="C24" s="3056">
        <v>25</v>
      </c>
      <c r="D24" s="3057">
        <v>0.05</v>
      </c>
      <c r="E24" s="3054">
        <f>ROUND(POWER(1+D24,B24-C24)*(POWER(1+D24,C24)-1)/(POWER(1+D24,B24)-1),3)</f>
        <v>0.77200000000000002</v>
      </c>
      <c r="F24" s="3057">
        <f>F23</f>
        <v>0.6</v>
      </c>
      <c r="G24" s="3055">
        <f>ROUND(100*(1-(1-E24)*F24),1)</f>
        <v>86.3</v>
      </c>
    </row>
    <row r="25" spans="1:7">
      <c r="A25" s="3058" t="s">
        <v>2699</v>
      </c>
      <c r="B25" s="3056">
        <v>50</v>
      </c>
      <c r="C25" s="3056">
        <v>40</v>
      </c>
      <c r="D25" s="3057">
        <v>0.05</v>
      </c>
      <c r="E25" s="3054">
        <f>ROUND(POWER(1+D25,B25-C25)*(POWER(1+D25,C25)-1)/(POWER(1+D25,B25)-1),3)</f>
        <v>0.94</v>
      </c>
      <c r="F25" s="3057">
        <f>F24</f>
        <v>0.6</v>
      </c>
      <c r="G25" s="3055">
        <f>ROUND(100*(1-(1-E25)*F25),1)</f>
        <v>96.4</v>
      </c>
    </row>
    <row r="26" spans="1:7">
      <c r="A26" s="3059"/>
      <c r="B26" s="3060"/>
      <c r="C26" s="3060"/>
      <c r="D26" s="3060"/>
      <c r="E26" s="3060"/>
      <c r="F26" s="3060"/>
      <c r="G26" s="3061"/>
    </row>
    <row r="27" spans="1:7">
      <c r="A27" s="3062" t="s">
        <v>2700</v>
      </c>
      <c r="B27" s="3063"/>
      <c r="C27" s="3063"/>
      <c r="D27" s="3063"/>
      <c r="E27" s="3063"/>
      <c r="F27" s="3063"/>
      <c r="G27" s="3064"/>
    </row>
    <row r="28" spans="1:7">
      <c r="A28" s="3062" t="s">
        <v>2701</v>
      </c>
      <c r="B28" s="3063"/>
      <c r="C28" s="3063"/>
      <c r="D28" s="3063"/>
      <c r="E28" s="3063"/>
      <c r="F28" s="3063"/>
      <c r="G28" s="3064"/>
    </row>
    <row r="29" spans="1:7">
      <c r="A29" s="3062" t="s">
        <v>2702</v>
      </c>
      <c r="B29" s="3063"/>
      <c r="C29" s="3063"/>
      <c r="D29" s="3063"/>
      <c r="E29" s="3063"/>
      <c r="F29" s="3063"/>
      <c r="G29" s="3064"/>
    </row>
    <row r="30" spans="1:7">
      <c r="A30" s="3062" t="s">
        <v>2703</v>
      </c>
      <c r="B30" s="3063"/>
      <c r="C30" s="3063"/>
      <c r="D30" s="3063"/>
      <c r="E30" s="3063"/>
      <c r="F30" s="3063"/>
      <c r="G30" s="3064"/>
    </row>
    <row r="31" spans="1:7">
      <c r="A31" s="3062" t="s">
        <v>2704</v>
      </c>
      <c r="B31" s="3063"/>
      <c r="C31" s="3063"/>
      <c r="D31" s="3063"/>
      <c r="E31" s="3063"/>
      <c r="F31" s="3063"/>
      <c r="G31" s="3064"/>
    </row>
    <row r="32" spans="1:7">
      <c r="A32" s="3062" t="s">
        <v>2705</v>
      </c>
      <c r="B32" s="3063"/>
      <c r="C32" s="3063"/>
      <c r="D32" s="3063"/>
      <c r="E32" s="3063"/>
      <c r="F32" s="3063"/>
      <c r="G32" s="3064"/>
    </row>
    <row r="33" spans="1:7">
      <c r="A33" s="3062" t="s">
        <v>2706</v>
      </c>
      <c r="B33" s="3063"/>
      <c r="C33" s="3063"/>
      <c r="D33" s="3063"/>
      <c r="E33" s="3063"/>
      <c r="F33" s="3063"/>
      <c r="G33" s="3064"/>
    </row>
    <row r="34" spans="1:7">
      <c r="A34" s="3062" t="s">
        <v>2707</v>
      </c>
      <c r="B34" s="3063"/>
      <c r="C34" s="3063"/>
      <c r="D34" s="3063"/>
      <c r="E34" s="3063"/>
      <c r="F34" s="3063"/>
      <c r="G34" s="3064"/>
    </row>
    <row r="35" spans="1:7">
      <c r="A35" s="3062" t="s">
        <v>2708</v>
      </c>
      <c r="B35" s="3063"/>
      <c r="C35" s="3063"/>
      <c r="D35" s="3063"/>
      <c r="E35" s="3063"/>
      <c r="F35" s="3063"/>
      <c r="G35" s="3064"/>
    </row>
    <row r="36" spans="1:7">
      <c r="A36" s="3062" t="s">
        <v>2709</v>
      </c>
      <c r="B36" s="3063"/>
      <c r="C36" s="3063"/>
      <c r="D36" s="3063"/>
      <c r="E36" s="3063"/>
      <c r="F36" s="3063"/>
      <c r="G36" s="3064"/>
    </row>
    <row r="37" spans="1:7">
      <c r="A37" s="3062" t="s">
        <v>2710</v>
      </c>
      <c r="B37" s="3063"/>
      <c r="C37" s="3063"/>
      <c r="D37" s="3063"/>
      <c r="E37" s="3063"/>
      <c r="F37" s="3063"/>
      <c r="G37" s="3064"/>
    </row>
    <row r="38" spans="1:7">
      <c r="A38" s="3062" t="s">
        <v>2711</v>
      </c>
      <c r="B38" s="3063"/>
      <c r="C38" s="3063"/>
      <c r="D38" s="3063"/>
      <c r="E38" s="3063"/>
      <c r="F38" s="3063"/>
      <c r="G38" s="3064"/>
    </row>
    <row r="39" spans="1:7">
      <c r="A39" s="3062"/>
      <c r="B39" s="3063"/>
      <c r="C39" s="3063"/>
      <c r="D39" s="3063"/>
      <c r="E39" s="3063"/>
      <c r="F39" s="3063"/>
      <c r="G39" s="3064"/>
    </row>
    <row r="40" spans="1:7">
      <c r="A40" s="3065" t="s">
        <v>2712</v>
      </c>
      <c r="B40" s="3066"/>
      <c r="C40" s="3066"/>
      <c r="D40" s="3066"/>
      <c r="E40" s="3066"/>
      <c r="F40" s="3066"/>
      <c r="G40" s="3067"/>
    </row>
    <row r="41" spans="1:7">
      <c r="A41" s="3068" t="s">
        <v>2713</v>
      </c>
      <c r="B41" s="3069" t="s">
        <v>2714</v>
      </c>
      <c r="C41" s="3070" t="s">
        <v>2715</v>
      </c>
      <c r="D41" s="3070" t="s">
        <v>2716</v>
      </c>
      <c r="E41" s="3071"/>
      <c r="F41" s="3072"/>
      <c r="G41" s="3073"/>
    </row>
    <row r="42" spans="1:7">
      <c r="A42" s="3068" t="s">
        <v>2717</v>
      </c>
      <c r="B42" s="3069" t="s">
        <v>2718</v>
      </c>
      <c r="C42" s="3070" t="s">
        <v>2718</v>
      </c>
      <c r="D42" s="3074" t="s">
        <v>2719</v>
      </c>
      <c r="E42" s="3066" t="s">
        <v>2720</v>
      </c>
      <c r="F42" s="3066"/>
      <c r="G42" s="3067"/>
    </row>
    <row r="43" spans="1:7">
      <c r="A43" s="3068" t="s">
        <v>2721</v>
      </c>
      <c r="B43" s="3069" t="s">
        <v>2722</v>
      </c>
      <c r="C43" s="3070" t="s">
        <v>2723</v>
      </c>
      <c r="D43" s="3070" t="s">
        <v>2724</v>
      </c>
      <c r="E43" s="3071" t="s">
        <v>2725</v>
      </c>
      <c r="F43" s="3072"/>
      <c r="G43" s="3073"/>
    </row>
    <row r="44" spans="1:7">
      <c r="A44" s="3068" t="s">
        <v>2726</v>
      </c>
      <c r="B44" s="3069" t="s">
        <v>2727</v>
      </c>
      <c r="C44" s="3070" t="s">
        <v>2728</v>
      </c>
      <c r="D44" s="3074">
        <v>0.5</v>
      </c>
      <c r="E44" s="3071" t="s">
        <v>2729</v>
      </c>
      <c r="F44" s="3072"/>
      <c r="G44" s="3073"/>
    </row>
    <row r="45" spans="1:7" ht="14.25" thickBot="1">
      <c r="A45" s="3075" t="s">
        <v>2730</v>
      </c>
      <c r="B45" s="3076" t="s">
        <v>2718</v>
      </c>
      <c r="C45" s="3077" t="s">
        <v>2718</v>
      </c>
      <c r="D45" s="3077" t="s">
        <v>2731</v>
      </c>
      <c r="E45" s="3078" t="s">
        <v>2732</v>
      </c>
      <c r="F45" s="3078"/>
      <c r="G45" s="3079"/>
    </row>
  </sheetData>
  <sheetProtection password="CEE9" sheet="1" objects="1" scenarios="1"/>
  <phoneticPr fontId="22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F24" sqref="F24"/>
    </sheetView>
  </sheetViews>
  <sheetFormatPr defaultColWidth="10" defaultRowHeight="14.25"/>
  <cols>
    <col min="1" max="1" width="15.375" style="1400" customWidth="1"/>
    <col min="2" max="2" width="11.375" style="1400" customWidth="1"/>
    <col min="3" max="8" width="13.125" style="1400" customWidth="1"/>
    <col min="9" max="9" width="13.125" style="1401" customWidth="1"/>
    <col min="10" max="10" width="10" style="1400"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0"/>
  </cols>
  <sheetData>
    <row r="1" spans="1:21" ht="15" thickBot="1">
      <c r="A1" s="1375" t="s">
        <v>1457</v>
      </c>
      <c r="B1" s="3567" t="str">
        <f>IF(B10="北京市","北京市",C10)&amp;F10&amp;A17&amp;"国有建设用地使用权"&amp;B9&amp;"预评估"</f>
        <v>北京市丰台区大红门西后街甲1号“鸿都国际轻纺城”项目划拨国有建设用地使用权市场价格预评估</v>
      </c>
      <c r="C1" s="3568"/>
      <c r="D1" s="3568"/>
      <c r="E1" s="3568"/>
      <c r="F1" s="3568"/>
      <c r="G1" s="3568"/>
      <c r="H1" s="3568"/>
      <c r="I1" s="3569"/>
      <c r="J1" s="2602"/>
      <c r="K1" s="1970" t="str">
        <f>IF(B10="北京市","北京市",C10)&amp;F10&amp;A17&amp;"国有建设用地使用权"&amp;B9</f>
        <v>北京市丰台区大红门西后街甲1号“鸿都国际轻纺城”项目划拨国有建设用地使用权市场价格</v>
      </c>
      <c r="L1" s="2582"/>
      <c r="M1" s="2582"/>
      <c r="N1" s="2583"/>
      <c r="O1" s="2584"/>
      <c r="P1" s="2583"/>
      <c r="Q1" s="2583"/>
      <c r="R1" s="2583"/>
      <c r="S1" s="2583"/>
      <c r="T1" s="2583"/>
      <c r="U1" s="2583"/>
    </row>
    <row r="2" spans="1:21">
      <c r="A2" s="1376" t="s">
        <v>1458</v>
      </c>
      <c r="B2" s="1529"/>
      <c r="D2" s="2602"/>
      <c r="E2" s="2602"/>
      <c r="F2" s="2602"/>
      <c r="G2" s="2602"/>
      <c r="H2" s="2602"/>
      <c r="I2" s="2603"/>
      <c r="J2" s="2602"/>
      <c r="K2" s="1970" t="str">
        <f>IF(B10="北京市","北京市",C10)&amp;F10&amp;A17&amp;"国有建设用地使用权"</f>
        <v>北京市丰台区大红门西后街甲1号“鸿都国际轻纺城”项目划拨国有建设用地使用权</v>
      </c>
      <c r="L2" s="2582"/>
      <c r="M2" s="2582"/>
      <c r="N2" s="2583"/>
      <c r="O2" s="2584"/>
      <c r="P2" s="2583"/>
      <c r="Q2" s="2583"/>
      <c r="R2" s="2583"/>
      <c r="S2" s="2583"/>
      <c r="T2" s="2583"/>
      <c r="U2" s="2583"/>
    </row>
    <row r="3" spans="1:21">
      <c r="A3" s="1377" t="s">
        <v>1459</v>
      </c>
      <c r="B3" s="1378">
        <v>45169</v>
      </c>
      <c r="C3" s="2531" t="s">
        <v>1512</v>
      </c>
      <c r="D3" s="1378">
        <v>45196</v>
      </c>
      <c r="E3" s="2602"/>
      <c r="F3" s="2602"/>
      <c r="G3" s="2602"/>
      <c r="H3" s="2602"/>
      <c r="I3" s="2603"/>
      <c r="J3" s="2602"/>
      <c r="K3" s="2586"/>
      <c r="L3" s="2582"/>
      <c r="M3" s="2582"/>
      <c r="N3" s="2583"/>
      <c r="O3" s="2584"/>
      <c r="P3" s="2583"/>
      <c r="Q3" s="2583"/>
      <c r="R3" s="2583"/>
      <c r="S3" s="2583"/>
      <c r="T3" s="2583"/>
      <c r="U3" s="2583"/>
    </row>
    <row r="4" spans="1:21" ht="15" thickBot="1">
      <c r="A4" s="1380" t="s">
        <v>1460</v>
      </c>
      <c r="B4" s="1530" t="s">
        <v>3816</v>
      </c>
      <c r="C4" s="1533">
        <f ca="1">SUMIF(土地估价师,B4,估价师及机构信息!E3:E17)</f>
        <v>2014110011</v>
      </c>
      <c r="D4" s="1530" t="s">
        <v>2159</v>
      </c>
      <c r="E4" s="1533">
        <f>SUMIF(土地估价师,D4,估价师及机构信息!E3:E17)</f>
        <v>0</v>
      </c>
      <c r="F4" s="1530" t="s">
        <v>877</v>
      </c>
      <c r="G4" s="1533">
        <f>SUMIF(土地估价师,F4,估价师及机构信息!E3:E17)</f>
        <v>0</v>
      </c>
      <c r="H4" s="1530" t="s">
        <v>877</v>
      </c>
      <c r="I4" s="1533">
        <f>SUMIF(土地估价师,H4,估价师及机构信息!E3:E17)</f>
        <v>0</v>
      </c>
      <c r="J4" s="2602"/>
      <c r="K4" s="1970" t="str">
        <f>IF(AND(F4="——",H4="——"),B4&amp;"、"&amp;D4,IF(AND(F4&lt;&gt;"——",H4="——"),B4&amp;"、"&amp;D4&amp;"、"&amp;F4,B4&amp;"、"&amp;D4&amp;"、"&amp;F4&amp;"、"&amp;H4))</f>
        <v>郑燚、土地估价师</v>
      </c>
      <c r="L4" s="2582"/>
      <c r="M4" s="2582"/>
      <c r="N4" s="2583"/>
      <c r="O4" s="2584"/>
      <c r="P4" s="2583"/>
      <c r="Q4" s="2583"/>
      <c r="R4" s="2583"/>
      <c r="S4" s="2583"/>
      <c r="T4" s="2583"/>
      <c r="U4" s="2583"/>
    </row>
    <row r="5" spans="1:21" ht="15" thickTop="1">
      <c r="A5" s="1381" t="s">
        <v>1461</v>
      </c>
      <c r="B5" s="1483"/>
      <c r="C5" s="1382"/>
      <c r="D5" s="1383"/>
      <c r="E5" s="2602"/>
      <c r="F5" s="2602"/>
      <c r="G5" s="2602"/>
      <c r="H5" s="2602"/>
      <c r="I5" s="2603"/>
      <c r="J5" s="2602"/>
      <c r="K5" s="2586"/>
      <c r="L5" s="2582"/>
      <c r="M5" s="2582"/>
      <c r="N5" s="2583"/>
      <c r="O5" s="2584"/>
      <c r="P5" s="2583"/>
      <c r="Q5" s="2583"/>
      <c r="R5" s="2583"/>
      <c r="S5" s="2583"/>
      <c r="T5" s="2583"/>
      <c r="U5" s="2583"/>
    </row>
    <row r="6" spans="1:21" ht="26.25">
      <c r="A6" s="1379" t="s">
        <v>1985</v>
      </c>
      <c r="B6" s="1483"/>
      <c r="C6" s="1460"/>
      <c r="D6" s="1384"/>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5" t="s">
        <v>1986</v>
      </c>
      <c r="B7" s="1483"/>
      <c r="C7" s="1460"/>
      <c r="D7" s="1384"/>
      <c r="E7" s="2602"/>
      <c r="F7" s="2602"/>
      <c r="G7" s="2602"/>
      <c r="H7" s="2602"/>
      <c r="I7" s="2603"/>
      <c r="J7" s="2602"/>
      <c r="K7" s="2586"/>
      <c r="L7" s="2582"/>
      <c r="M7" s="2582"/>
      <c r="N7" s="2583"/>
      <c r="O7" s="2584"/>
      <c r="P7" s="2583"/>
      <c r="Q7" s="2583"/>
      <c r="R7" s="2583"/>
      <c r="S7" s="2583"/>
      <c r="T7" s="2583"/>
      <c r="U7" s="2583"/>
    </row>
    <row r="8" spans="1:21">
      <c r="A8" s="2532" t="s">
        <v>1462</v>
      </c>
      <c r="B8" s="1386"/>
      <c r="C8" s="1387"/>
      <c r="D8" s="3573" t="s">
        <v>1464</v>
      </c>
      <c r="E8" s="1531"/>
      <c r="F8" s="1388"/>
      <c r="G8" s="2602"/>
      <c r="H8" s="2602"/>
      <c r="I8" s="2603"/>
      <c r="J8" s="2602"/>
      <c r="K8" s="2586"/>
      <c r="L8" s="2582"/>
      <c r="M8" s="2582"/>
      <c r="N8" s="2583"/>
      <c r="O8" s="2584"/>
      <c r="P8" s="2583"/>
      <c r="Q8" s="2583"/>
      <c r="R8" s="2583"/>
      <c r="S8" s="2583"/>
      <c r="T8" s="2583"/>
      <c r="U8" s="2583"/>
    </row>
    <row r="9" spans="1:21" ht="15" thickBot="1">
      <c r="A9" s="2533" t="s">
        <v>1463</v>
      </c>
      <c r="B9" s="1389" t="s">
        <v>3263</v>
      </c>
      <c r="C9" s="1390"/>
      <c r="D9" s="3574"/>
      <c r="E9" s="1389"/>
      <c r="F9" s="1446"/>
      <c r="G9" s="2605"/>
      <c r="H9" s="2605"/>
      <c r="I9" s="2606"/>
      <c r="J9" s="2602"/>
      <c r="K9" s="2586"/>
      <c r="L9" s="2582"/>
      <c r="M9" s="2582"/>
      <c r="N9" s="2583"/>
      <c r="O9" s="2584"/>
      <c r="P9" s="2583"/>
      <c r="Q9" s="2583"/>
      <c r="R9" s="2583"/>
      <c r="S9" s="2583"/>
      <c r="T9" s="2583"/>
      <c r="U9" s="2583"/>
    </row>
    <row r="10" spans="1:21" ht="15" thickTop="1">
      <c r="A10" s="2534" t="s">
        <v>1515</v>
      </c>
      <c r="B10" s="1424" t="s">
        <v>1465</v>
      </c>
      <c r="C10" s="1391"/>
      <c r="D10" s="1383"/>
      <c r="E10" s="1392" t="s">
        <v>1466</v>
      </c>
      <c r="F10" s="1393" t="s">
        <v>3817</v>
      </c>
      <c r="G10" s="1444"/>
      <c r="H10" s="1445"/>
      <c r="I10" s="1383"/>
      <c r="J10" s="2602"/>
      <c r="K10" s="2586"/>
      <c r="L10" s="2582"/>
      <c r="M10" s="2582"/>
      <c r="N10" s="2583"/>
      <c r="O10" s="2584"/>
      <c r="P10" s="2583"/>
      <c r="Q10" s="2583"/>
      <c r="R10" s="2583"/>
      <c r="S10" s="2583"/>
      <c r="T10" s="2583"/>
      <c r="U10" s="2583"/>
    </row>
    <row r="11" spans="1:21">
      <c r="A11" s="2535" t="s">
        <v>1516</v>
      </c>
      <c r="B11" s="1405" t="s">
        <v>3264</v>
      </c>
      <c r="C11" s="1394"/>
      <c r="D11" s="1461"/>
      <c r="E11" s="2583"/>
      <c r="F11" s="2583"/>
      <c r="G11" s="2583"/>
      <c r="H11" s="2583"/>
      <c r="I11" s="2583"/>
      <c r="J11" s="2602"/>
      <c r="K11" s="2586"/>
      <c r="L11" s="2582"/>
      <c r="M11" s="2582"/>
      <c r="N11" s="2583"/>
      <c r="O11" s="2584"/>
      <c r="P11" s="2583"/>
      <c r="Q11" s="2583"/>
      <c r="R11" s="2583"/>
      <c r="S11" s="2583"/>
      <c r="T11" s="2583"/>
      <c r="U11" s="2583"/>
    </row>
    <row r="12" spans="1:21">
      <c r="A12" s="1479" t="s">
        <v>1574</v>
      </c>
      <c r="B12" s="3570" t="s">
        <v>3777</v>
      </c>
      <c r="C12" s="3571"/>
      <c r="D12" s="3572"/>
      <c r="E12" s="1406" t="s">
        <v>1577</v>
      </c>
      <c r="F12" s="3588" t="s">
        <v>3813</v>
      </c>
      <c r="G12" s="3589"/>
      <c r="H12" s="3589"/>
      <c r="I12" s="3590"/>
      <c r="J12" s="2602"/>
      <c r="K12" s="2586"/>
      <c r="L12" s="2582"/>
      <c r="M12" s="2582"/>
      <c r="N12" s="2583"/>
      <c r="O12" s="2584"/>
      <c r="P12" s="2583"/>
      <c r="Q12" s="2583"/>
      <c r="R12" s="2583"/>
      <c r="S12" s="2583"/>
      <c r="T12" s="2583"/>
      <c r="U12" s="2583"/>
    </row>
    <row r="13" spans="1:21">
      <c r="A13" s="1398" t="s">
        <v>1575</v>
      </c>
      <c r="B13" s="3570" t="str">
        <f>B12</f>
        <v>仓储</v>
      </c>
      <c r="C13" s="3571"/>
      <c r="D13" s="3572"/>
      <c r="E13" s="1406" t="s">
        <v>1577</v>
      </c>
      <c r="F13" s="3588" t="s">
        <v>3813</v>
      </c>
      <c r="G13" s="3589"/>
      <c r="H13" s="3589"/>
      <c r="I13" s="3590"/>
      <c r="J13" s="2602"/>
      <c r="K13" s="2586"/>
      <c r="L13" s="2582"/>
      <c r="M13" s="2582"/>
      <c r="N13" s="2583"/>
      <c r="O13" s="2584"/>
      <c r="P13" s="2583"/>
      <c r="Q13" s="2583"/>
      <c r="R13" s="2583"/>
      <c r="S13" s="2583"/>
      <c r="T13" s="2583"/>
      <c r="U13" s="2583"/>
    </row>
    <row r="14" spans="1:21">
      <c r="A14" s="1377" t="s">
        <v>1578</v>
      </c>
      <c r="B14" s="1406"/>
      <c r="C14" s="1532"/>
      <c r="D14" s="1437" t="str">
        <f>IF(C14="不一致","是否符合证载地类范围","")</f>
        <v/>
      </c>
      <c r="E14" s="1406"/>
      <c r="F14" s="1484"/>
      <c r="G14" s="1433"/>
      <c r="H14" s="1433"/>
      <c r="I14" s="1525"/>
      <c r="J14" s="2602"/>
      <c r="K14" s="2586"/>
      <c r="L14" s="2582"/>
      <c r="M14" s="2582"/>
      <c r="N14" s="2583"/>
      <c r="O14" s="2584"/>
      <c r="P14" s="2583"/>
      <c r="Q14" s="2583"/>
      <c r="R14" s="2583"/>
      <c r="S14" s="2583"/>
      <c r="T14" s="2583"/>
      <c r="U14" s="2583"/>
    </row>
    <row r="15" spans="1:21">
      <c r="A15" s="2085"/>
      <c r="B15" s="1379"/>
      <c r="C15" s="1465" t="s">
        <v>1469</v>
      </c>
      <c r="D15" s="1465" t="s">
        <v>1470</v>
      </c>
      <c r="E15" s="1465" t="s">
        <v>1179</v>
      </c>
      <c r="F15" s="1397" t="s">
        <v>1471</v>
      </c>
      <c r="G15" s="1397" t="s">
        <v>1472</v>
      </c>
      <c r="H15" s="1397" t="s">
        <v>776</v>
      </c>
      <c r="I15" s="1397" t="s">
        <v>2734</v>
      </c>
      <c r="J15" s="2602"/>
      <c r="K15" s="2586"/>
      <c r="L15" s="2582"/>
      <c r="M15" s="2582"/>
      <c r="N15" s="2583"/>
      <c r="O15" s="2584"/>
      <c r="P15" s="2583"/>
      <c r="Q15" s="2583"/>
      <c r="R15" s="2583"/>
      <c r="S15" s="2583"/>
      <c r="T15" s="2583"/>
      <c r="U15" s="2583"/>
    </row>
    <row r="16" spans="1:21" ht="28.5">
      <c r="A16" s="2536" t="s">
        <v>1467</v>
      </c>
      <c r="B16" s="1406" t="s">
        <v>1468</v>
      </c>
      <c r="C16" s="1465" t="s">
        <v>1469</v>
      </c>
      <c r="D16" s="1427" t="s">
        <v>2735</v>
      </c>
      <c r="E16" s="1427" t="s">
        <v>1212</v>
      </c>
      <c r="F16" s="1427" t="s">
        <v>2736</v>
      </c>
      <c r="G16" s="1427" t="s">
        <v>2737</v>
      </c>
      <c r="H16" s="1397" t="s">
        <v>776</v>
      </c>
      <c r="I16" s="1397" t="s">
        <v>2734</v>
      </c>
      <c r="J16" s="2602"/>
      <c r="K16" s="1397" t="str">
        <f>IF(D17="","",D16&amp;TEXT(D17,"yyyy年m月d日;;"))</f>
        <v/>
      </c>
      <c r="L16" s="1406" t="str">
        <f>IF(OR(K16="",M16=""),"","、")</f>
        <v/>
      </c>
      <c r="M16" s="1397" t="str">
        <f>IF(E17="","",E16&amp;TEXT(E17,"yyyy年m月d日;;"))</f>
        <v/>
      </c>
      <c r="N16" s="1406" t="str">
        <f>IF(OR(M16="",O16=""),"","、")</f>
        <v/>
      </c>
      <c r="O16" s="1397" t="str">
        <f>IF(F17="","",F16&amp;TEXT(F17,"yyyy年m月d日;;"))</f>
        <v/>
      </c>
      <c r="P16" s="1406" t="str">
        <f>IF(OR(O16="",Q16=""),"","、")</f>
        <v/>
      </c>
      <c r="Q16" s="1397" t="str">
        <f>IF(G17="","",G16&amp;TEXT(G17,"yyyy年m月d日;;"))</f>
        <v/>
      </c>
      <c r="R16" s="1406" t="str">
        <f>IF(OR(Q16="",S16=""),"","、")</f>
        <v/>
      </c>
      <c r="S16" s="1397" t="str">
        <f>IF(H17="","",H16&amp;TEXT(H17,"yyyy年m月d日;;"))</f>
        <v>工业2073年9月26日</v>
      </c>
      <c r="T16" s="1406" t="str">
        <f>IF(OR(S16="",U16=""),"","、")</f>
        <v/>
      </c>
      <c r="U16" s="1397" t="str">
        <f>IF(I17="","",I16&amp;TEXT(I17,"yyyy年m月d日;;"))</f>
        <v/>
      </c>
    </row>
    <row r="17" spans="1:21">
      <c r="A17" s="3081" t="s">
        <v>3272</v>
      </c>
      <c r="B17" s="2537" t="s">
        <v>1473</v>
      </c>
      <c r="C17" s="3080"/>
      <c r="D17" s="3080"/>
      <c r="E17" s="3080"/>
      <c r="F17" s="3080"/>
      <c r="G17" s="3080"/>
      <c r="H17" s="3474">
        <v>63458</v>
      </c>
      <c r="I17" s="3080"/>
      <c r="J17" s="2602"/>
      <c r="K17" s="2581" t="str">
        <f>CONCATENATE(K16,L16,M16,N16,O16,P16,Q16,R16,S16,T16,,U16)</f>
        <v>工业2073年9月26日</v>
      </c>
      <c r="L17" s="2582"/>
      <c r="M17" s="2582"/>
      <c r="N17" s="2583"/>
      <c r="O17" s="2584"/>
      <c r="P17" s="2583"/>
      <c r="Q17" s="2583"/>
      <c r="R17" s="2583"/>
      <c r="S17" s="2583"/>
      <c r="T17" s="2583"/>
      <c r="U17" s="2583"/>
    </row>
    <row r="18" spans="1:21">
      <c r="A18" s="1462"/>
      <c r="B18" s="2537" t="s">
        <v>1474</v>
      </c>
      <c r="C18" s="1395"/>
      <c r="D18" s="1395"/>
      <c r="E18" s="1395"/>
      <c r="F18" s="1395"/>
      <c r="G18" s="1395"/>
      <c r="H18" s="1395">
        <v>50</v>
      </c>
      <c r="I18" s="1395"/>
      <c r="J18" s="2602"/>
      <c r="K18" s="2586"/>
      <c r="L18" s="2582"/>
      <c r="M18" s="2582"/>
      <c r="N18" s="2583"/>
      <c r="O18" s="2584"/>
      <c r="P18" s="2583"/>
      <c r="Q18" s="2583"/>
      <c r="R18" s="2583"/>
      <c r="S18" s="2583"/>
      <c r="T18" s="2583"/>
      <c r="U18" s="2583"/>
    </row>
    <row r="19" spans="1:21">
      <c r="A19" s="1462"/>
      <c r="B19" s="1376" t="s">
        <v>1475</v>
      </c>
      <c r="C19" s="1457">
        <f>IF(A17="出让",IF(C17="","",ROUNDDOWN(MIN((C17-$D$3)/365,C18),2)),C18)</f>
        <v>0</v>
      </c>
      <c r="D19" s="1457">
        <f>IF(A17="出让",IF(D17="","",ROUNDDOWN(MIN((D17-$D$3)/365,D18),2)),D18)</f>
        <v>0</v>
      </c>
      <c r="E19" s="1396">
        <f>IF(A17="出让",IF(E17="","",ROUNDDOWN(MIN((E17-$D$3)/365,E18),2)),E18)</f>
        <v>0</v>
      </c>
      <c r="F19" s="1396">
        <f>IF(A17="出让",IF(F17="","",ROUNDDOWN(MIN((F17-$D$3)/365,F18),2)),F18)</f>
        <v>0</v>
      </c>
      <c r="G19" s="1396">
        <f>IF(A17="出让",IF(G17="","",ROUNDDOWN(MIN((G17-$D$3)/365,G18),2)),G18)</f>
        <v>0</v>
      </c>
      <c r="H19" s="1396">
        <f>IF(A17="出让",IF(H17="","",ROUNDDOWN(MIN((H17-$D$3)/365,H18),2)),H18)</f>
        <v>50</v>
      </c>
      <c r="I19" s="1396">
        <f>IF(A17="出让",IF(I17="","",ROUNDDOWN(MIN((I17-$D$3)/365,I18),2)),I18)</f>
        <v>0</v>
      </c>
      <c r="J19" s="2602"/>
      <c r="K19" s="2586"/>
      <c r="L19" s="2582"/>
      <c r="M19" s="2582"/>
      <c r="N19" s="2583"/>
      <c r="O19" s="2584"/>
      <c r="P19" s="2583"/>
      <c r="Q19" s="2583"/>
      <c r="R19" s="2583"/>
      <c r="S19" s="2583"/>
      <c r="T19" s="2583"/>
      <c r="U19" s="2583"/>
    </row>
    <row r="20" spans="1:21">
      <c r="A20" s="1480"/>
      <c r="B20" s="1481"/>
      <c r="C20" s="1482" t="s">
        <v>1576</v>
      </c>
      <c r="D20" s="3585"/>
      <c r="E20" s="3586"/>
      <c r="F20" s="3586"/>
      <c r="G20" s="3586"/>
      <c r="H20" s="3586"/>
      <c r="I20" s="3587"/>
      <c r="J20" s="2602"/>
      <c r="K20" s="2586"/>
      <c r="L20" s="2582"/>
      <c r="M20" s="2582"/>
      <c r="N20" s="2583"/>
      <c r="O20" s="2584"/>
      <c r="P20" s="2583"/>
      <c r="Q20" s="2583"/>
      <c r="R20" s="2583"/>
      <c r="S20" s="2583"/>
      <c r="T20" s="2583"/>
      <c r="U20" s="2583"/>
    </row>
    <row r="21" spans="1:21">
      <c r="A21" s="1462" t="s">
        <v>1476</v>
      </c>
      <c r="B21" s="1463" t="s">
        <v>1477</v>
      </c>
      <c r="C21" s="1458">
        <f>'数据-汇总表'!E3</f>
        <v>5006.88</v>
      </c>
      <c r="D21" s="1459" t="s">
        <v>1478</v>
      </c>
      <c r="E21" s="3575" t="s">
        <v>3815</v>
      </c>
      <c r="F21" s="3576"/>
      <c r="G21" s="3576"/>
      <c r="H21" s="3576"/>
      <c r="I21" s="3577"/>
      <c r="J21" s="2602"/>
      <c r="K21" s="2586"/>
      <c r="L21" s="2582"/>
      <c r="M21" s="2582"/>
      <c r="N21" s="2583"/>
      <c r="O21" s="2584"/>
      <c r="P21" s="2583"/>
      <c r="Q21" s="2583"/>
      <c r="R21" s="2583"/>
      <c r="S21" s="2583"/>
      <c r="T21" s="2583"/>
      <c r="U21" s="2583"/>
    </row>
    <row r="22" spans="1:21">
      <c r="A22" s="2365" t="s">
        <v>877</v>
      </c>
      <c r="B22" s="1377" t="s">
        <v>1479</v>
      </c>
      <c r="C22" s="1397">
        <f>'数据-汇总表'!D3</f>
        <v>17556.580000000002</v>
      </c>
      <c r="D22" s="1398" t="s">
        <v>1478</v>
      </c>
      <c r="E22" s="3575" t="s">
        <v>3814</v>
      </c>
      <c r="F22" s="3576"/>
      <c r="G22" s="3576"/>
      <c r="H22" s="3576"/>
      <c r="I22" s="3577"/>
      <c r="J22" s="2602"/>
      <c r="K22" s="2586"/>
      <c r="L22" s="2582"/>
      <c r="M22" s="2582"/>
      <c r="N22" s="2583"/>
      <c r="O22" s="2584"/>
      <c r="P22" s="2583"/>
      <c r="Q22" s="2583"/>
      <c r="R22" s="2583"/>
      <c r="S22" s="2583"/>
      <c r="T22" s="2583"/>
      <c r="U22" s="2583"/>
    </row>
    <row r="23" spans="1:21" ht="29.25" thickBot="1">
      <c r="A23" s="1464" t="s">
        <v>1480</v>
      </c>
      <c r="B23" s="1407" t="s">
        <v>1481</v>
      </c>
      <c r="C23" s="1408"/>
      <c r="D23" s="1409" t="s">
        <v>1482</v>
      </c>
      <c r="E23" s="1410"/>
      <c r="F23" s="1411" t="str">
        <f>IF(AND(C23="是",E23="否"),"是否提供他项权证或相关说明","")</f>
        <v/>
      </c>
      <c r="G23" s="1412"/>
      <c r="H23" s="2602"/>
      <c r="I23" s="2603"/>
      <c r="J23" s="2602"/>
      <c r="K23" s="2586"/>
      <c r="L23" s="2582"/>
      <c r="M23" s="2582"/>
      <c r="N23" s="2583"/>
      <c r="O23" s="2584"/>
      <c r="P23" s="2583"/>
      <c r="Q23" s="2583"/>
      <c r="R23" s="2583"/>
      <c r="S23" s="2583"/>
      <c r="T23" s="2583"/>
      <c r="U23" s="2583"/>
    </row>
    <row r="24" spans="1:21">
      <c r="A24" s="1449" t="s">
        <v>1483</v>
      </c>
      <c r="B24" s="3578" t="s">
        <v>1484</v>
      </c>
      <c r="C24" s="3579"/>
      <c r="D24" s="3580" t="s">
        <v>1485</v>
      </c>
      <c r="E24" s="3581"/>
      <c r="F24" s="1413" t="s">
        <v>1486</v>
      </c>
      <c r="G24" s="2602"/>
      <c r="H24" s="2602"/>
      <c r="I24" s="2603"/>
      <c r="J24" s="2602"/>
      <c r="K24" s="3566" t="s">
        <v>1487</v>
      </c>
      <c r="L24" s="1971" t="str">
        <f>"根据估价对象"&amp;IF(B26="——",B25&amp;C25,B25&amp;C25&amp;"、"&amp;B26&amp;C26)&amp;"，"&amp;IF(C23="是","截至估价期日，估价对象已设定抵押。","截至估价期日，估价对象抵押权未见登记。")</f>
        <v>根据估价对象《房屋所有权证》复印件、《国有土地使用权》复印件，截至估价期日，估价对象抵押权未见登记。</v>
      </c>
      <c r="M24" s="1428"/>
      <c r="N24" s="2583"/>
      <c r="O24" s="2584"/>
      <c r="P24" s="2583"/>
      <c r="Q24" s="2583"/>
      <c r="R24" s="2583"/>
      <c r="S24" s="2583"/>
      <c r="T24" s="2583"/>
      <c r="U24" s="2583"/>
    </row>
    <row r="25" spans="1:21" ht="28.5">
      <c r="A25" s="1450"/>
      <c r="B25" s="1447" t="s">
        <v>3262</v>
      </c>
      <c r="C25" s="1414" t="s">
        <v>1680</v>
      </c>
      <c r="D25" s="1415"/>
      <c r="E25" s="1416" t="s">
        <v>877</v>
      </c>
      <c r="F25" s="1417"/>
      <c r="G25" s="2602"/>
      <c r="H25" s="2602"/>
      <c r="I25" s="2603"/>
      <c r="J25" s="2602"/>
      <c r="K25" s="3566"/>
      <c r="L25" s="19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8"/>
      <c r="N25" s="2583"/>
      <c r="O25" s="2584"/>
      <c r="P25" s="2583"/>
      <c r="Q25" s="2583"/>
      <c r="R25" s="2583"/>
      <c r="S25" s="2583"/>
      <c r="T25" s="2583"/>
      <c r="U25" s="2583"/>
    </row>
    <row r="26" spans="1:21" ht="29.25" thickBot="1">
      <c r="A26" s="1451"/>
      <c r="B26" s="1448" t="s">
        <v>1488</v>
      </c>
      <c r="C26" s="1414" t="s">
        <v>1680</v>
      </c>
      <c r="D26" s="2602"/>
      <c r="E26" s="2602"/>
      <c r="F26" s="2607"/>
      <c r="G26" s="2602"/>
      <c r="H26" s="2602"/>
      <c r="I26" s="2603"/>
      <c r="J26" s="2602"/>
      <c r="K26" s="3566"/>
      <c r="L26" s="19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83"/>
      <c r="O26" s="2584"/>
      <c r="P26" s="2583"/>
      <c r="Q26" s="2583"/>
      <c r="R26" s="2583"/>
      <c r="S26" s="2583"/>
      <c r="T26" s="2583"/>
      <c r="U26" s="2583"/>
    </row>
    <row r="27" spans="1:21">
      <c r="A27" s="1454" t="s">
        <v>1489</v>
      </c>
      <c r="B27" s="1452" t="s">
        <v>1490</v>
      </c>
      <c r="C27" s="1418"/>
      <c r="D27" s="2089" t="s">
        <v>1490</v>
      </c>
      <c r="E27" s="1419"/>
      <c r="F27" s="2607"/>
      <c r="G27" s="2602"/>
      <c r="H27" s="2602"/>
      <c r="I27" s="2603"/>
      <c r="J27" s="2602"/>
      <c r="K27" s="2586"/>
      <c r="L27" s="2582"/>
      <c r="M27" s="2582"/>
      <c r="N27" s="2583"/>
      <c r="O27" s="2584"/>
      <c r="P27" s="2583"/>
      <c r="Q27" s="2583"/>
      <c r="R27" s="2583"/>
      <c r="S27" s="2583"/>
      <c r="T27" s="2583"/>
      <c r="U27" s="2583"/>
    </row>
    <row r="28" spans="1:21">
      <c r="A28" s="1455"/>
      <c r="B28" s="1452" t="s">
        <v>1491</v>
      </c>
      <c r="C28" s="1420"/>
      <c r="D28" s="2090" t="s">
        <v>1491</v>
      </c>
      <c r="E28" s="1421"/>
      <c r="F28" s="2607"/>
      <c r="G28" s="2602"/>
      <c r="H28" s="2602"/>
      <c r="I28" s="2603"/>
      <c r="J28" s="2602"/>
      <c r="K28" s="2586"/>
      <c r="L28" s="2582"/>
      <c r="M28" s="2582"/>
      <c r="N28" s="2583"/>
      <c r="O28" s="2584"/>
      <c r="P28" s="2583"/>
      <c r="Q28" s="2583"/>
      <c r="R28" s="2583"/>
      <c r="S28" s="2583"/>
      <c r="T28" s="2583"/>
      <c r="U28" s="2583"/>
    </row>
    <row r="29" spans="1:21">
      <c r="A29" s="1455"/>
      <c r="B29" s="1452" t="s">
        <v>1492</v>
      </c>
      <c r="C29" s="1420"/>
      <c r="D29" s="2090" t="s">
        <v>1492</v>
      </c>
      <c r="E29" s="1421"/>
      <c r="F29" s="2607"/>
      <c r="G29" s="2602"/>
      <c r="H29" s="2602"/>
      <c r="I29" s="2603"/>
      <c r="J29" s="2602"/>
      <c r="K29" s="2586"/>
      <c r="L29" s="2582"/>
      <c r="M29" s="2582"/>
      <c r="N29" s="2583"/>
      <c r="O29" s="2584"/>
      <c r="P29" s="2583"/>
      <c r="Q29" s="2583"/>
      <c r="R29" s="2583"/>
      <c r="S29" s="2583"/>
      <c r="T29" s="2583"/>
      <c r="U29" s="2583"/>
    </row>
    <row r="30" spans="1:21" ht="15" thickBot="1">
      <c r="A30" s="1456"/>
      <c r="B30" s="1453" t="s">
        <v>1493</v>
      </c>
      <c r="C30" s="1422"/>
      <c r="D30" s="2091" t="s">
        <v>1493</v>
      </c>
      <c r="E30" s="1423"/>
      <c r="F30" s="2608"/>
      <c r="G30" s="2605"/>
      <c r="H30" s="2605"/>
      <c r="I30" s="2606"/>
      <c r="J30" s="2602"/>
      <c r="K30" s="2586"/>
      <c r="L30" s="2582"/>
      <c r="M30" s="2582"/>
      <c r="N30" s="2583"/>
      <c r="O30" s="2584"/>
      <c r="P30" s="2583"/>
      <c r="Q30" s="2583"/>
      <c r="R30" s="2583"/>
      <c r="S30" s="2583"/>
      <c r="T30" s="2583"/>
      <c r="U30" s="2583"/>
    </row>
    <row r="31" spans="1:21" ht="15" thickTop="1">
      <c r="A31" s="3593" t="s">
        <v>1517</v>
      </c>
      <c r="B31" s="1463" t="s">
        <v>1518</v>
      </c>
      <c r="C31" s="3591" t="s">
        <v>3260</v>
      </c>
      <c r="D31" s="3592"/>
      <c r="E31" s="2602"/>
      <c r="F31" s="2602"/>
      <c r="G31" s="2602"/>
      <c r="H31" s="2602"/>
      <c r="I31" s="2603"/>
      <c r="J31" s="2602"/>
      <c r="K31" s="2589"/>
      <c r="L31" s="2583"/>
      <c r="M31" s="2583"/>
      <c r="N31" s="2583"/>
      <c r="O31" s="2583"/>
      <c r="P31" s="2583"/>
      <c r="Q31" s="2583"/>
      <c r="R31" s="2583"/>
      <c r="S31" s="2583"/>
      <c r="T31" s="2583"/>
      <c r="U31" s="2583"/>
    </row>
    <row r="32" spans="1:21">
      <c r="A32" s="3593"/>
      <c r="B32" s="1377" t="s">
        <v>1519</v>
      </c>
      <c r="C32" s="1424"/>
      <c r="D32" s="1425"/>
      <c r="E32" s="2602"/>
      <c r="F32" s="2602"/>
      <c r="G32" s="2602"/>
      <c r="H32" s="2602"/>
      <c r="I32" s="2603"/>
      <c r="J32" s="2602"/>
      <c r="K32" s="2589"/>
      <c r="L32" s="2583"/>
      <c r="M32" s="2583"/>
      <c r="N32" s="2583"/>
      <c r="O32" s="2583"/>
      <c r="P32" s="2583"/>
      <c r="Q32" s="2583"/>
      <c r="R32" s="2583"/>
      <c r="S32" s="2583"/>
      <c r="T32" s="2583"/>
      <c r="U32" s="2583"/>
    </row>
    <row r="33" spans="1:28">
      <c r="A33" s="3593"/>
      <c r="B33" s="1377" t="s">
        <v>1520</v>
      </c>
      <c r="C33" s="1426"/>
      <c r="D33" s="1526"/>
      <c r="E33" s="2602"/>
      <c r="F33" s="2602"/>
      <c r="G33" s="2602"/>
      <c r="H33" s="2602"/>
      <c r="I33" s="2603"/>
      <c r="J33" s="2602"/>
      <c r="K33" s="2589"/>
      <c r="L33" s="2583"/>
      <c r="M33" s="2583"/>
      <c r="N33" s="2583"/>
      <c r="O33" s="2583"/>
      <c r="P33" s="2583"/>
      <c r="Q33" s="2583"/>
      <c r="R33" s="2583"/>
      <c r="S33" s="2583"/>
      <c r="T33" s="2583"/>
      <c r="U33" s="2583"/>
    </row>
    <row r="34" spans="1:28">
      <c r="A34" s="3594"/>
      <c r="B34" s="1377" t="s">
        <v>1521</v>
      </c>
      <c r="C34" s="3595"/>
      <c r="D34" s="3596"/>
      <c r="E34" s="2602"/>
      <c r="F34" s="2602"/>
      <c r="G34" s="2602"/>
      <c r="H34" s="2602"/>
      <c r="I34" s="2603"/>
      <c r="J34" s="2602"/>
      <c r="K34" s="2589"/>
      <c r="L34" s="2583"/>
      <c r="M34" s="2583"/>
      <c r="N34" s="2583"/>
      <c r="O34" s="2583"/>
      <c r="P34" s="2583"/>
      <c r="Q34" s="2583"/>
      <c r="R34" s="2583"/>
      <c r="S34" s="2583"/>
      <c r="T34" s="2583"/>
      <c r="U34" s="2583"/>
    </row>
    <row r="35" spans="1:28">
      <c r="A35" s="3597" t="s">
        <v>785</v>
      </c>
      <c r="B35" s="1427" t="s">
        <v>3259</v>
      </c>
      <c r="C35" s="1471" t="str">
        <f>IF(B35="场地平整","——","具体情况：")</f>
        <v>具体情况：</v>
      </c>
      <c r="D35" s="3599" t="s">
        <v>3261</v>
      </c>
      <c r="E35" s="3600"/>
      <c r="F35" s="3600"/>
      <c r="G35" s="3600"/>
      <c r="H35" s="3600"/>
      <c r="I35" s="3601"/>
      <c r="J35" s="2602"/>
      <c r="K35" s="2590"/>
      <c r="L35" s="2582"/>
      <c r="M35" s="2582"/>
      <c r="N35" s="2583"/>
      <c r="O35" s="2584"/>
      <c r="P35" s="2583"/>
      <c r="Q35" s="2583"/>
      <c r="R35" s="2583"/>
      <c r="S35" s="2583"/>
      <c r="T35" s="2583"/>
      <c r="U35" s="2583"/>
    </row>
    <row r="36" spans="1:28">
      <c r="A36" s="3593"/>
      <c r="B36" s="3602" t="s">
        <v>1570</v>
      </c>
      <c r="C36" s="3603"/>
      <c r="D36" s="1486"/>
      <c r="E36" s="3604"/>
      <c r="F36" s="3604"/>
      <c r="G36" s="1398" t="str">
        <f>IF(B35="场地未平整","估价结果处理","")</f>
        <v>估价结果处理</v>
      </c>
      <c r="H36" s="3605"/>
      <c r="I36" s="3605"/>
      <c r="J36" s="2602"/>
      <c r="K36" s="2590"/>
      <c r="L36" s="2582"/>
      <c r="M36" s="2582"/>
      <c r="N36" s="2583"/>
      <c r="O36" s="2584"/>
      <c r="P36" s="2583"/>
      <c r="Q36" s="2583"/>
      <c r="R36" s="2583"/>
      <c r="S36" s="2583"/>
      <c r="T36" s="2583"/>
      <c r="U36" s="2583"/>
    </row>
    <row r="37" spans="1:28" ht="28.5">
      <c r="A37" s="3593"/>
      <c r="B37" s="3582" t="s">
        <v>786</v>
      </c>
      <c r="C37" s="1429" t="s">
        <v>787</v>
      </c>
      <c r="D37" s="1430"/>
      <c r="E37" s="1431"/>
      <c r="F37" s="2602"/>
      <c r="G37" s="2602"/>
      <c r="H37" s="2602"/>
      <c r="I37" s="2603"/>
      <c r="J37" s="2602"/>
      <c r="K37" s="2590"/>
      <c r="L37" s="2583"/>
      <c r="M37" s="2583"/>
      <c r="N37" s="2583"/>
      <c r="O37" s="2583"/>
      <c r="P37" s="2583"/>
      <c r="Q37" s="2583"/>
      <c r="R37" s="2583"/>
      <c r="S37" s="2583"/>
      <c r="T37" s="2583"/>
      <c r="U37" s="2583"/>
    </row>
    <row r="38" spans="1:28">
      <c r="A38" s="3593"/>
      <c r="B38" s="3583"/>
      <c r="C38" s="1385" t="s">
        <v>788</v>
      </c>
      <c r="D38" s="1485">
        <f>ROUNDDOWN(MIN(('数据-取费表'!$B$2-D37)/365,D34),1)</f>
        <v>123.8</v>
      </c>
      <c r="E38" s="1432" t="s">
        <v>789</v>
      </c>
      <c r="F38" s="2602"/>
      <c r="G38" s="2602"/>
      <c r="H38" s="2602"/>
      <c r="I38" s="2603"/>
      <c r="J38" s="2602"/>
      <c r="K38" s="2590"/>
      <c r="L38" s="2583"/>
      <c r="M38" s="2583"/>
      <c r="N38" s="2583"/>
      <c r="O38" s="2583"/>
      <c r="P38" s="2583"/>
      <c r="Q38" s="2583"/>
      <c r="R38" s="2583"/>
      <c r="S38" s="2583"/>
      <c r="T38" s="2583"/>
      <c r="U38" s="2583"/>
    </row>
    <row r="39" spans="1:28">
      <c r="A39" s="3594"/>
      <c r="B39" s="3584"/>
      <c r="C39" s="1404" t="str">
        <f>IF(D38&lt;1,"不存在土地闲置",IF(B35="宗地内已开工建设","已开工，不存在土地闲置","估价对象已涉嫌土地闲置"))</f>
        <v>估价对象已涉嫌土地闲置</v>
      </c>
      <c r="D39" s="1433"/>
      <c r="E39" s="1434"/>
      <c r="F39" s="2602"/>
      <c r="G39" s="2602"/>
      <c r="H39" s="2602"/>
      <c r="I39" s="2603"/>
      <c r="J39" s="2602"/>
      <c r="K39" s="2586"/>
      <c r="L39" s="2582"/>
      <c r="M39" s="2582"/>
      <c r="N39" s="2583"/>
      <c r="O39" s="2584"/>
      <c r="P39" s="2583"/>
      <c r="Q39" s="2583"/>
      <c r="R39" s="2583"/>
      <c r="S39" s="2583"/>
      <c r="T39" s="2583"/>
      <c r="U39" s="2583"/>
    </row>
    <row r="40" spans="1:28">
      <c r="A40" s="1398" t="s">
        <v>1494</v>
      </c>
      <c r="B40" s="1399" t="s">
        <v>2761</v>
      </c>
      <c r="C40" s="1399" t="s">
        <v>2762</v>
      </c>
      <c r="D40" s="1399" t="s">
        <v>2763</v>
      </c>
      <c r="E40" s="1399" t="s">
        <v>2764</v>
      </c>
      <c r="F40" s="1399" t="s">
        <v>2765</v>
      </c>
      <c r="G40" s="1399" t="s">
        <v>2766</v>
      </c>
      <c r="H40" s="1399" t="s">
        <v>2767</v>
      </c>
      <c r="I40" s="2603"/>
      <c r="J40" s="2602"/>
      <c r="K40" s="1435">
        <f>COUNTIF(B40:H40,"——")</f>
        <v>0</v>
      </c>
      <c r="L40" s="1406" t="s">
        <v>1495</v>
      </c>
      <c r="M40" s="1403" t="s">
        <v>1496</v>
      </c>
      <c r="N40" s="1403" t="s">
        <v>1497</v>
      </c>
      <c r="O40" s="1403" t="s">
        <v>1498</v>
      </c>
      <c r="P40" s="1403" t="s">
        <v>1499</v>
      </c>
      <c r="Q40" s="1403" t="s">
        <v>1500</v>
      </c>
      <c r="R40" s="1403" t="s">
        <v>1501</v>
      </c>
      <c r="S40" s="3565" t="s">
        <v>1502</v>
      </c>
      <c r="T40" s="1406" t="str">
        <f>NUMBERSTRING(7-K40,1)&amp;"通"</f>
        <v>七通</v>
      </c>
      <c r="U40" s="2583"/>
    </row>
    <row r="41" spans="1:28">
      <c r="A41" s="1379"/>
      <c r="B41" s="3598" t="s">
        <v>1250</v>
      </c>
      <c r="C41" s="3598"/>
      <c r="D41" s="3598"/>
      <c r="E41" s="3598"/>
      <c r="F41" s="1436">
        <f>C10</f>
        <v>0</v>
      </c>
      <c r="G41" s="2602"/>
      <c r="H41" s="2602"/>
      <c r="I41" s="2603"/>
      <c r="J41" s="2602"/>
      <c r="K41" s="1406"/>
      <c r="L41" s="1403" t="str">
        <f>B40</f>
        <v>通路</v>
      </c>
      <c r="M41" s="1437" t="str">
        <f>B40&amp;"、"&amp;C40</f>
        <v>通路、通电</v>
      </c>
      <c r="N41" s="1438" t="str">
        <f>B40&amp;"、"&amp;C40&amp;"、"&amp;D40</f>
        <v>通路、通电、通讯</v>
      </c>
      <c r="O41" s="1438" t="str">
        <f>B40&amp;"、"&amp;C40&amp;"、"&amp;D40&amp;"、"&amp;E40</f>
        <v>通路、通电、通讯、通上水</v>
      </c>
      <c r="P41" s="1438" t="str">
        <f>B40&amp;"、"&amp;C40&amp;"、"&amp;D40&amp;"、"&amp;E40&amp;"、"&amp;F40</f>
        <v>通路、通电、通讯、通上水、通下水</v>
      </c>
      <c r="Q41" s="1438" t="str">
        <f>B40&amp;"、"&amp;C40&amp;"、"&amp;D40&amp;"、"&amp;E40&amp;"、"&amp;F40&amp;"、"&amp;G40</f>
        <v>通路、通电、通讯、通上水、通下水、通热</v>
      </c>
      <c r="R41" s="1438" t="str">
        <f>B40&amp;"、"&amp;C40&amp;"、"&amp;D40&amp;"、"&amp;E40&amp;"、"&amp;F40&amp;"、"&amp;G40&amp;"、"&amp;H40</f>
        <v>通路、通电、通讯、通上水、通下水、通热、燃气</v>
      </c>
      <c r="S41" s="3565"/>
      <c r="T41" s="1437" t="str">
        <f>IF(T40="一通",L41,IF(T40="二通",M41,IF(T40="三通",N41,IF(T40="四通",O41,IF(T40="五通",P41,IF(T40="六通",Q41,R41))))))</f>
        <v>通路、通电、通讯、通上水、通下水、通热、燃气</v>
      </c>
      <c r="U41" s="2583"/>
    </row>
    <row r="42" spans="1:28">
      <c r="A42" s="1439"/>
      <c r="B42" s="1465" t="s">
        <v>1422</v>
      </c>
      <c r="C42" s="1465" t="s">
        <v>1423</v>
      </c>
      <c r="D42" s="1465" t="s">
        <v>1424</v>
      </c>
      <c r="E42" s="1465" t="s">
        <v>2738</v>
      </c>
      <c r="F42" s="1465" t="s">
        <v>2739</v>
      </c>
      <c r="G42" s="2602"/>
      <c r="H42" s="2602"/>
      <c r="I42" s="2603"/>
      <c r="J42" s="2602"/>
      <c r="K42" s="2586"/>
      <c r="L42" s="2582"/>
      <c r="M42" s="2582"/>
      <c r="N42" s="2583"/>
      <c r="O42" s="2584"/>
      <c r="P42" s="2583"/>
      <c r="Q42" s="2583"/>
      <c r="R42" s="2583"/>
      <c r="S42" s="2583"/>
      <c r="T42" s="2583"/>
      <c r="U42" s="2583"/>
    </row>
    <row r="43" spans="1:28">
      <c r="A43" s="2558" t="s">
        <v>1235</v>
      </c>
      <c r="B43" s="1441"/>
      <c r="C43" s="1441"/>
      <c r="D43" s="1441"/>
      <c r="E43" s="1441" t="s">
        <v>853</v>
      </c>
      <c r="F43" s="1441"/>
      <c r="G43" s="2602"/>
      <c r="H43" s="2602"/>
      <c r="I43" s="2603"/>
      <c r="J43" s="2602"/>
      <c r="K43" s="2586"/>
      <c r="L43" s="2582"/>
      <c r="M43" s="2582"/>
      <c r="N43" s="2583"/>
      <c r="O43" s="2584"/>
      <c r="P43" s="2583"/>
      <c r="Q43" s="2583"/>
      <c r="R43" s="2583"/>
      <c r="S43" s="2583"/>
      <c r="T43" s="2583"/>
      <c r="U43" s="2583"/>
    </row>
    <row r="44" spans="1:28">
      <c r="A44" s="2558" t="s">
        <v>1236</v>
      </c>
      <c r="B44" s="1441"/>
      <c r="C44" s="1441"/>
      <c r="D44" s="1441"/>
      <c r="E44" s="1486" t="s">
        <v>1043</v>
      </c>
      <c r="F44" s="1486"/>
      <c r="G44" s="2602"/>
      <c r="H44" s="2602"/>
      <c r="I44" s="2603"/>
      <c r="J44" s="2602"/>
      <c r="K44" s="2586"/>
      <c r="L44" s="2582"/>
      <c r="M44" s="2582"/>
      <c r="N44" s="2583"/>
      <c r="O44" s="2584"/>
      <c r="P44" s="2583"/>
      <c r="Q44" s="2583"/>
      <c r="R44" s="2583"/>
      <c r="S44" s="2583"/>
      <c r="T44" s="2583"/>
      <c r="U44" s="2583"/>
    </row>
    <row r="45" spans="1:28" s="2339" customFormat="1" ht="21" thickBot="1">
      <c r="A45" s="2340" t="s">
        <v>2160</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6"/>
      <c r="B46" s="1376"/>
      <c r="C46" s="1376"/>
      <c r="D46" s="1376"/>
      <c r="E46" s="1376"/>
      <c r="F46" s="1376"/>
      <c r="G46" s="1376"/>
      <c r="H46" s="1376"/>
      <c r="I46" s="1402"/>
      <c r="J46" s="1376"/>
      <c r="K46" s="2586"/>
      <c r="L46" s="2582"/>
      <c r="M46" s="2582"/>
      <c r="N46" s="2583"/>
      <c r="O46" s="2584"/>
      <c r="P46" s="2583"/>
      <c r="Q46" s="2583"/>
      <c r="R46" s="2583"/>
      <c r="S46" s="2583"/>
      <c r="T46" s="2583"/>
      <c r="U46" s="2583"/>
    </row>
    <row r="47" spans="1:28">
      <c r="A47" s="1442" t="s">
        <v>1522</v>
      </c>
      <c r="B47" s="1443"/>
      <c r="C47" s="1434"/>
      <c r="D47" s="1376"/>
      <c r="E47" s="1376"/>
      <c r="F47" s="1376"/>
      <c r="G47" s="1376"/>
      <c r="H47" s="1376"/>
      <c r="I47" s="1402"/>
      <c r="J47" s="1376"/>
      <c r="K47" s="2586"/>
      <c r="L47" s="2582"/>
      <c r="M47" s="2582"/>
      <c r="N47" s="2583"/>
      <c r="O47" s="2584"/>
      <c r="P47" s="2583"/>
      <c r="Q47" s="2583"/>
      <c r="R47" s="2583"/>
      <c r="S47" s="2583"/>
      <c r="T47" s="2583"/>
      <c r="U47" s="2583"/>
    </row>
    <row r="48" spans="1:28" ht="28.5">
      <c r="A48" s="1406" t="s">
        <v>1523</v>
      </c>
      <c r="B48" s="1397" t="s">
        <v>1524</v>
      </c>
      <c r="C48" s="1397" t="s">
        <v>1525</v>
      </c>
      <c r="D48" s="1397" t="s">
        <v>1526</v>
      </c>
      <c r="E48" s="1397" t="s">
        <v>1527</v>
      </c>
      <c r="F48" s="1397" t="s">
        <v>1528</v>
      </c>
      <c r="G48" s="1397" t="s">
        <v>1529</v>
      </c>
      <c r="H48" s="1397" t="s">
        <v>1530</v>
      </c>
      <c r="I48" s="1397" t="s">
        <v>1531</v>
      </c>
      <c r="J48" s="1470" t="s">
        <v>1532</v>
      </c>
      <c r="K48" s="2596" t="s">
        <v>1533</v>
      </c>
      <c r="L48" s="2596" t="s">
        <v>1534</v>
      </c>
      <c r="M48" s="2596" t="s">
        <v>1535</v>
      </c>
      <c r="N48" s="2597" t="s">
        <v>1536</v>
      </c>
      <c r="O48" s="2597" t="s">
        <v>1537</v>
      </c>
      <c r="P48" s="2597" t="s">
        <v>1538</v>
      </c>
      <c r="Q48" s="2588" t="s">
        <v>1539</v>
      </c>
      <c r="R48" s="2588" t="s">
        <v>1540</v>
      </c>
      <c r="S48" s="2583"/>
      <c r="T48" s="2583"/>
      <c r="U48" s="2583"/>
    </row>
    <row r="49" spans="1:21">
      <c r="A49" s="1403"/>
      <c r="B49" s="1435"/>
      <c r="C49" s="1435"/>
      <c r="D49" s="1435"/>
      <c r="E49" s="1435"/>
      <c r="F49" s="1435"/>
      <c r="G49" s="1435"/>
      <c r="H49" s="1435"/>
      <c r="I49" s="1435"/>
      <c r="J49" s="1527"/>
      <c r="K49" s="2598"/>
      <c r="L49" s="2598"/>
      <c r="M49" s="1440"/>
      <c r="N49" s="1440"/>
      <c r="O49" s="1440"/>
      <c r="P49" s="1440"/>
      <c r="Q49" s="1440"/>
      <c r="R49" s="1440"/>
      <c r="S49" s="2583"/>
      <c r="T49" s="2583"/>
      <c r="U49" s="2583"/>
    </row>
    <row r="50" spans="1:21">
      <c r="A50" s="1403"/>
      <c r="B50" s="1403"/>
      <c r="C50" s="1435"/>
      <c r="D50" s="1435"/>
      <c r="E50" s="1435"/>
      <c r="F50" s="1435"/>
      <c r="G50" s="1435"/>
      <c r="H50" s="1435"/>
      <c r="I50" s="1435"/>
      <c r="J50" s="1527"/>
      <c r="K50" s="2598"/>
      <c r="L50" s="2598"/>
      <c r="M50" s="1440"/>
      <c r="N50" s="1440"/>
      <c r="O50" s="1440"/>
      <c r="P50" s="1440"/>
      <c r="Q50" s="1440"/>
      <c r="R50" s="1440"/>
      <c r="S50" s="2583"/>
      <c r="T50" s="2583"/>
      <c r="U50" s="2583"/>
    </row>
    <row r="51" spans="1:21">
      <c r="A51" s="1403"/>
      <c r="B51" s="1403"/>
      <c r="C51" s="1435"/>
      <c r="D51" s="1435"/>
      <c r="E51" s="1435"/>
      <c r="F51" s="1435"/>
      <c r="G51" s="1435"/>
      <c r="H51" s="1435"/>
      <c r="I51" s="1435"/>
      <c r="J51" s="1527"/>
      <c r="K51" s="2598"/>
      <c r="L51" s="2598"/>
      <c r="M51" s="1440"/>
      <c r="N51" s="1440"/>
      <c r="O51" s="1440"/>
      <c r="P51" s="1440"/>
      <c r="Q51" s="1440"/>
      <c r="R51" s="1440"/>
      <c r="S51" s="2583"/>
      <c r="T51" s="2583"/>
      <c r="U51" s="2583"/>
    </row>
    <row r="52" spans="1:21">
      <c r="A52" s="1403"/>
      <c r="B52" s="1403"/>
      <c r="C52" s="1435"/>
      <c r="D52" s="1435"/>
      <c r="E52" s="1435"/>
      <c r="F52" s="1435"/>
      <c r="G52" s="1435"/>
      <c r="H52" s="1435"/>
      <c r="I52" s="1435"/>
      <c r="J52" s="1527"/>
      <c r="K52" s="2598"/>
      <c r="L52" s="2598"/>
      <c r="M52" s="1440"/>
      <c r="N52" s="1440"/>
      <c r="O52" s="1440"/>
      <c r="P52" s="1440"/>
      <c r="Q52" s="1440"/>
      <c r="R52" s="1440"/>
      <c r="S52" s="2583"/>
      <c r="T52" s="2583"/>
      <c r="U52" s="2583"/>
    </row>
    <row r="53" spans="1:21">
      <c r="A53" s="1403"/>
      <c r="B53" s="1403"/>
      <c r="C53" s="1435"/>
      <c r="D53" s="1435"/>
      <c r="E53" s="1435"/>
      <c r="F53" s="1435"/>
      <c r="G53" s="1435"/>
      <c r="H53" s="1435"/>
      <c r="I53" s="1435"/>
      <c r="J53" s="1527"/>
      <c r="K53" s="2598"/>
      <c r="L53" s="2598"/>
      <c r="M53" s="1440"/>
      <c r="N53" s="1440"/>
      <c r="O53" s="1440"/>
      <c r="P53" s="1440"/>
      <c r="Q53" s="1440"/>
      <c r="R53" s="1440"/>
      <c r="S53" s="2583"/>
      <c r="T53" s="2583"/>
      <c r="U53" s="2583"/>
    </row>
    <row r="54" spans="1:21">
      <c r="A54" s="1403"/>
      <c r="B54" s="1403"/>
      <c r="C54" s="1403"/>
      <c r="D54" s="1403"/>
      <c r="E54" s="1403"/>
      <c r="F54" s="1435"/>
      <c r="G54" s="1403"/>
      <c r="H54" s="1403"/>
      <c r="I54" s="1403"/>
      <c r="J54" s="1528"/>
      <c r="K54" s="2598"/>
      <c r="L54" s="2598"/>
      <c r="M54" s="2598"/>
      <c r="N54" s="2555"/>
      <c r="O54" s="2555"/>
      <c r="P54" s="2555"/>
      <c r="Q54" s="2555"/>
      <c r="R54" s="2555"/>
      <c r="S54" s="2583"/>
      <c r="T54" s="2583"/>
      <c r="U54" s="2583"/>
    </row>
    <row r="55" spans="1:21">
      <c r="A55" s="1403"/>
      <c r="B55" s="1403"/>
      <c r="C55" s="1403"/>
      <c r="D55" s="1403"/>
      <c r="E55" s="1403"/>
      <c r="F55" s="1435"/>
      <c r="G55" s="1403"/>
      <c r="H55" s="1403"/>
      <c r="I55" s="1403"/>
      <c r="J55" s="1528"/>
      <c r="K55" s="2598"/>
      <c r="L55" s="2598"/>
      <c r="M55" s="2598"/>
      <c r="N55" s="2555"/>
      <c r="O55" s="2555"/>
      <c r="P55" s="2555"/>
      <c r="Q55" s="2555"/>
      <c r="R55" s="2555"/>
      <c r="S55" s="2583"/>
      <c r="T55" s="2583"/>
      <c r="U55" s="2583"/>
    </row>
    <row r="56" spans="1:21">
      <c r="A56" s="1403"/>
      <c r="B56" s="1403"/>
      <c r="C56" s="1403"/>
      <c r="D56" s="1403"/>
      <c r="E56" s="1403"/>
      <c r="F56" s="1435"/>
      <c r="G56" s="1403"/>
      <c r="H56" s="1403"/>
      <c r="I56" s="1403"/>
      <c r="J56" s="1528"/>
      <c r="K56" s="2598"/>
      <c r="L56" s="2598"/>
      <c r="M56" s="2598"/>
      <c r="N56" s="2555"/>
      <c r="O56" s="2555"/>
      <c r="P56" s="2555"/>
      <c r="Q56" s="2555"/>
      <c r="R56" s="2555"/>
      <c r="S56" s="2583"/>
      <c r="T56" s="2583"/>
      <c r="U56" s="2583"/>
    </row>
    <row r="57" spans="1:21">
      <c r="A57" s="1403"/>
      <c r="B57" s="1403"/>
      <c r="C57" s="1403"/>
      <c r="D57" s="1403"/>
      <c r="E57" s="1403"/>
      <c r="F57" s="1435"/>
      <c r="G57" s="1403"/>
      <c r="H57" s="1403"/>
      <c r="I57" s="1403"/>
      <c r="J57" s="1528"/>
      <c r="K57" s="2598"/>
      <c r="L57" s="2598"/>
      <c r="M57" s="2598"/>
      <c r="N57" s="2555"/>
      <c r="O57" s="2555"/>
      <c r="P57" s="2555"/>
      <c r="Q57" s="2555"/>
      <c r="R57" s="2555"/>
      <c r="S57" s="2583"/>
      <c r="T57" s="2583"/>
      <c r="U57" s="2583"/>
    </row>
    <row r="58" spans="1:21">
      <c r="A58" s="1403"/>
      <c r="B58" s="1403"/>
      <c r="C58" s="1403"/>
      <c r="D58" s="1403"/>
      <c r="E58" s="1403"/>
      <c r="F58" s="1435"/>
      <c r="G58" s="1403"/>
      <c r="H58" s="1403"/>
      <c r="I58" s="1403"/>
      <c r="J58" s="1528"/>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16" sqref="F16"/>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625" style="13" customWidth="1"/>
    <col min="17" max="17" width="9.375" style="13" customWidth="1"/>
    <col min="18" max="18" width="9.125" style="13" customWidth="1"/>
    <col min="19" max="19" width="10.875" style="13" customWidth="1"/>
    <col min="20" max="21" width="10.625" style="13" customWidth="1"/>
    <col min="22" max="22" width="10.875" style="13" customWidth="1"/>
    <col min="23" max="27" width="10.625" style="13" customWidth="1"/>
    <col min="28" max="28" width="10.875" style="13" customWidth="1"/>
    <col min="29" max="29" width="11" style="13" bestFit="1" customWidth="1"/>
    <col min="30" max="30" width="10" style="13" bestFit="1" customWidth="1"/>
    <col min="31" max="31" width="9.625" style="13" customWidth="1"/>
    <col min="32" max="46" width="9.5" style="13" customWidth="1"/>
    <col min="47" max="47" width="18.125" style="13" customWidth="1"/>
    <col min="48" max="50" width="9.62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5"/>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5" t="s">
        <v>1687</v>
      </c>
      <c r="BA2" s="1926" t="s">
        <v>1686</v>
      </c>
      <c r="BB2" s="38"/>
      <c r="BC2" s="38"/>
      <c r="BD2" s="38"/>
      <c r="BE2" s="38"/>
      <c r="BF2" s="38"/>
      <c r="BG2" s="38"/>
      <c r="BH2" s="38"/>
      <c r="BI2" s="38"/>
      <c r="BJ2" s="38"/>
      <c r="BK2" s="38"/>
      <c r="BL2" s="38"/>
      <c r="BM2" s="38"/>
      <c r="BN2" s="38"/>
      <c r="BO2" s="38"/>
      <c r="BP2" s="38"/>
      <c r="BQ2" s="38"/>
      <c r="BR2" s="38"/>
      <c r="BS2" s="38"/>
      <c r="BT2" s="38"/>
    </row>
    <row r="3" spans="1:72" s="15" customFormat="1" ht="12.75">
      <c r="A3" s="18">
        <v>17556.580000000002</v>
      </c>
      <c r="B3" s="19">
        <f>IF(C3="否",G5-AT5,G5)</f>
        <v>5006.88</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7"/>
      <c r="BB3" s="38"/>
      <c r="BC3" s="38"/>
      <c r="BD3" s="38"/>
      <c r="BE3" s="38"/>
      <c r="BF3" s="38"/>
      <c r="BG3" s="38"/>
      <c r="BH3" s="38"/>
      <c r="BI3" s="38"/>
      <c r="BJ3" s="38"/>
      <c r="BK3" s="38"/>
      <c r="BL3" s="38"/>
      <c r="BM3" s="38"/>
      <c r="BN3" s="38"/>
      <c r="BO3" s="38"/>
      <c r="BP3" s="38"/>
      <c r="BQ3" s="38"/>
      <c r="BR3" s="38"/>
      <c r="BS3" s="38"/>
      <c r="BT3" s="38"/>
    </row>
    <row r="4" spans="1:72" s="15" customFormat="1" ht="13.5" thickBot="1">
      <c r="A4" s="1036"/>
      <c r="B4" s="1037"/>
      <c r="C4" s="10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9"/>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2"/>
      <c r="C5" s="902"/>
      <c r="D5" s="908"/>
      <c r="E5" s="23" t="s">
        <v>0</v>
      </c>
      <c r="F5" s="23">
        <f>SUM(F13:F572)</f>
        <v>0</v>
      </c>
      <c r="G5" s="23">
        <f>SUM(G13:G572)</f>
        <v>5006.88</v>
      </c>
      <c r="H5" s="23">
        <f t="shared" ref="H5:AT5" si="0">SUM(H13:H641)</f>
        <v>5006.88</v>
      </c>
      <c r="I5" s="23">
        <f t="shared" si="0"/>
        <v>5006.88</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1"/>
      <c r="AV5" s="22" t="s">
        <v>134</v>
      </c>
      <c r="AW5" s="902"/>
      <c r="AX5" s="902"/>
      <c r="AY5" s="24" t="s">
        <v>2</v>
      </c>
      <c r="AZ5" s="25">
        <f t="shared" ref="AZ5:BT5" si="1">SUM(AZ13:AZ641)</f>
        <v>5006.88</v>
      </c>
      <c r="BA5" s="25">
        <f t="shared" si="1"/>
        <v>5006.88</v>
      </c>
      <c r="BB5" s="25">
        <f t="shared" si="1"/>
        <v>5006.88</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17556.580000000002</v>
      </c>
      <c r="F6" s="23" t="s">
        <v>0</v>
      </c>
      <c r="G6" s="23" t="s">
        <v>1</v>
      </c>
      <c r="H6" s="29">
        <f>SUMIF(I$12:AB$12,"总值",I6:AB6)</f>
        <v>17556.580000000002</v>
      </c>
      <c r="I6" s="23">
        <f t="shared" ref="I6:AB6" si="2">ROUND($A$3*I5/$B$3,2)</f>
        <v>17556.580000000002</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17556.580000000002</v>
      </c>
      <c r="AZ6" s="23" t="s">
        <v>2</v>
      </c>
      <c r="BA6" s="23">
        <f>ROUND($AY$6*BA5/$AZ$5,2)</f>
        <v>17556.580000000002</v>
      </c>
      <c r="BB6" s="23">
        <f>ROUND($AY$6*BB5/$AZ$5,2)</f>
        <v>17556.580000000002</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9"/>
      <c r="AU7" s="36" t="s">
        <v>143</v>
      </c>
      <c r="AV7" s="37" t="s">
        <v>144</v>
      </c>
      <c r="AW7" s="38" t="s">
        <v>145</v>
      </c>
      <c r="AX7" s="37" t="s">
        <v>146</v>
      </c>
      <c r="AY7" s="902"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3"/>
      <c r="K8" s="913"/>
      <c r="L8" s="913"/>
      <c r="M8" s="913"/>
      <c r="N8" s="913"/>
      <c r="O8" s="913"/>
      <c r="P8" s="913"/>
      <c r="Q8" s="913"/>
      <c r="R8" s="913"/>
      <c r="S8" s="913"/>
      <c r="T8" s="913"/>
      <c r="U8" s="913"/>
      <c r="V8" s="45"/>
      <c r="W8" s="913"/>
      <c r="X8" s="913"/>
      <c r="Y8" s="913"/>
      <c r="Z8" s="913"/>
      <c r="AA8" s="45"/>
      <c r="AB8" s="46"/>
      <c r="AC8" s="47" t="s">
        <v>150</v>
      </c>
      <c r="AD8" s="48"/>
      <c r="AE8" s="39"/>
      <c r="AF8" s="913"/>
      <c r="AG8" s="913"/>
      <c r="AH8" s="913"/>
      <c r="AI8" s="913"/>
      <c r="AJ8" s="913"/>
      <c r="AK8" s="913"/>
      <c r="AL8" s="913"/>
      <c r="AM8" s="913"/>
      <c r="AN8" s="913"/>
      <c r="AO8" s="913"/>
      <c r="AP8" s="913"/>
      <c r="AQ8" s="913"/>
      <c r="AR8" s="913"/>
      <c r="AS8" s="914"/>
      <c r="AT8" s="1914" t="s">
        <v>793</v>
      </c>
      <c r="AU8" s="41" t="s">
        <v>151</v>
      </c>
      <c r="AV8" s="51"/>
      <c r="AW8" s="865"/>
      <c r="AX8" s="51"/>
      <c r="AY8" s="38" t="s">
        <v>152</v>
      </c>
      <c r="AZ8" s="912" t="s">
        <v>153</v>
      </c>
      <c r="BA8" s="913"/>
      <c r="BB8" s="913"/>
      <c r="BC8" s="913"/>
      <c r="BD8" s="913"/>
      <c r="BE8" s="913"/>
      <c r="BF8" s="913"/>
      <c r="BG8" s="913"/>
      <c r="BH8" s="913"/>
      <c r="BI8" s="913"/>
      <c r="BJ8" s="913"/>
      <c r="BK8" s="913"/>
      <c r="BL8" s="913"/>
      <c r="BM8" s="913"/>
      <c r="BN8" s="913"/>
      <c r="BO8" s="913"/>
      <c r="BP8" s="913"/>
      <c r="BQ8" s="913"/>
      <c r="BR8" s="913"/>
      <c r="BS8" s="913"/>
      <c r="BT8" s="52"/>
    </row>
    <row r="9" spans="1:72" s="53" customFormat="1" ht="12.75">
      <c r="A9" s="41"/>
      <c r="B9" s="41"/>
      <c r="C9" s="41"/>
      <c r="D9" s="41"/>
      <c r="E9" s="41"/>
      <c r="F9" s="41"/>
      <c r="G9" s="51"/>
      <c r="H9" s="54" t="s">
        <v>154</v>
      </c>
      <c r="I9" s="2303" t="s">
        <v>3270</v>
      </c>
      <c r="J9" s="47"/>
      <c r="K9" s="2303"/>
      <c r="L9" s="47"/>
      <c r="M9" s="2303"/>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0" t="s">
        <v>157</v>
      </c>
      <c r="AQ9" s="1032"/>
      <c r="AR9" s="1030" t="s">
        <v>158</v>
      </c>
      <c r="AS9" s="1915"/>
      <c r="AT9" s="41"/>
      <c r="AU9" s="41" t="s">
        <v>160</v>
      </c>
      <c r="AV9" s="51"/>
      <c r="AW9" s="865"/>
      <c r="AX9" s="51"/>
      <c r="AY9" s="58"/>
      <c r="AZ9" s="58" t="s">
        <v>161</v>
      </c>
      <c r="BA9" s="59" t="s">
        <v>162</v>
      </c>
      <c r="BB9" s="60"/>
      <c r="BC9" s="907"/>
      <c r="BD9" s="907"/>
      <c r="BE9" s="907"/>
      <c r="BF9" s="907"/>
      <c r="BG9" s="907"/>
      <c r="BH9" s="907"/>
      <c r="BI9" s="907"/>
      <c r="BJ9" s="907"/>
      <c r="BK9" s="61"/>
      <c r="BL9" s="22" t="s">
        <v>163</v>
      </c>
      <c r="BM9" s="913"/>
      <c r="BN9" s="44"/>
      <c r="BO9" s="913"/>
      <c r="BP9" s="913"/>
      <c r="BQ9" s="913"/>
      <c r="BR9" s="913"/>
      <c r="BS9" s="913"/>
      <c r="BT9" s="52"/>
    </row>
    <row r="10" spans="1:72" s="53" customFormat="1" ht="12.75">
      <c r="A10" s="41"/>
      <c r="B10" s="41"/>
      <c r="C10" s="41"/>
      <c r="D10" s="41"/>
      <c r="E10" s="41"/>
      <c r="F10" s="41"/>
      <c r="G10" s="51"/>
      <c r="H10" s="58"/>
      <c r="I10" s="2303" t="s">
        <v>905</v>
      </c>
      <c r="J10" s="47"/>
      <c r="K10" s="2305"/>
      <c r="L10" s="47"/>
      <c r="M10" s="2305"/>
      <c r="N10" s="47"/>
      <c r="O10" s="62"/>
      <c r="P10" s="47"/>
      <c r="Q10" s="62"/>
      <c r="R10" s="47"/>
      <c r="S10" s="62"/>
      <c r="T10" s="47"/>
      <c r="U10" s="62"/>
      <c r="V10" s="47"/>
      <c r="W10" s="62"/>
      <c r="X10" s="47"/>
      <c r="Y10" s="62"/>
      <c r="Z10" s="47"/>
      <c r="AA10" s="62"/>
      <c r="AB10" s="47"/>
      <c r="AC10" s="51"/>
      <c r="AD10" s="1900" t="s">
        <v>1672</v>
      </c>
      <c r="AE10" s="1922"/>
      <c r="AF10" s="1900" t="s">
        <v>1672</v>
      </c>
      <c r="AG10" s="1922"/>
      <c r="AH10" s="1900" t="s">
        <v>1673</v>
      </c>
      <c r="AI10" s="1922"/>
      <c r="AJ10" s="22" t="s">
        <v>1685</v>
      </c>
      <c r="AK10" s="1919"/>
      <c r="AL10" s="1900" t="s">
        <v>1674</v>
      </c>
      <c r="AM10" s="1901"/>
      <c r="AN10" s="22" t="s">
        <v>164</v>
      </c>
      <c r="AO10" s="57"/>
      <c r="AP10" s="1030" t="s">
        <v>165</v>
      </c>
      <c r="AQ10" s="1032"/>
      <c r="AR10" s="1030" t="s">
        <v>165</v>
      </c>
      <c r="AS10" s="1032"/>
      <c r="AT10" s="41"/>
      <c r="AU10" s="41"/>
      <c r="AV10" s="51"/>
      <c r="AW10" s="865"/>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2" t="str">
        <f>AD9</f>
        <v>地上</v>
      </c>
      <c r="BN10" s="65" t="str">
        <f>AF9</f>
        <v>地下</v>
      </c>
      <c r="BO10" s="912" t="str">
        <f>AH9</f>
        <v>地上</v>
      </c>
      <c r="BP10" s="65" t="str">
        <f>AJ9</f>
        <v>地下</v>
      </c>
      <c r="BQ10" s="912" t="str">
        <f>AL9</f>
        <v>地上</v>
      </c>
      <c r="BR10" s="65" t="str">
        <f>AN9</f>
        <v>地下</v>
      </c>
      <c r="BS10" s="912" t="str">
        <f>AP9</f>
        <v>地上</v>
      </c>
      <c r="BT10" s="910" t="str">
        <f>AR9</f>
        <v>地下</v>
      </c>
    </row>
    <row r="11" spans="1:72" s="53" customFormat="1" ht="12.75">
      <c r="A11" s="41"/>
      <c r="B11" s="41"/>
      <c r="C11" s="41"/>
      <c r="D11" s="41"/>
      <c r="E11" s="41"/>
      <c r="F11" s="41"/>
      <c r="G11" s="51"/>
      <c r="H11" s="63"/>
      <c r="I11" s="2304"/>
      <c r="J11" s="67"/>
      <c r="K11" s="2304"/>
      <c r="L11" s="67"/>
      <c r="M11" s="66"/>
      <c r="N11" s="67"/>
      <c r="O11" s="66"/>
      <c r="P11" s="67"/>
      <c r="Q11" s="66"/>
      <c r="R11" s="67"/>
      <c r="S11" s="66"/>
      <c r="T11" s="67"/>
      <c r="U11" s="66"/>
      <c r="V11" s="67"/>
      <c r="W11" s="66"/>
      <c r="X11" s="67"/>
      <c r="Y11" s="66"/>
      <c r="Z11" s="67"/>
      <c r="AA11" s="66"/>
      <c r="AB11" s="67"/>
      <c r="AC11" s="51"/>
      <c r="AD11" s="1920" t="s">
        <v>1684</v>
      </c>
      <c r="AE11" s="914"/>
      <c r="AF11" s="1920" t="s">
        <v>1684</v>
      </c>
      <c r="AG11" s="914"/>
      <c r="AH11" s="1920" t="s">
        <v>1683</v>
      </c>
      <c r="AI11" s="1921"/>
      <c r="AJ11" s="1920" t="s">
        <v>1683</v>
      </c>
      <c r="AK11" s="1919"/>
      <c r="AL11" s="912"/>
      <c r="AM11" s="914"/>
      <c r="AN11" s="912"/>
      <c r="AO11" s="914"/>
      <c r="AP11" s="1031"/>
      <c r="AQ11" s="1033"/>
      <c r="AR11" s="1031"/>
      <c r="AS11" s="1033"/>
      <c r="AT11" s="865"/>
      <c r="AU11" s="41"/>
      <c r="AV11" s="51"/>
      <c r="AW11" s="865"/>
      <c r="AX11" s="51"/>
      <c r="AY11" s="58"/>
      <c r="AZ11" s="58"/>
      <c r="BA11" s="58"/>
      <c r="BB11" s="46" t="str">
        <f>I10</f>
        <v>工业</v>
      </c>
      <c r="BC11" s="46">
        <f>K10</f>
        <v>0</v>
      </c>
      <c r="BD11" s="46">
        <f>M10</f>
        <v>0</v>
      </c>
      <c r="BE11" s="46">
        <f>O10</f>
        <v>0</v>
      </c>
      <c r="BF11" s="46">
        <f>Q10</f>
        <v>0</v>
      </c>
      <c r="BG11" s="46">
        <f>S10</f>
        <v>0</v>
      </c>
      <c r="BH11" s="46">
        <f>U10</f>
        <v>0</v>
      </c>
      <c r="BI11" s="46">
        <f>W10</f>
        <v>0</v>
      </c>
      <c r="BJ11" s="46">
        <f>Y10</f>
        <v>0</v>
      </c>
      <c r="BK11" s="46">
        <f>AA10</f>
        <v>0</v>
      </c>
      <c r="BL11" s="51"/>
      <c r="BM11" s="912" t="str">
        <f>AD10</f>
        <v>公共配套设施</v>
      </c>
      <c r="BN11" s="912" t="str">
        <f>AF10</f>
        <v>公共配套设施</v>
      </c>
      <c r="BO11" s="49" t="str">
        <f>AH10</f>
        <v>物业管理用房</v>
      </c>
      <c r="BP11" s="49" t="str">
        <f>AJ10</f>
        <v>物业管理用房</v>
      </c>
      <c r="BQ11" s="49" t="str">
        <f>AL10</f>
        <v>设备及其他</v>
      </c>
      <c r="BR11" s="49" t="str">
        <f>AN10</f>
        <v>设备及其他</v>
      </c>
      <c r="BS11" s="50" t="str">
        <f>AP10</f>
        <v>未注明</v>
      </c>
      <c r="BT11" s="909" t="str">
        <f>AR10</f>
        <v>未注明</v>
      </c>
    </row>
    <row r="12" spans="1:72" s="15" customFormat="1" ht="12.75">
      <c r="A12" s="68"/>
      <c r="B12" s="68"/>
      <c r="C12" s="68"/>
      <c r="D12" s="68"/>
      <c r="E12" s="68"/>
      <c r="F12" s="68"/>
      <c r="G12" s="69"/>
      <c r="H12" s="70"/>
      <c r="I12" s="908"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1" t="s">
        <v>167</v>
      </c>
      <c r="W12" s="14" t="s">
        <v>166</v>
      </c>
      <c r="X12" s="14" t="s">
        <v>167</v>
      </c>
      <c r="Y12" s="14" t="s">
        <v>166</v>
      </c>
      <c r="Z12" s="14" t="s">
        <v>167</v>
      </c>
      <c r="AA12" s="14" t="s">
        <v>166</v>
      </c>
      <c r="AB12" s="14" t="s">
        <v>167</v>
      </c>
      <c r="AC12" s="71"/>
      <c r="AD12" s="908" t="s">
        <v>166</v>
      </c>
      <c r="AE12" s="14" t="s">
        <v>167</v>
      </c>
      <c r="AF12" s="14" t="s">
        <v>166</v>
      </c>
      <c r="AG12" s="14" t="s">
        <v>167</v>
      </c>
      <c r="AH12" s="14" t="s">
        <v>166</v>
      </c>
      <c r="AI12" s="14" t="s">
        <v>167</v>
      </c>
      <c r="AJ12" s="14" t="s">
        <v>166</v>
      </c>
      <c r="AK12" s="14" t="s">
        <v>167</v>
      </c>
      <c r="AL12" s="14" t="s">
        <v>166</v>
      </c>
      <c r="AM12" s="14" t="s">
        <v>167</v>
      </c>
      <c r="AN12" s="14" t="s">
        <v>166</v>
      </c>
      <c r="AO12" s="14" t="s">
        <v>167</v>
      </c>
      <c r="AP12" s="1029" t="s">
        <v>166</v>
      </c>
      <c r="AQ12" s="1029" t="s">
        <v>167</v>
      </c>
      <c r="AR12" s="1035" t="s">
        <v>166</v>
      </c>
      <c r="AS12" s="1034"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2" t="str">
        <f>AD11</f>
        <v>（住宅）</v>
      </c>
      <c r="BN12" s="912" t="str">
        <f>AF11</f>
        <v>（住宅）</v>
      </c>
      <c r="BO12" s="49" t="str">
        <f>AH11</f>
        <v>（住宅、计出让金）</v>
      </c>
      <c r="BP12" s="49" t="str">
        <f>AJ11</f>
        <v>（住宅、计出让金）</v>
      </c>
      <c r="BQ12" s="49">
        <f>AL11</f>
        <v>0</v>
      </c>
      <c r="BR12" s="49">
        <f>AN11</f>
        <v>0</v>
      </c>
      <c r="BS12" s="50">
        <f>AP11</f>
        <v>0</v>
      </c>
      <c r="BT12" s="909">
        <f>AR11</f>
        <v>0</v>
      </c>
    </row>
    <row r="13" spans="1:72" s="15" customFormat="1" ht="12.75">
      <c r="A13" s="2299"/>
      <c r="B13" s="2299"/>
      <c r="C13" s="2299"/>
      <c r="D13" s="2300" t="s">
        <v>3271</v>
      </c>
      <c r="E13" s="23">
        <f t="shared" ref="E13:E20" si="6">IF($C$3="是",ROUND($A$3*G13/$B$3,2),ROUND($A$3*(G13-AT13)/$B$3,2))</f>
        <v>17556.580000000002</v>
      </c>
      <c r="F13" s="76"/>
      <c r="G13" s="77">
        <f t="shared" ref="G13:G20" si="7">H13+AC13+AT13</f>
        <v>5006.88</v>
      </c>
      <c r="H13" s="29">
        <f t="shared" ref="H13:H20" si="8">SUMIF(I$12:AB$12,"总值",I13:AB13)</f>
        <v>5006.88</v>
      </c>
      <c r="I13" s="2302">
        <v>5006.88</v>
      </c>
      <c r="J13" s="2302"/>
      <c r="K13" s="2302"/>
      <c r="L13" s="2302"/>
      <c r="M13" s="2302"/>
      <c r="N13" s="78"/>
      <c r="O13" s="78"/>
      <c r="P13" s="78"/>
      <c r="Q13" s="78"/>
      <c r="R13" s="78"/>
      <c r="S13" s="78"/>
      <c r="T13" s="78"/>
      <c r="U13" s="78"/>
      <c r="V13" s="78"/>
      <c r="W13" s="78"/>
      <c r="X13" s="78"/>
      <c r="Y13" s="78"/>
      <c r="Z13" s="78"/>
      <c r="AA13" s="78"/>
      <c r="AB13" s="78"/>
      <c r="AC13" s="23">
        <f t="shared" ref="AC13:AC20" si="9">SUMIF(AD$12:AS$12,"总值",AD13:AS13)</f>
        <v>0</v>
      </c>
      <c r="AD13" s="2306"/>
      <c r="AE13" s="2306"/>
      <c r="AF13" s="2306"/>
      <c r="AG13" s="2306"/>
      <c r="AH13" s="2306"/>
      <c r="AI13" s="2306"/>
      <c r="AJ13" s="2306"/>
      <c r="AK13" s="2306"/>
      <c r="AL13" s="2306"/>
      <c r="AM13" s="2306"/>
      <c r="AN13" s="2306"/>
      <c r="AO13" s="2306"/>
      <c r="AP13" s="2306"/>
      <c r="AQ13" s="2306"/>
      <c r="AR13" s="2306"/>
      <c r="AS13" s="2306"/>
      <c r="AT13" s="2307"/>
      <c r="AU13" s="2308"/>
      <c r="AV13" s="14">
        <f t="shared" ref="AV13:AX20" si="10">A13</f>
        <v>0</v>
      </c>
      <c r="AW13" s="14">
        <f t="shared" si="10"/>
        <v>0</v>
      </c>
      <c r="AX13" s="14">
        <f t="shared" si="10"/>
        <v>0</v>
      </c>
      <c r="AY13" s="908">
        <f t="shared" ref="AY13:AY20" si="11">ROUND($AY$6*AZ13/$AZ$5,2)</f>
        <v>17556.580000000002</v>
      </c>
      <c r="AZ13" s="23">
        <f t="shared" ref="AZ13:AZ20" si="12">BA13+BL13</f>
        <v>5006.88</v>
      </c>
      <c r="BA13" s="23">
        <f t="shared" ref="BA13:BA20" si="13">SUM(BB13:BK13)</f>
        <v>5006.88</v>
      </c>
      <c r="BB13" s="23">
        <f t="shared" ref="BB13:BB20" si="14">IF($D13="是",I13-J13,0)</f>
        <v>5006.88</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299"/>
      <c r="B14" s="2299"/>
      <c r="C14" s="2301"/>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08">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08">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08">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08">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0"/>
      <c r="E18" s="81">
        <f t="shared" si="6"/>
        <v>0</v>
      </c>
      <c r="F18" s="82"/>
      <c r="G18" s="83">
        <f t="shared" si="7"/>
        <v>0</v>
      </c>
      <c r="H18" s="84">
        <f t="shared" si="8"/>
        <v>0</v>
      </c>
      <c r="I18" s="1179"/>
      <c r="J18" s="85"/>
      <c r="K18" s="1179"/>
      <c r="L18" s="85"/>
      <c r="M18" s="85"/>
      <c r="N18" s="85"/>
      <c r="O18" s="85"/>
      <c r="P18" s="85"/>
      <c r="Q18" s="85"/>
      <c r="R18" s="85"/>
      <c r="S18" s="85"/>
      <c r="T18" s="85"/>
      <c r="U18" s="85"/>
      <c r="V18" s="85"/>
      <c r="W18" s="85"/>
      <c r="X18" s="85"/>
      <c r="Y18" s="85"/>
      <c r="Z18" s="85"/>
      <c r="AA18" s="85"/>
      <c r="AB18" s="85"/>
      <c r="AC18" s="81">
        <f t="shared" si="9"/>
        <v>0</v>
      </c>
      <c r="AD18" s="86"/>
      <c r="AE18" s="86"/>
      <c r="AF18" s="1179"/>
      <c r="AG18" s="86"/>
      <c r="AH18" s="86"/>
      <c r="AI18" s="86"/>
      <c r="AJ18" s="86"/>
      <c r="AK18" s="86"/>
      <c r="AL18" s="1156"/>
      <c r="AM18" s="86"/>
      <c r="AN18" s="1179"/>
      <c r="AO18" s="86"/>
      <c r="AP18" s="86"/>
      <c r="AQ18" s="86"/>
      <c r="AR18" s="86"/>
      <c r="AS18" s="86"/>
      <c r="AT18" s="82"/>
      <c r="AU18" s="87"/>
      <c r="AV18" s="816">
        <f t="shared" si="10"/>
        <v>0</v>
      </c>
      <c r="AW18" s="816">
        <f t="shared" si="10"/>
        <v>0</v>
      </c>
      <c r="AX18" s="816">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1"/>
      <c r="C19" s="1179"/>
      <c r="D19" s="2300"/>
      <c r="E19" s="81">
        <f t="shared" si="6"/>
        <v>0</v>
      </c>
      <c r="F19" s="82"/>
      <c r="G19" s="83">
        <f t="shared" si="7"/>
        <v>0</v>
      </c>
      <c r="H19" s="84">
        <f t="shared" si="8"/>
        <v>0</v>
      </c>
      <c r="I19" s="1179"/>
      <c r="J19" s="85"/>
      <c r="K19" s="1179"/>
      <c r="L19" s="85"/>
      <c r="M19" s="85"/>
      <c r="N19" s="85"/>
      <c r="O19" s="85"/>
      <c r="P19" s="85"/>
      <c r="Q19" s="85"/>
      <c r="R19" s="85"/>
      <c r="S19" s="85"/>
      <c r="T19" s="85"/>
      <c r="U19" s="85"/>
      <c r="V19" s="85"/>
      <c r="W19" s="85"/>
      <c r="X19" s="85"/>
      <c r="Y19" s="85"/>
      <c r="Z19" s="85"/>
      <c r="AA19" s="85"/>
      <c r="AB19" s="85"/>
      <c r="AC19" s="81">
        <f t="shared" si="9"/>
        <v>0</v>
      </c>
      <c r="AD19" s="86"/>
      <c r="AE19" s="86"/>
      <c r="AF19" s="1179"/>
      <c r="AG19" s="86"/>
      <c r="AH19" s="86"/>
      <c r="AI19" s="86"/>
      <c r="AJ19" s="86"/>
      <c r="AK19" s="86"/>
      <c r="AL19" s="86"/>
      <c r="AM19" s="86"/>
      <c r="AN19" s="1179"/>
      <c r="AO19" s="86"/>
      <c r="AP19" s="86"/>
      <c r="AQ19" s="86"/>
      <c r="AR19" s="86"/>
      <c r="AS19" s="86"/>
      <c r="AT19" s="82"/>
      <c r="AU19" s="87"/>
      <c r="AV19" s="816">
        <f t="shared" si="10"/>
        <v>0</v>
      </c>
      <c r="AW19" s="816">
        <f t="shared" si="10"/>
        <v>0</v>
      </c>
      <c r="AX19" s="816">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1"/>
      <c r="C20" s="1179"/>
      <c r="D20" s="2300"/>
      <c r="E20" s="81">
        <f t="shared" si="6"/>
        <v>0</v>
      </c>
      <c r="F20" s="82"/>
      <c r="G20" s="83">
        <f t="shared" si="7"/>
        <v>0</v>
      </c>
      <c r="H20" s="84">
        <f t="shared" si="8"/>
        <v>0</v>
      </c>
      <c r="I20" s="1179"/>
      <c r="J20" s="85"/>
      <c r="K20" s="1179"/>
      <c r="L20" s="85"/>
      <c r="M20" s="85"/>
      <c r="N20" s="85"/>
      <c r="O20" s="85"/>
      <c r="P20" s="85"/>
      <c r="Q20" s="85"/>
      <c r="R20" s="85"/>
      <c r="S20" s="85"/>
      <c r="T20" s="85"/>
      <c r="U20" s="85"/>
      <c r="V20" s="85"/>
      <c r="W20" s="85"/>
      <c r="X20" s="85"/>
      <c r="Y20" s="85"/>
      <c r="Z20" s="85"/>
      <c r="AA20" s="85"/>
      <c r="AB20" s="85"/>
      <c r="AC20" s="81">
        <f t="shared" si="9"/>
        <v>0</v>
      </c>
      <c r="AD20" s="86"/>
      <c r="AE20" s="86"/>
      <c r="AF20" s="1179"/>
      <c r="AG20" s="86"/>
      <c r="AH20" s="86"/>
      <c r="AI20" s="86"/>
      <c r="AJ20" s="86"/>
      <c r="AK20" s="86"/>
      <c r="AL20" s="86"/>
      <c r="AM20" s="86"/>
      <c r="AN20" s="1179"/>
      <c r="AO20" s="86"/>
      <c r="AP20" s="86"/>
      <c r="AQ20" s="86"/>
      <c r="AR20" s="86"/>
      <c r="AS20" s="86"/>
      <c r="AT20" s="82"/>
      <c r="AU20" s="87"/>
      <c r="AV20" s="816">
        <f t="shared" si="10"/>
        <v>0</v>
      </c>
      <c r="AW20" s="816">
        <f t="shared" si="10"/>
        <v>0</v>
      </c>
      <c r="AX20" s="816">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8"/>
      <c r="C21" s="1179"/>
      <c r="D21" s="2300"/>
      <c r="E21" s="81">
        <f t="shared" ref="E21:E112" si="33">IF($C$3="是",ROUND($A$3*G21/$B$3,2),ROUND($A$3*(G21-AT21)/$B$3,2))</f>
        <v>0</v>
      </c>
      <c r="F21" s="82"/>
      <c r="G21" s="83">
        <f t="shared" ref="G21:G109" si="34">H21+AC21+AT21</f>
        <v>0</v>
      </c>
      <c r="H21" s="84">
        <f t="shared" ref="H21:H109" si="35">SUMIF(I$12:AB$12,"总值",I21:AB21)</f>
        <v>0</v>
      </c>
      <c r="I21" s="1179"/>
      <c r="J21" s="85"/>
      <c r="K21" s="1179"/>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0"/>
      <c r="AG21" s="86"/>
      <c r="AH21" s="86"/>
      <c r="AI21" s="86"/>
      <c r="AJ21" s="86"/>
      <c r="AK21" s="86"/>
      <c r="AL21" s="86"/>
      <c r="AM21" s="86"/>
      <c r="AN21" s="1156"/>
      <c r="AO21" s="86"/>
      <c r="AP21" s="86"/>
      <c r="AQ21" s="86"/>
      <c r="AR21" s="86"/>
      <c r="AS21" s="86"/>
      <c r="AT21" s="82"/>
      <c r="AU21" s="87"/>
      <c r="AV21" s="816">
        <f t="shared" ref="AV21:AV112" si="37">A21</f>
        <v>0</v>
      </c>
      <c r="AW21" s="816">
        <f t="shared" ref="AW21:AW112" si="38">B21</f>
        <v>0</v>
      </c>
      <c r="AX21" s="816">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8"/>
      <c r="C22" s="1179"/>
      <c r="D22" s="2300"/>
      <c r="E22" s="81">
        <f t="shared" si="33"/>
        <v>0</v>
      </c>
      <c r="F22" s="82"/>
      <c r="G22" s="83">
        <f t="shared" si="34"/>
        <v>0</v>
      </c>
      <c r="H22" s="84">
        <f t="shared" si="35"/>
        <v>0</v>
      </c>
      <c r="I22" s="1179"/>
      <c r="J22" s="85"/>
      <c r="K22" s="1179"/>
      <c r="L22" s="85"/>
      <c r="M22" s="1156"/>
      <c r="N22" s="85"/>
      <c r="O22" s="85"/>
      <c r="P22" s="85"/>
      <c r="Q22" s="85"/>
      <c r="R22" s="85"/>
      <c r="S22" s="85"/>
      <c r="T22" s="85"/>
      <c r="U22" s="85"/>
      <c r="V22" s="85"/>
      <c r="W22" s="85"/>
      <c r="X22" s="85"/>
      <c r="Y22" s="85"/>
      <c r="Z22" s="85"/>
      <c r="AA22" s="85"/>
      <c r="AB22" s="85"/>
      <c r="AC22" s="81">
        <f t="shared" si="36"/>
        <v>0</v>
      </c>
      <c r="AD22" s="1156"/>
      <c r="AE22" s="86"/>
      <c r="AF22" s="1180"/>
      <c r="AG22" s="86"/>
      <c r="AH22" s="86"/>
      <c r="AI22" s="86"/>
      <c r="AJ22" s="86"/>
      <c r="AK22" s="86"/>
      <c r="AL22" s="1156"/>
      <c r="AM22" s="86"/>
      <c r="AN22" s="1156"/>
      <c r="AO22" s="86"/>
      <c r="AP22" s="86"/>
      <c r="AQ22" s="86"/>
      <c r="AR22" s="86"/>
      <c r="AS22" s="86"/>
      <c r="AT22" s="82"/>
      <c r="AU22" s="87"/>
      <c r="AV22" s="816">
        <f t="shared" si="37"/>
        <v>0</v>
      </c>
      <c r="AW22" s="816">
        <f t="shared" si="38"/>
        <v>0</v>
      </c>
      <c r="AX22" s="816">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8"/>
      <c r="C23" s="1179"/>
      <c r="D23" s="2300"/>
      <c r="E23" s="81">
        <f t="shared" si="33"/>
        <v>0</v>
      </c>
      <c r="F23" s="82"/>
      <c r="G23" s="83">
        <f t="shared" si="34"/>
        <v>0</v>
      </c>
      <c r="H23" s="84">
        <f t="shared" si="35"/>
        <v>0</v>
      </c>
      <c r="I23" s="1179"/>
      <c r="J23" s="85"/>
      <c r="K23" s="1179"/>
      <c r="L23" s="85"/>
      <c r="M23" s="1156"/>
      <c r="N23" s="85"/>
      <c r="O23" s="85"/>
      <c r="P23" s="85"/>
      <c r="Q23" s="85"/>
      <c r="R23" s="85"/>
      <c r="S23" s="85"/>
      <c r="T23" s="85"/>
      <c r="U23" s="85"/>
      <c r="V23" s="85"/>
      <c r="W23" s="85"/>
      <c r="X23" s="85"/>
      <c r="Y23" s="85"/>
      <c r="Z23" s="85"/>
      <c r="AA23" s="85"/>
      <c r="AB23" s="85"/>
      <c r="AC23" s="81">
        <f t="shared" si="36"/>
        <v>0</v>
      </c>
      <c r="AD23" s="86"/>
      <c r="AE23" s="86"/>
      <c r="AF23" s="1180"/>
      <c r="AG23" s="86"/>
      <c r="AH23" s="86"/>
      <c r="AI23" s="86"/>
      <c r="AJ23" s="86"/>
      <c r="AK23" s="86"/>
      <c r="AL23" s="1156"/>
      <c r="AM23" s="86"/>
      <c r="AN23" s="1156"/>
      <c r="AO23" s="86"/>
      <c r="AP23" s="86"/>
      <c r="AQ23" s="86"/>
      <c r="AR23" s="86"/>
      <c r="AS23" s="86"/>
      <c r="AT23" s="82"/>
      <c r="AU23" s="87"/>
      <c r="AV23" s="816">
        <f t="shared" si="37"/>
        <v>0</v>
      </c>
      <c r="AW23" s="816">
        <f t="shared" si="38"/>
        <v>0</v>
      </c>
      <c r="AX23" s="816">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8"/>
      <c r="C24" s="1179"/>
      <c r="D24" s="2300"/>
      <c r="E24" s="81">
        <f t="shared" si="33"/>
        <v>0</v>
      </c>
      <c r="F24" s="82"/>
      <c r="G24" s="83">
        <f t="shared" si="34"/>
        <v>0</v>
      </c>
      <c r="H24" s="84">
        <f t="shared" si="35"/>
        <v>0</v>
      </c>
      <c r="I24" s="1179"/>
      <c r="J24" s="85"/>
      <c r="K24" s="1179"/>
      <c r="L24" s="85"/>
      <c r="M24" s="85"/>
      <c r="N24" s="85"/>
      <c r="O24" s="1156"/>
      <c r="P24" s="85"/>
      <c r="Q24" s="85"/>
      <c r="R24" s="85"/>
      <c r="S24" s="85"/>
      <c r="T24" s="85"/>
      <c r="U24" s="85"/>
      <c r="V24" s="85"/>
      <c r="W24" s="85"/>
      <c r="X24" s="85"/>
      <c r="Y24" s="85"/>
      <c r="Z24" s="85"/>
      <c r="AA24" s="85"/>
      <c r="AB24" s="85"/>
      <c r="AC24" s="81">
        <f t="shared" si="36"/>
        <v>0</v>
      </c>
      <c r="AD24" s="86"/>
      <c r="AE24" s="86"/>
      <c r="AF24" s="1180"/>
      <c r="AG24" s="86"/>
      <c r="AH24" s="86"/>
      <c r="AI24" s="86"/>
      <c r="AJ24" s="86"/>
      <c r="AK24" s="86"/>
      <c r="AL24" s="86"/>
      <c r="AM24" s="86"/>
      <c r="AN24" s="1156"/>
      <c r="AO24" s="86"/>
      <c r="AP24" s="86"/>
      <c r="AQ24" s="86"/>
      <c r="AR24" s="86"/>
      <c r="AS24" s="86"/>
      <c r="AT24" s="82"/>
      <c r="AU24" s="87"/>
      <c r="AV24" s="816">
        <f t="shared" si="37"/>
        <v>0</v>
      </c>
      <c r="AW24" s="816">
        <f t="shared" si="38"/>
        <v>0</v>
      </c>
      <c r="AX24" s="816">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8"/>
      <c r="C25" s="1179"/>
      <c r="D25" s="2300"/>
      <c r="E25" s="81">
        <f t="shared" si="33"/>
        <v>0</v>
      </c>
      <c r="F25" s="82"/>
      <c r="G25" s="83">
        <f t="shared" si="34"/>
        <v>0</v>
      </c>
      <c r="H25" s="84">
        <f t="shared" si="35"/>
        <v>0</v>
      </c>
      <c r="I25" s="1179"/>
      <c r="J25" s="85"/>
      <c r="K25" s="1179"/>
      <c r="L25" s="85"/>
      <c r="M25" s="85"/>
      <c r="N25" s="85"/>
      <c r="O25" s="85"/>
      <c r="P25" s="85"/>
      <c r="Q25" s="85"/>
      <c r="R25" s="85"/>
      <c r="S25" s="85"/>
      <c r="T25" s="85"/>
      <c r="U25" s="85"/>
      <c r="V25" s="85"/>
      <c r="W25" s="85"/>
      <c r="X25" s="85"/>
      <c r="Y25" s="85"/>
      <c r="Z25" s="85"/>
      <c r="AA25" s="85"/>
      <c r="AB25" s="85"/>
      <c r="AC25" s="81">
        <f t="shared" si="36"/>
        <v>0</v>
      </c>
      <c r="AD25" s="86"/>
      <c r="AE25" s="86"/>
      <c r="AF25" s="1180"/>
      <c r="AG25" s="86"/>
      <c r="AH25" s="86"/>
      <c r="AI25" s="86"/>
      <c r="AJ25" s="86"/>
      <c r="AK25" s="86"/>
      <c r="AL25" s="86"/>
      <c r="AM25" s="86"/>
      <c r="AN25" s="86"/>
      <c r="AO25" s="86"/>
      <c r="AP25" s="86"/>
      <c r="AQ25" s="86"/>
      <c r="AR25" s="86"/>
      <c r="AS25" s="86"/>
      <c r="AT25" s="82"/>
      <c r="AU25" s="87"/>
      <c r="AV25" s="816">
        <f t="shared" si="37"/>
        <v>0</v>
      </c>
      <c r="AW25" s="816">
        <f t="shared" si="38"/>
        <v>0</v>
      </c>
      <c r="AX25" s="816">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8"/>
      <c r="C26" s="1179"/>
      <c r="D26" s="2300"/>
      <c r="E26" s="81">
        <f t="shared" si="33"/>
        <v>0</v>
      </c>
      <c r="F26" s="82"/>
      <c r="G26" s="83">
        <f t="shared" si="34"/>
        <v>0</v>
      </c>
      <c r="H26" s="84">
        <f t="shared" si="35"/>
        <v>0</v>
      </c>
      <c r="I26" s="1179"/>
      <c r="J26" s="85"/>
      <c r="K26" s="1179"/>
      <c r="L26" s="85"/>
      <c r="M26" s="85"/>
      <c r="N26" s="85"/>
      <c r="O26" s="85"/>
      <c r="P26" s="85"/>
      <c r="Q26" s="85"/>
      <c r="R26" s="85"/>
      <c r="S26" s="85"/>
      <c r="T26" s="85"/>
      <c r="U26" s="85"/>
      <c r="V26" s="85"/>
      <c r="W26" s="85"/>
      <c r="X26" s="85"/>
      <c r="Y26" s="85"/>
      <c r="Z26" s="85"/>
      <c r="AA26" s="85"/>
      <c r="AB26" s="85"/>
      <c r="AC26" s="81">
        <f t="shared" si="36"/>
        <v>0</v>
      </c>
      <c r="AD26" s="86"/>
      <c r="AE26" s="86"/>
      <c r="AF26" s="1180"/>
      <c r="AG26" s="86"/>
      <c r="AH26" s="86"/>
      <c r="AI26" s="86"/>
      <c r="AJ26" s="86"/>
      <c r="AK26" s="86"/>
      <c r="AL26" s="86"/>
      <c r="AM26" s="86"/>
      <c r="AN26" s="86"/>
      <c r="AO26" s="86"/>
      <c r="AP26" s="86"/>
      <c r="AQ26" s="86"/>
      <c r="AR26" s="86"/>
      <c r="AS26" s="86"/>
      <c r="AT26" s="82"/>
      <c r="AU26" s="87"/>
      <c r="AV26" s="816">
        <f t="shared" si="37"/>
        <v>0</v>
      </c>
      <c r="AW26" s="816">
        <f t="shared" si="38"/>
        <v>0</v>
      </c>
      <c r="AX26" s="816">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8"/>
      <c r="C27" s="1179"/>
      <c r="D27" s="2300"/>
      <c r="E27" s="81">
        <f t="shared" si="33"/>
        <v>0</v>
      </c>
      <c r="F27" s="82"/>
      <c r="G27" s="83">
        <f t="shared" si="34"/>
        <v>0</v>
      </c>
      <c r="H27" s="84">
        <f t="shared" si="35"/>
        <v>0</v>
      </c>
      <c r="I27" s="1179"/>
      <c r="J27" s="85"/>
      <c r="K27" s="1179"/>
      <c r="L27" s="85"/>
      <c r="M27" s="85"/>
      <c r="N27" s="85"/>
      <c r="O27" s="85"/>
      <c r="P27" s="85"/>
      <c r="Q27" s="85"/>
      <c r="R27" s="85"/>
      <c r="S27" s="85"/>
      <c r="T27" s="85"/>
      <c r="U27" s="85"/>
      <c r="V27" s="85"/>
      <c r="W27" s="85"/>
      <c r="X27" s="85"/>
      <c r="Y27" s="85"/>
      <c r="Z27" s="85"/>
      <c r="AA27" s="85"/>
      <c r="AB27" s="85"/>
      <c r="AC27" s="81">
        <f t="shared" si="36"/>
        <v>0</v>
      </c>
      <c r="AD27" s="86"/>
      <c r="AE27" s="86"/>
      <c r="AF27" s="1180"/>
      <c r="AG27" s="86"/>
      <c r="AH27" s="86"/>
      <c r="AI27" s="86"/>
      <c r="AJ27" s="86"/>
      <c r="AK27" s="86"/>
      <c r="AL27" s="86"/>
      <c r="AM27" s="86"/>
      <c r="AN27" s="86"/>
      <c r="AO27" s="86"/>
      <c r="AP27" s="86"/>
      <c r="AQ27" s="86"/>
      <c r="AR27" s="86"/>
      <c r="AS27" s="86"/>
      <c r="AT27" s="82"/>
      <c r="AU27" s="87"/>
      <c r="AV27" s="816">
        <f t="shared" si="37"/>
        <v>0</v>
      </c>
      <c r="AW27" s="816">
        <f t="shared" si="38"/>
        <v>0</v>
      </c>
      <c r="AX27" s="816">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8"/>
      <c r="C28" s="1179"/>
      <c r="D28" s="2300"/>
      <c r="E28" s="81">
        <f t="shared" si="33"/>
        <v>0</v>
      </c>
      <c r="F28" s="82"/>
      <c r="G28" s="83">
        <f t="shared" si="34"/>
        <v>0</v>
      </c>
      <c r="H28" s="84">
        <f t="shared" si="35"/>
        <v>0</v>
      </c>
      <c r="I28" s="1179"/>
      <c r="J28" s="85"/>
      <c r="K28" s="1179"/>
      <c r="L28" s="85"/>
      <c r="M28" s="85"/>
      <c r="N28" s="85"/>
      <c r="O28" s="85"/>
      <c r="P28" s="85"/>
      <c r="Q28" s="85"/>
      <c r="R28" s="85"/>
      <c r="S28" s="85"/>
      <c r="T28" s="85"/>
      <c r="U28" s="85"/>
      <c r="V28" s="85"/>
      <c r="W28" s="85"/>
      <c r="X28" s="85"/>
      <c r="Y28" s="85"/>
      <c r="Z28" s="85"/>
      <c r="AA28" s="85"/>
      <c r="AB28" s="85"/>
      <c r="AC28" s="81">
        <f t="shared" si="36"/>
        <v>0</v>
      </c>
      <c r="AD28" s="86"/>
      <c r="AE28" s="86"/>
      <c r="AF28" s="1179"/>
      <c r="AG28" s="86"/>
      <c r="AH28" s="86"/>
      <c r="AI28" s="86"/>
      <c r="AJ28" s="86"/>
      <c r="AK28" s="86"/>
      <c r="AL28" s="86"/>
      <c r="AM28" s="86"/>
      <c r="AN28" s="86"/>
      <c r="AO28" s="86"/>
      <c r="AP28" s="86"/>
      <c r="AQ28" s="86"/>
      <c r="AR28" s="86"/>
      <c r="AS28" s="86"/>
      <c r="AT28" s="82"/>
      <c r="AU28" s="87"/>
      <c r="AV28" s="816">
        <f t="shared" si="37"/>
        <v>0</v>
      </c>
      <c r="AW28" s="816">
        <f t="shared" si="38"/>
        <v>0</v>
      </c>
      <c r="AX28" s="816">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8"/>
      <c r="C29" s="1179"/>
      <c r="D29" s="2300"/>
      <c r="E29" s="81">
        <f t="shared" si="33"/>
        <v>0</v>
      </c>
      <c r="F29" s="82"/>
      <c r="G29" s="83">
        <f t="shared" si="34"/>
        <v>0</v>
      </c>
      <c r="H29" s="84">
        <f t="shared" si="35"/>
        <v>0</v>
      </c>
      <c r="I29" s="1179"/>
      <c r="J29" s="85"/>
      <c r="K29" s="1179"/>
      <c r="L29" s="85"/>
      <c r="M29" s="85"/>
      <c r="N29" s="85"/>
      <c r="O29" s="85"/>
      <c r="P29" s="85"/>
      <c r="Q29" s="85"/>
      <c r="R29" s="85"/>
      <c r="S29" s="85"/>
      <c r="T29" s="85"/>
      <c r="U29" s="85"/>
      <c r="V29" s="85"/>
      <c r="W29" s="85"/>
      <c r="X29" s="85"/>
      <c r="Y29" s="85"/>
      <c r="Z29" s="85"/>
      <c r="AA29" s="85"/>
      <c r="AB29" s="85"/>
      <c r="AC29" s="81">
        <f t="shared" si="36"/>
        <v>0</v>
      </c>
      <c r="AD29" s="86"/>
      <c r="AE29" s="86"/>
      <c r="AF29" s="1179"/>
      <c r="AG29" s="86"/>
      <c r="AH29" s="86"/>
      <c r="AI29" s="86"/>
      <c r="AJ29" s="86"/>
      <c r="AK29" s="86"/>
      <c r="AL29" s="86"/>
      <c r="AM29" s="86"/>
      <c r="AN29" s="86"/>
      <c r="AO29" s="86"/>
      <c r="AP29" s="86"/>
      <c r="AQ29" s="86"/>
      <c r="AR29" s="86"/>
      <c r="AS29" s="86"/>
      <c r="AT29" s="82"/>
      <c r="AU29" s="87"/>
      <c r="AV29" s="816">
        <f t="shared" si="37"/>
        <v>0</v>
      </c>
      <c r="AW29" s="816">
        <f t="shared" si="38"/>
        <v>0</v>
      </c>
      <c r="AX29" s="816">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8"/>
      <c r="C30" s="1179"/>
      <c r="D30" s="2300"/>
      <c r="E30" s="81">
        <f t="shared" si="33"/>
        <v>0</v>
      </c>
      <c r="F30" s="82"/>
      <c r="G30" s="83">
        <f t="shared" si="34"/>
        <v>0</v>
      </c>
      <c r="H30" s="84">
        <f t="shared" si="35"/>
        <v>0</v>
      </c>
      <c r="I30" s="1179"/>
      <c r="J30" s="85"/>
      <c r="K30" s="1179"/>
      <c r="L30" s="85"/>
      <c r="M30" s="85"/>
      <c r="N30" s="85"/>
      <c r="O30" s="85"/>
      <c r="P30" s="85"/>
      <c r="Q30" s="85"/>
      <c r="R30" s="85"/>
      <c r="S30" s="85"/>
      <c r="T30" s="85"/>
      <c r="U30" s="85"/>
      <c r="V30" s="85"/>
      <c r="W30" s="85"/>
      <c r="X30" s="85"/>
      <c r="Y30" s="85"/>
      <c r="Z30" s="85"/>
      <c r="AA30" s="85"/>
      <c r="AB30" s="85"/>
      <c r="AC30" s="81">
        <f t="shared" si="36"/>
        <v>0</v>
      </c>
      <c r="AD30" s="86"/>
      <c r="AE30" s="86"/>
      <c r="AF30" s="1179"/>
      <c r="AG30" s="86"/>
      <c r="AH30" s="86"/>
      <c r="AI30" s="86"/>
      <c r="AJ30" s="86"/>
      <c r="AK30" s="86"/>
      <c r="AL30" s="86"/>
      <c r="AM30" s="86"/>
      <c r="AN30" s="86"/>
      <c r="AO30" s="86"/>
      <c r="AP30" s="86"/>
      <c r="AQ30" s="86"/>
      <c r="AR30" s="86"/>
      <c r="AS30" s="86"/>
      <c r="AT30" s="82"/>
      <c r="AU30" s="87"/>
      <c r="AV30" s="816">
        <f t="shared" si="37"/>
        <v>0</v>
      </c>
      <c r="AW30" s="816">
        <f t="shared" si="38"/>
        <v>0</v>
      </c>
      <c r="AX30" s="816">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8"/>
      <c r="C31" s="1179"/>
      <c r="D31" s="2300"/>
      <c r="E31" s="81">
        <f t="shared" si="33"/>
        <v>0</v>
      </c>
      <c r="F31" s="82"/>
      <c r="G31" s="83">
        <f t="shared" si="34"/>
        <v>0</v>
      </c>
      <c r="H31" s="84">
        <f t="shared" si="35"/>
        <v>0</v>
      </c>
      <c r="I31" s="1179"/>
      <c r="J31" s="85"/>
      <c r="K31" s="1179"/>
      <c r="L31" s="85"/>
      <c r="M31" s="85"/>
      <c r="N31" s="85"/>
      <c r="O31" s="85"/>
      <c r="P31" s="85"/>
      <c r="Q31" s="85"/>
      <c r="R31" s="85"/>
      <c r="S31" s="85"/>
      <c r="T31" s="85"/>
      <c r="U31" s="85"/>
      <c r="V31" s="85"/>
      <c r="W31" s="85"/>
      <c r="X31" s="85"/>
      <c r="Y31" s="85"/>
      <c r="Z31" s="85"/>
      <c r="AA31" s="85"/>
      <c r="AB31" s="85"/>
      <c r="AC31" s="81">
        <f t="shared" si="36"/>
        <v>0</v>
      </c>
      <c r="AD31" s="86"/>
      <c r="AE31" s="86"/>
      <c r="AF31" s="1179"/>
      <c r="AG31" s="86"/>
      <c r="AH31" s="86"/>
      <c r="AI31" s="86"/>
      <c r="AJ31" s="86"/>
      <c r="AK31" s="86"/>
      <c r="AL31" s="86"/>
      <c r="AM31" s="86"/>
      <c r="AN31" s="86"/>
      <c r="AO31" s="86"/>
      <c r="AP31" s="86"/>
      <c r="AQ31" s="86"/>
      <c r="AR31" s="86"/>
      <c r="AS31" s="86"/>
      <c r="AT31" s="82"/>
      <c r="AU31" s="87"/>
      <c r="AV31" s="816">
        <f t="shared" si="37"/>
        <v>0</v>
      </c>
      <c r="AW31" s="816">
        <f t="shared" si="38"/>
        <v>0</v>
      </c>
      <c r="AX31" s="816">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8"/>
      <c r="C32" s="1179"/>
      <c r="D32" s="2300"/>
      <c r="E32" s="81">
        <f t="shared" si="33"/>
        <v>0</v>
      </c>
      <c r="F32" s="82"/>
      <c r="G32" s="83">
        <f t="shared" si="34"/>
        <v>0</v>
      </c>
      <c r="H32" s="84">
        <f t="shared" si="35"/>
        <v>0</v>
      </c>
      <c r="I32" s="1179"/>
      <c r="J32" s="85"/>
      <c r="K32" s="1179"/>
      <c r="L32" s="85"/>
      <c r="M32" s="85"/>
      <c r="N32" s="85"/>
      <c r="O32" s="85"/>
      <c r="P32" s="85"/>
      <c r="Q32" s="85"/>
      <c r="R32" s="85"/>
      <c r="S32" s="85"/>
      <c r="T32" s="85"/>
      <c r="U32" s="85"/>
      <c r="V32" s="85"/>
      <c r="W32" s="85"/>
      <c r="X32" s="85"/>
      <c r="Y32" s="85"/>
      <c r="Z32" s="85"/>
      <c r="AA32" s="85"/>
      <c r="AB32" s="85"/>
      <c r="AC32" s="81">
        <f t="shared" si="36"/>
        <v>0</v>
      </c>
      <c r="AD32" s="86"/>
      <c r="AE32" s="86"/>
      <c r="AF32" s="1179"/>
      <c r="AG32" s="86"/>
      <c r="AH32" s="86"/>
      <c r="AI32" s="86"/>
      <c r="AJ32" s="86"/>
      <c r="AK32" s="86"/>
      <c r="AL32" s="86"/>
      <c r="AM32" s="86"/>
      <c r="AN32" s="86"/>
      <c r="AO32" s="86"/>
      <c r="AP32" s="86"/>
      <c r="AQ32" s="86"/>
      <c r="AR32" s="86"/>
      <c r="AS32" s="86"/>
      <c r="AT32" s="82"/>
      <c r="AU32" s="87"/>
      <c r="AV32" s="816">
        <f t="shared" si="37"/>
        <v>0</v>
      </c>
      <c r="AW32" s="816">
        <f t="shared" si="38"/>
        <v>0</v>
      </c>
      <c r="AX32" s="816">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8"/>
      <c r="C33" s="1179"/>
      <c r="D33" s="2300"/>
      <c r="E33" s="81">
        <f t="shared" si="33"/>
        <v>0</v>
      </c>
      <c r="F33" s="82"/>
      <c r="G33" s="83">
        <f t="shared" si="34"/>
        <v>0</v>
      </c>
      <c r="H33" s="84">
        <f t="shared" si="35"/>
        <v>0</v>
      </c>
      <c r="I33" s="1179"/>
      <c r="J33" s="85"/>
      <c r="K33" s="1179"/>
      <c r="L33" s="85"/>
      <c r="M33" s="85"/>
      <c r="N33" s="85"/>
      <c r="O33" s="85"/>
      <c r="P33" s="85"/>
      <c r="Q33" s="85"/>
      <c r="R33" s="85"/>
      <c r="S33" s="85"/>
      <c r="T33" s="85"/>
      <c r="U33" s="85"/>
      <c r="V33" s="85"/>
      <c r="W33" s="85"/>
      <c r="X33" s="85"/>
      <c r="Y33" s="85"/>
      <c r="Z33" s="85"/>
      <c r="AA33" s="85"/>
      <c r="AB33" s="85"/>
      <c r="AC33" s="81">
        <f t="shared" si="36"/>
        <v>0</v>
      </c>
      <c r="AD33" s="86"/>
      <c r="AE33" s="86"/>
      <c r="AF33" s="1179"/>
      <c r="AG33" s="86"/>
      <c r="AH33" s="86"/>
      <c r="AI33" s="86"/>
      <c r="AJ33" s="86"/>
      <c r="AK33" s="86"/>
      <c r="AL33" s="86"/>
      <c r="AM33" s="86"/>
      <c r="AN33" s="86"/>
      <c r="AO33" s="86"/>
      <c r="AP33" s="86"/>
      <c r="AQ33" s="86"/>
      <c r="AR33" s="86"/>
      <c r="AS33" s="86"/>
      <c r="AT33" s="82"/>
      <c r="AU33" s="87"/>
      <c r="AV33" s="816">
        <f t="shared" si="37"/>
        <v>0</v>
      </c>
      <c r="AW33" s="816">
        <f t="shared" si="38"/>
        <v>0</v>
      </c>
      <c r="AX33" s="816">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8"/>
      <c r="C34" s="1179"/>
      <c r="D34" s="2300"/>
      <c r="E34" s="81">
        <f t="shared" si="33"/>
        <v>0</v>
      </c>
      <c r="F34" s="82"/>
      <c r="G34" s="83">
        <f t="shared" si="34"/>
        <v>0</v>
      </c>
      <c r="H34" s="84">
        <f t="shared" si="35"/>
        <v>0</v>
      </c>
      <c r="I34" s="1179"/>
      <c r="J34" s="85"/>
      <c r="K34" s="1179"/>
      <c r="L34" s="85"/>
      <c r="M34" s="85"/>
      <c r="N34" s="85"/>
      <c r="O34" s="85"/>
      <c r="P34" s="85"/>
      <c r="Q34" s="85"/>
      <c r="R34" s="85"/>
      <c r="S34" s="85"/>
      <c r="T34" s="85"/>
      <c r="U34" s="85"/>
      <c r="V34" s="85"/>
      <c r="W34" s="85"/>
      <c r="X34" s="85"/>
      <c r="Y34" s="85"/>
      <c r="Z34" s="85"/>
      <c r="AA34" s="85"/>
      <c r="AB34" s="85"/>
      <c r="AC34" s="81">
        <f t="shared" si="36"/>
        <v>0</v>
      </c>
      <c r="AD34" s="86"/>
      <c r="AE34" s="86"/>
      <c r="AF34" s="1179"/>
      <c r="AG34" s="86"/>
      <c r="AH34" s="86"/>
      <c r="AI34" s="86"/>
      <c r="AJ34" s="86"/>
      <c r="AK34" s="86"/>
      <c r="AL34" s="86"/>
      <c r="AM34" s="86"/>
      <c r="AN34" s="86"/>
      <c r="AO34" s="86"/>
      <c r="AP34" s="86"/>
      <c r="AQ34" s="86"/>
      <c r="AR34" s="86"/>
      <c r="AS34" s="86"/>
      <c r="AT34" s="82"/>
      <c r="AU34" s="87"/>
      <c r="AV34" s="816">
        <f t="shared" si="37"/>
        <v>0</v>
      </c>
      <c r="AW34" s="816">
        <f t="shared" si="38"/>
        <v>0</v>
      </c>
      <c r="AX34" s="816">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8"/>
      <c r="C35" s="1179"/>
      <c r="D35" s="2300"/>
      <c r="E35" s="81">
        <f t="shared" si="33"/>
        <v>0</v>
      </c>
      <c r="F35" s="82"/>
      <c r="G35" s="83">
        <f t="shared" si="34"/>
        <v>0</v>
      </c>
      <c r="H35" s="84">
        <f t="shared" si="35"/>
        <v>0</v>
      </c>
      <c r="I35" s="1179"/>
      <c r="J35" s="85"/>
      <c r="K35" s="1179"/>
      <c r="L35" s="85"/>
      <c r="M35" s="85"/>
      <c r="N35" s="85"/>
      <c r="O35" s="85"/>
      <c r="P35" s="85"/>
      <c r="Q35" s="85"/>
      <c r="R35" s="85"/>
      <c r="S35" s="85"/>
      <c r="T35" s="85"/>
      <c r="U35" s="85"/>
      <c r="V35" s="85"/>
      <c r="W35" s="85"/>
      <c r="X35" s="85"/>
      <c r="Y35" s="85"/>
      <c r="Z35" s="85"/>
      <c r="AA35" s="85"/>
      <c r="AB35" s="85"/>
      <c r="AC35" s="81">
        <f t="shared" si="36"/>
        <v>0</v>
      </c>
      <c r="AD35" s="86"/>
      <c r="AE35" s="86"/>
      <c r="AF35" s="1179"/>
      <c r="AG35" s="86"/>
      <c r="AH35" s="86"/>
      <c r="AI35" s="86"/>
      <c r="AJ35" s="86"/>
      <c r="AK35" s="86"/>
      <c r="AL35" s="86"/>
      <c r="AM35" s="86"/>
      <c r="AN35" s="86"/>
      <c r="AO35" s="86"/>
      <c r="AP35" s="86"/>
      <c r="AQ35" s="86"/>
      <c r="AR35" s="86"/>
      <c r="AS35" s="86"/>
      <c r="AT35" s="82"/>
      <c r="AU35" s="87"/>
      <c r="AV35" s="816">
        <f t="shared" si="37"/>
        <v>0</v>
      </c>
      <c r="AW35" s="816">
        <f t="shared" si="38"/>
        <v>0</v>
      </c>
      <c r="AX35" s="816">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8"/>
      <c r="C36" s="1179"/>
      <c r="D36" s="2300"/>
      <c r="E36" s="81">
        <f t="shared" si="33"/>
        <v>0</v>
      </c>
      <c r="F36" s="82"/>
      <c r="G36" s="83">
        <f t="shared" si="34"/>
        <v>0</v>
      </c>
      <c r="H36" s="84">
        <f t="shared" si="35"/>
        <v>0</v>
      </c>
      <c r="I36" s="1179"/>
      <c r="J36" s="85"/>
      <c r="K36" s="1179"/>
      <c r="L36" s="85"/>
      <c r="M36" s="85"/>
      <c r="N36" s="85"/>
      <c r="O36" s="85"/>
      <c r="P36" s="85"/>
      <c r="Q36" s="85"/>
      <c r="R36" s="85"/>
      <c r="S36" s="85"/>
      <c r="T36" s="85"/>
      <c r="U36" s="85"/>
      <c r="V36" s="85"/>
      <c r="W36" s="85"/>
      <c r="X36" s="85"/>
      <c r="Y36" s="85"/>
      <c r="Z36" s="85"/>
      <c r="AA36" s="85"/>
      <c r="AB36" s="85"/>
      <c r="AC36" s="81">
        <f t="shared" si="36"/>
        <v>0</v>
      </c>
      <c r="AD36" s="86"/>
      <c r="AE36" s="86"/>
      <c r="AF36" s="1179"/>
      <c r="AG36" s="86"/>
      <c r="AH36" s="86"/>
      <c r="AI36" s="86"/>
      <c r="AJ36" s="86"/>
      <c r="AK36" s="86"/>
      <c r="AL36" s="86"/>
      <c r="AM36" s="86"/>
      <c r="AN36" s="86"/>
      <c r="AO36" s="86"/>
      <c r="AP36" s="86"/>
      <c r="AQ36" s="86"/>
      <c r="AR36" s="86"/>
      <c r="AS36" s="86"/>
      <c r="AT36" s="82"/>
      <c r="AU36" s="87"/>
      <c r="AV36" s="816">
        <f t="shared" si="37"/>
        <v>0</v>
      </c>
      <c r="AW36" s="816">
        <f t="shared" si="38"/>
        <v>0</v>
      </c>
      <c r="AX36" s="816">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8"/>
      <c r="C37" s="1179"/>
      <c r="D37" s="2300"/>
      <c r="E37" s="81">
        <f t="shared" si="33"/>
        <v>0</v>
      </c>
      <c r="F37" s="82"/>
      <c r="G37" s="83">
        <f t="shared" si="34"/>
        <v>0</v>
      </c>
      <c r="H37" s="84">
        <f t="shared" si="35"/>
        <v>0</v>
      </c>
      <c r="I37" s="1179"/>
      <c r="J37" s="85"/>
      <c r="K37" s="1179"/>
      <c r="L37" s="85"/>
      <c r="M37" s="85"/>
      <c r="N37" s="85"/>
      <c r="O37" s="85"/>
      <c r="P37" s="85"/>
      <c r="Q37" s="85"/>
      <c r="R37" s="85"/>
      <c r="S37" s="85"/>
      <c r="T37" s="85"/>
      <c r="U37" s="85"/>
      <c r="V37" s="85"/>
      <c r="W37" s="85"/>
      <c r="X37" s="85"/>
      <c r="Y37" s="85"/>
      <c r="Z37" s="85"/>
      <c r="AA37" s="85"/>
      <c r="AB37" s="85"/>
      <c r="AC37" s="81">
        <f t="shared" si="36"/>
        <v>0</v>
      </c>
      <c r="AD37" s="86"/>
      <c r="AE37" s="86"/>
      <c r="AF37" s="1179"/>
      <c r="AG37" s="86"/>
      <c r="AH37" s="86"/>
      <c r="AI37" s="86"/>
      <c r="AJ37" s="86"/>
      <c r="AK37" s="86"/>
      <c r="AL37" s="86"/>
      <c r="AM37" s="86"/>
      <c r="AN37" s="86"/>
      <c r="AO37" s="86"/>
      <c r="AP37" s="86"/>
      <c r="AQ37" s="86"/>
      <c r="AR37" s="86"/>
      <c r="AS37" s="86"/>
      <c r="AT37" s="82"/>
      <c r="AU37" s="87"/>
      <c r="AV37" s="816">
        <f t="shared" si="37"/>
        <v>0</v>
      </c>
      <c r="AW37" s="816">
        <f t="shared" si="38"/>
        <v>0</v>
      </c>
      <c r="AX37" s="816">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8"/>
      <c r="C38" s="1179"/>
      <c r="D38" s="2300"/>
      <c r="E38" s="81">
        <f t="shared" si="33"/>
        <v>0</v>
      </c>
      <c r="F38" s="82"/>
      <c r="G38" s="83">
        <f t="shared" si="34"/>
        <v>0</v>
      </c>
      <c r="H38" s="84">
        <f t="shared" si="35"/>
        <v>0</v>
      </c>
      <c r="I38" s="1179"/>
      <c r="J38" s="85"/>
      <c r="K38" s="1179"/>
      <c r="L38" s="85"/>
      <c r="M38" s="85"/>
      <c r="N38" s="85"/>
      <c r="O38" s="85"/>
      <c r="P38" s="85"/>
      <c r="Q38" s="85"/>
      <c r="R38" s="85"/>
      <c r="S38" s="85"/>
      <c r="T38" s="85"/>
      <c r="U38" s="85"/>
      <c r="V38" s="85"/>
      <c r="W38" s="85"/>
      <c r="X38" s="85"/>
      <c r="Y38" s="85"/>
      <c r="Z38" s="85"/>
      <c r="AA38" s="85"/>
      <c r="AB38" s="85"/>
      <c r="AC38" s="81">
        <f t="shared" si="36"/>
        <v>0</v>
      </c>
      <c r="AD38" s="86"/>
      <c r="AE38" s="86"/>
      <c r="AF38" s="1179"/>
      <c r="AG38" s="86"/>
      <c r="AH38" s="86"/>
      <c r="AI38" s="86"/>
      <c r="AJ38" s="86"/>
      <c r="AK38" s="86"/>
      <c r="AL38" s="86"/>
      <c r="AM38" s="86"/>
      <c r="AN38" s="86"/>
      <c r="AO38" s="86"/>
      <c r="AP38" s="86"/>
      <c r="AQ38" s="86"/>
      <c r="AR38" s="86"/>
      <c r="AS38" s="86"/>
      <c r="AT38" s="82"/>
      <c r="AU38" s="87"/>
      <c r="AV38" s="816">
        <f t="shared" si="37"/>
        <v>0</v>
      </c>
      <c r="AW38" s="816">
        <f t="shared" si="38"/>
        <v>0</v>
      </c>
      <c r="AX38" s="816">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8"/>
      <c r="C39" s="1179"/>
      <c r="D39" s="2300"/>
      <c r="E39" s="81">
        <f t="shared" si="33"/>
        <v>0</v>
      </c>
      <c r="F39" s="82"/>
      <c r="G39" s="83">
        <f t="shared" si="34"/>
        <v>0</v>
      </c>
      <c r="H39" s="84">
        <f t="shared" si="35"/>
        <v>0</v>
      </c>
      <c r="I39" s="1179"/>
      <c r="J39" s="85"/>
      <c r="K39" s="1179"/>
      <c r="L39" s="85"/>
      <c r="M39" s="85"/>
      <c r="N39" s="85"/>
      <c r="O39" s="85"/>
      <c r="P39" s="85"/>
      <c r="Q39" s="85"/>
      <c r="R39" s="85"/>
      <c r="S39" s="85"/>
      <c r="T39" s="85"/>
      <c r="U39" s="85"/>
      <c r="V39" s="85"/>
      <c r="W39" s="85"/>
      <c r="X39" s="85"/>
      <c r="Y39" s="85"/>
      <c r="Z39" s="85"/>
      <c r="AA39" s="85"/>
      <c r="AB39" s="85"/>
      <c r="AC39" s="81">
        <f t="shared" si="36"/>
        <v>0</v>
      </c>
      <c r="AD39" s="86"/>
      <c r="AE39" s="86"/>
      <c r="AF39" s="1179"/>
      <c r="AG39" s="86"/>
      <c r="AH39" s="86"/>
      <c r="AI39" s="86"/>
      <c r="AJ39" s="86"/>
      <c r="AK39" s="86"/>
      <c r="AL39" s="86"/>
      <c r="AM39" s="86"/>
      <c r="AN39" s="86"/>
      <c r="AO39" s="86"/>
      <c r="AP39" s="86"/>
      <c r="AQ39" s="86"/>
      <c r="AR39" s="86"/>
      <c r="AS39" s="86"/>
      <c r="AT39" s="82"/>
      <c r="AU39" s="87"/>
      <c r="AV39" s="816">
        <f t="shared" si="37"/>
        <v>0</v>
      </c>
      <c r="AW39" s="816">
        <f t="shared" si="38"/>
        <v>0</v>
      </c>
      <c r="AX39" s="816">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8"/>
      <c r="C40" s="1179"/>
      <c r="D40" s="2300"/>
      <c r="E40" s="81">
        <f t="shared" si="33"/>
        <v>0</v>
      </c>
      <c r="F40" s="82"/>
      <c r="G40" s="83">
        <f t="shared" si="34"/>
        <v>0</v>
      </c>
      <c r="H40" s="84">
        <f t="shared" si="35"/>
        <v>0</v>
      </c>
      <c r="I40" s="1179"/>
      <c r="J40" s="85"/>
      <c r="K40" s="1179"/>
      <c r="L40" s="85"/>
      <c r="M40" s="85"/>
      <c r="N40" s="85"/>
      <c r="O40" s="85"/>
      <c r="P40" s="85"/>
      <c r="Q40" s="85"/>
      <c r="R40" s="85"/>
      <c r="S40" s="85"/>
      <c r="T40" s="85"/>
      <c r="U40" s="85"/>
      <c r="V40" s="85"/>
      <c r="W40" s="85"/>
      <c r="X40" s="85"/>
      <c r="Y40" s="85"/>
      <c r="Z40" s="85"/>
      <c r="AA40" s="85"/>
      <c r="AB40" s="85"/>
      <c r="AC40" s="81">
        <f t="shared" si="36"/>
        <v>0</v>
      </c>
      <c r="AD40" s="86"/>
      <c r="AE40" s="86"/>
      <c r="AF40" s="1179"/>
      <c r="AG40" s="86"/>
      <c r="AH40" s="86"/>
      <c r="AI40" s="86"/>
      <c r="AJ40" s="86"/>
      <c r="AK40" s="86"/>
      <c r="AL40" s="86"/>
      <c r="AM40" s="86"/>
      <c r="AN40" s="86"/>
      <c r="AO40" s="86"/>
      <c r="AP40" s="86"/>
      <c r="AQ40" s="86"/>
      <c r="AR40" s="86"/>
      <c r="AS40" s="86"/>
      <c r="AT40" s="82"/>
      <c r="AU40" s="87"/>
      <c r="AV40" s="816">
        <f t="shared" si="37"/>
        <v>0</v>
      </c>
      <c r="AW40" s="816">
        <f t="shared" si="38"/>
        <v>0</v>
      </c>
      <c r="AX40" s="816">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8"/>
      <c r="C41" s="1179"/>
      <c r="D41" s="2300"/>
      <c r="E41" s="81">
        <f t="shared" si="33"/>
        <v>0</v>
      </c>
      <c r="F41" s="82"/>
      <c r="G41" s="83">
        <f t="shared" si="34"/>
        <v>0</v>
      </c>
      <c r="H41" s="84">
        <f t="shared" si="35"/>
        <v>0</v>
      </c>
      <c r="I41" s="1179"/>
      <c r="J41" s="85"/>
      <c r="K41" s="1179"/>
      <c r="L41" s="85"/>
      <c r="M41" s="85"/>
      <c r="N41" s="85"/>
      <c r="O41" s="85"/>
      <c r="P41" s="85"/>
      <c r="Q41" s="85"/>
      <c r="R41" s="85"/>
      <c r="S41" s="85"/>
      <c r="T41" s="85"/>
      <c r="U41" s="85"/>
      <c r="V41" s="85"/>
      <c r="W41" s="85"/>
      <c r="X41" s="85"/>
      <c r="Y41" s="85"/>
      <c r="Z41" s="85"/>
      <c r="AA41" s="85"/>
      <c r="AB41" s="85"/>
      <c r="AC41" s="81">
        <f t="shared" si="36"/>
        <v>0</v>
      </c>
      <c r="AD41" s="86"/>
      <c r="AE41" s="86"/>
      <c r="AF41" s="1179"/>
      <c r="AG41" s="86"/>
      <c r="AH41" s="86"/>
      <c r="AI41" s="86"/>
      <c r="AJ41" s="86"/>
      <c r="AK41" s="86"/>
      <c r="AL41" s="86"/>
      <c r="AM41" s="86"/>
      <c r="AN41" s="86"/>
      <c r="AO41" s="86"/>
      <c r="AP41" s="86"/>
      <c r="AQ41" s="86"/>
      <c r="AR41" s="86"/>
      <c r="AS41" s="86"/>
      <c r="AT41" s="82"/>
      <c r="AU41" s="87"/>
      <c r="AV41" s="816">
        <f t="shared" si="37"/>
        <v>0</v>
      </c>
      <c r="AW41" s="816">
        <f t="shared" si="38"/>
        <v>0</v>
      </c>
      <c r="AX41" s="816">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8"/>
      <c r="C42" s="1179"/>
      <c r="D42" s="2300"/>
      <c r="E42" s="81">
        <f t="shared" si="33"/>
        <v>0</v>
      </c>
      <c r="F42" s="82"/>
      <c r="G42" s="83">
        <f t="shared" si="34"/>
        <v>0</v>
      </c>
      <c r="H42" s="84">
        <f t="shared" si="35"/>
        <v>0</v>
      </c>
      <c r="I42" s="1179"/>
      <c r="J42" s="85"/>
      <c r="K42" s="1179"/>
      <c r="L42" s="85"/>
      <c r="M42" s="85"/>
      <c r="N42" s="85"/>
      <c r="O42" s="85"/>
      <c r="P42" s="85"/>
      <c r="Q42" s="85"/>
      <c r="R42" s="85"/>
      <c r="S42" s="85"/>
      <c r="T42" s="85"/>
      <c r="U42" s="85"/>
      <c r="V42" s="85"/>
      <c r="W42" s="85"/>
      <c r="X42" s="85"/>
      <c r="Y42" s="85"/>
      <c r="Z42" s="85"/>
      <c r="AA42" s="85"/>
      <c r="AB42" s="85"/>
      <c r="AC42" s="81">
        <f t="shared" si="36"/>
        <v>0</v>
      </c>
      <c r="AD42" s="86"/>
      <c r="AE42" s="86"/>
      <c r="AF42" s="1179"/>
      <c r="AG42" s="86"/>
      <c r="AH42" s="86"/>
      <c r="AI42" s="86"/>
      <c r="AJ42" s="86"/>
      <c r="AK42" s="86"/>
      <c r="AL42" s="86"/>
      <c r="AM42" s="86"/>
      <c r="AN42" s="86"/>
      <c r="AO42" s="86"/>
      <c r="AP42" s="86"/>
      <c r="AQ42" s="86"/>
      <c r="AR42" s="86"/>
      <c r="AS42" s="86"/>
      <c r="AT42" s="82"/>
      <c r="AU42" s="87"/>
      <c r="AV42" s="816">
        <f t="shared" si="37"/>
        <v>0</v>
      </c>
      <c r="AW42" s="816">
        <f t="shared" si="38"/>
        <v>0</v>
      </c>
      <c r="AX42" s="816">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8"/>
      <c r="C43" s="1179"/>
      <c r="D43" s="2300"/>
      <c r="E43" s="81">
        <f t="shared" si="33"/>
        <v>0</v>
      </c>
      <c r="F43" s="82"/>
      <c r="G43" s="83">
        <f t="shared" si="34"/>
        <v>0</v>
      </c>
      <c r="H43" s="84">
        <f t="shared" si="35"/>
        <v>0</v>
      </c>
      <c r="I43" s="1179"/>
      <c r="J43" s="85"/>
      <c r="K43" s="1179"/>
      <c r="L43" s="85"/>
      <c r="M43" s="85"/>
      <c r="N43" s="85"/>
      <c r="O43" s="85"/>
      <c r="P43" s="85"/>
      <c r="Q43" s="85"/>
      <c r="R43" s="85"/>
      <c r="S43" s="85"/>
      <c r="T43" s="85"/>
      <c r="U43" s="85"/>
      <c r="V43" s="85"/>
      <c r="W43" s="85"/>
      <c r="X43" s="85"/>
      <c r="Y43" s="85"/>
      <c r="Z43" s="85"/>
      <c r="AA43" s="85"/>
      <c r="AB43" s="85"/>
      <c r="AC43" s="81">
        <f t="shared" si="36"/>
        <v>0</v>
      </c>
      <c r="AD43" s="86"/>
      <c r="AE43" s="86"/>
      <c r="AF43" s="1179"/>
      <c r="AG43" s="86"/>
      <c r="AH43" s="86"/>
      <c r="AI43" s="86"/>
      <c r="AJ43" s="86"/>
      <c r="AK43" s="86"/>
      <c r="AL43" s="86"/>
      <c r="AM43" s="86"/>
      <c r="AN43" s="86"/>
      <c r="AO43" s="86"/>
      <c r="AP43" s="86"/>
      <c r="AQ43" s="86"/>
      <c r="AR43" s="86"/>
      <c r="AS43" s="86"/>
      <c r="AT43" s="82"/>
      <c r="AU43" s="87"/>
      <c r="AV43" s="816">
        <f t="shared" si="37"/>
        <v>0</v>
      </c>
      <c r="AW43" s="816">
        <f t="shared" si="38"/>
        <v>0</v>
      </c>
      <c r="AX43" s="816">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8"/>
      <c r="C44" s="1179"/>
      <c r="D44" s="2300"/>
      <c r="E44" s="81">
        <f t="shared" si="33"/>
        <v>0</v>
      </c>
      <c r="F44" s="82"/>
      <c r="G44" s="83">
        <f t="shared" si="34"/>
        <v>0</v>
      </c>
      <c r="H44" s="84">
        <f t="shared" si="35"/>
        <v>0</v>
      </c>
      <c r="I44" s="1179"/>
      <c r="J44" s="85"/>
      <c r="K44" s="1179"/>
      <c r="L44" s="85"/>
      <c r="M44" s="85"/>
      <c r="N44" s="85"/>
      <c r="O44" s="85"/>
      <c r="P44" s="85"/>
      <c r="Q44" s="85"/>
      <c r="R44" s="85"/>
      <c r="S44" s="85"/>
      <c r="T44" s="85"/>
      <c r="U44" s="85"/>
      <c r="V44" s="85"/>
      <c r="W44" s="85"/>
      <c r="X44" s="85"/>
      <c r="Y44" s="85"/>
      <c r="Z44" s="85"/>
      <c r="AA44" s="85"/>
      <c r="AB44" s="85"/>
      <c r="AC44" s="81">
        <f t="shared" si="36"/>
        <v>0</v>
      </c>
      <c r="AD44" s="86"/>
      <c r="AE44" s="86"/>
      <c r="AF44" s="1179"/>
      <c r="AG44" s="86"/>
      <c r="AH44" s="86"/>
      <c r="AI44" s="86"/>
      <c r="AJ44" s="86"/>
      <c r="AK44" s="86"/>
      <c r="AL44" s="86"/>
      <c r="AM44" s="86"/>
      <c r="AN44" s="86"/>
      <c r="AO44" s="86"/>
      <c r="AP44" s="86"/>
      <c r="AQ44" s="86"/>
      <c r="AR44" s="86"/>
      <c r="AS44" s="86"/>
      <c r="AT44" s="82"/>
      <c r="AU44" s="87"/>
      <c r="AV44" s="816">
        <f t="shared" si="37"/>
        <v>0</v>
      </c>
      <c r="AW44" s="816">
        <f t="shared" si="38"/>
        <v>0</v>
      </c>
      <c r="AX44" s="816">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8"/>
      <c r="C45" s="1179"/>
      <c r="D45" s="2300"/>
      <c r="E45" s="81">
        <f t="shared" si="33"/>
        <v>0</v>
      </c>
      <c r="F45" s="82"/>
      <c r="G45" s="83">
        <f t="shared" si="34"/>
        <v>0</v>
      </c>
      <c r="H45" s="84">
        <f t="shared" si="35"/>
        <v>0</v>
      </c>
      <c r="I45" s="1179"/>
      <c r="J45" s="85"/>
      <c r="K45" s="1179"/>
      <c r="L45" s="85"/>
      <c r="M45" s="85"/>
      <c r="N45" s="85"/>
      <c r="O45" s="85"/>
      <c r="P45" s="85"/>
      <c r="Q45" s="85"/>
      <c r="R45" s="85"/>
      <c r="S45" s="85"/>
      <c r="T45" s="85"/>
      <c r="U45" s="85"/>
      <c r="V45" s="85"/>
      <c r="W45" s="85"/>
      <c r="X45" s="85"/>
      <c r="Y45" s="85"/>
      <c r="Z45" s="85"/>
      <c r="AA45" s="85"/>
      <c r="AB45" s="85"/>
      <c r="AC45" s="81">
        <f t="shared" si="36"/>
        <v>0</v>
      </c>
      <c r="AD45" s="86"/>
      <c r="AE45" s="86"/>
      <c r="AF45" s="1179"/>
      <c r="AG45" s="86"/>
      <c r="AH45" s="86"/>
      <c r="AI45" s="86"/>
      <c r="AJ45" s="86"/>
      <c r="AK45" s="86"/>
      <c r="AL45" s="86"/>
      <c r="AM45" s="86"/>
      <c r="AN45" s="86"/>
      <c r="AO45" s="86"/>
      <c r="AP45" s="86"/>
      <c r="AQ45" s="86"/>
      <c r="AR45" s="86"/>
      <c r="AS45" s="86"/>
      <c r="AT45" s="82"/>
      <c r="AU45" s="87"/>
      <c r="AV45" s="816">
        <f t="shared" si="37"/>
        <v>0</v>
      </c>
      <c r="AW45" s="816">
        <f t="shared" si="38"/>
        <v>0</v>
      </c>
      <c r="AX45" s="816">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8"/>
      <c r="C46" s="1179"/>
      <c r="D46" s="2300"/>
      <c r="E46" s="81">
        <f t="shared" si="33"/>
        <v>0</v>
      </c>
      <c r="F46" s="82"/>
      <c r="G46" s="83">
        <f t="shared" si="34"/>
        <v>0</v>
      </c>
      <c r="H46" s="84">
        <f t="shared" si="35"/>
        <v>0</v>
      </c>
      <c r="I46" s="1179"/>
      <c r="J46" s="85"/>
      <c r="K46" s="1179"/>
      <c r="L46" s="85"/>
      <c r="M46" s="85"/>
      <c r="N46" s="85"/>
      <c r="O46" s="85"/>
      <c r="P46" s="85"/>
      <c r="Q46" s="85"/>
      <c r="R46" s="85"/>
      <c r="S46" s="85"/>
      <c r="T46" s="85"/>
      <c r="U46" s="85"/>
      <c r="V46" s="85"/>
      <c r="W46" s="85"/>
      <c r="X46" s="85"/>
      <c r="Y46" s="85"/>
      <c r="Z46" s="85"/>
      <c r="AA46" s="85"/>
      <c r="AB46" s="85"/>
      <c r="AC46" s="81">
        <f t="shared" si="36"/>
        <v>0</v>
      </c>
      <c r="AD46" s="86"/>
      <c r="AE46" s="86"/>
      <c r="AF46" s="1179"/>
      <c r="AG46" s="86"/>
      <c r="AH46" s="86"/>
      <c r="AI46" s="86"/>
      <c r="AJ46" s="86"/>
      <c r="AK46" s="86"/>
      <c r="AL46" s="86"/>
      <c r="AM46" s="86"/>
      <c r="AN46" s="86"/>
      <c r="AO46" s="86"/>
      <c r="AP46" s="86"/>
      <c r="AQ46" s="86"/>
      <c r="AR46" s="86"/>
      <c r="AS46" s="86"/>
      <c r="AT46" s="82"/>
      <c r="AU46" s="87"/>
      <c r="AV46" s="816">
        <f t="shared" si="37"/>
        <v>0</v>
      </c>
      <c r="AW46" s="816">
        <f t="shared" si="38"/>
        <v>0</v>
      </c>
      <c r="AX46" s="816">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8"/>
      <c r="C47" s="1179"/>
      <c r="D47" s="2300"/>
      <c r="E47" s="81">
        <f t="shared" si="33"/>
        <v>0</v>
      </c>
      <c r="F47" s="82"/>
      <c r="G47" s="83">
        <f t="shared" si="34"/>
        <v>0</v>
      </c>
      <c r="H47" s="84">
        <f t="shared" si="35"/>
        <v>0</v>
      </c>
      <c r="I47" s="1179"/>
      <c r="J47" s="85"/>
      <c r="K47" s="1179"/>
      <c r="L47" s="85"/>
      <c r="M47" s="85"/>
      <c r="N47" s="85"/>
      <c r="O47" s="85"/>
      <c r="P47" s="85"/>
      <c r="Q47" s="85"/>
      <c r="R47" s="85"/>
      <c r="S47" s="85"/>
      <c r="T47" s="85"/>
      <c r="U47" s="85"/>
      <c r="V47" s="85"/>
      <c r="W47" s="85"/>
      <c r="X47" s="85"/>
      <c r="Y47" s="85"/>
      <c r="Z47" s="85"/>
      <c r="AA47" s="85"/>
      <c r="AB47" s="85"/>
      <c r="AC47" s="81">
        <f t="shared" si="36"/>
        <v>0</v>
      </c>
      <c r="AD47" s="86"/>
      <c r="AE47" s="86"/>
      <c r="AF47" s="1179"/>
      <c r="AG47" s="86"/>
      <c r="AH47" s="86"/>
      <c r="AI47" s="86"/>
      <c r="AJ47" s="86"/>
      <c r="AK47" s="86"/>
      <c r="AL47" s="86"/>
      <c r="AM47" s="86"/>
      <c r="AN47" s="86"/>
      <c r="AO47" s="86"/>
      <c r="AP47" s="86"/>
      <c r="AQ47" s="86"/>
      <c r="AR47" s="86"/>
      <c r="AS47" s="86"/>
      <c r="AT47" s="82"/>
      <c r="AU47" s="87"/>
      <c r="AV47" s="816">
        <f t="shared" si="37"/>
        <v>0</v>
      </c>
      <c r="AW47" s="816">
        <f t="shared" si="38"/>
        <v>0</v>
      </c>
      <c r="AX47" s="816">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8"/>
      <c r="C48" s="1179"/>
      <c r="D48" s="2300"/>
      <c r="E48" s="81">
        <f t="shared" si="33"/>
        <v>0</v>
      </c>
      <c r="F48" s="82"/>
      <c r="G48" s="83">
        <f t="shared" si="34"/>
        <v>0</v>
      </c>
      <c r="H48" s="84">
        <f t="shared" si="35"/>
        <v>0</v>
      </c>
      <c r="I48" s="1179"/>
      <c r="J48" s="85"/>
      <c r="K48" s="1179"/>
      <c r="L48" s="85"/>
      <c r="M48" s="85"/>
      <c r="N48" s="85"/>
      <c r="O48" s="85"/>
      <c r="P48" s="85"/>
      <c r="Q48" s="85"/>
      <c r="R48" s="85"/>
      <c r="S48" s="85"/>
      <c r="T48" s="85"/>
      <c r="U48" s="85"/>
      <c r="V48" s="85"/>
      <c r="W48" s="85"/>
      <c r="X48" s="85"/>
      <c r="Y48" s="85"/>
      <c r="Z48" s="85"/>
      <c r="AA48" s="85"/>
      <c r="AB48" s="85"/>
      <c r="AC48" s="81">
        <f t="shared" si="36"/>
        <v>0</v>
      </c>
      <c r="AD48" s="86"/>
      <c r="AE48" s="86"/>
      <c r="AF48" s="1179"/>
      <c r="AG48" s="86"/>
      <c r="AH48" s="86"/>
      <c r="AI48" s="86"/>
      <c r="AJ48" s="86"/>
      <c r="AK48" s="86"/>
      <c r="AL48" s="86"/>
      <c r="AM48" s="86"/>
      <c r="AN48" s="86"/>
      <c r="AO48" s="86"/>
      <c r="AP48" s="86"/>
      <c r="AQ48" s="86"/>
      <c r="AR48" s="86"/>
      <c r="AS48" s="86"/>
      <c r="AT48" s="82"/>
      <c r="AU48" s="87"/>
      <c r="AV48" s="816">
        <f t="shared" si="37"/>
        <v>0</v>
      </c>
      <c r="AW48" s="816">
        <f t="shared" si="38"/>
        <v>0</v>
      </c>
      <c r="AX48" s="816">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8"/>
      <c r="C49" s="1179"/>
      <c r="D49" s="2300"/>
      <c r="E49" s="81">
        <f t="shared" si="33"/>
        <v>0</v>
      </c>
      <c r="F49" s="82"/>
      <c r="G49" s="83">
        <f t="shared" si="34"/>
        <v>0</v>
      </c>
      <c r="H49" s="84">
        <f t="shared" si="35"/>
        <v>0</v>
      </c>
      <c r="I49" s="1179"/>
      <c r="J49" s="85"/>
      <c r="K49" s="1179"/>
      <c r="L49" s="85"/>
      <c r="M49" s="85"/>
      <c r="N49" s="85"/>
      <c r="O49" s="85"/>
      <c r="P49" s="85"/>
      <c r="Q49" s="85"/>
      <c r="R49" s="85"/>
      <c r="S49" s="85"/>
      <c r="T49" s="85"/>
      <c r="U49" s="85"/>
      <c r="V49" s="85"/>
      <c r="W49" s="85"/>
      <c r="X49" s="85"/>
      <c r="Y49" s="85"/>
      <c r="Z49" s="85"/>
      <c r="AA49" s="85"/>
      <c r="AB49" s="85"/>
      <c r="AC49" s="81">
        <f t="shared" si="36"/>
        <v>0</v>
      </c>
      <c r="AD49" s="86"/>
      <c r="AE49" s="86"/>
      <c r="AF49" s="1179"/>
      <c r="AG49" s="86"/>
      <c r="AH49" s="86"/>
      <c r="AI49" s="86"/>
      <c r="AJ49" s="86"/>
      <c r="AK49" s="86"/>
      <c r="AL49" s="86"/>
      <c r="AM49" s="86"/>
      <c r="AN49" s="86"/>
      <c r="AO49" s="86"/>
      <c r="AP49" s="86"/>
      <c r="AQ49" s="86"/>
      <c r="AR49" s="86"/>
      <c r="AS49" s="86"/>
      <c r="AT49" s="82"/>
      <c r="AU49" s="87"/>
      <c r="AV49" s="816">
        <f t="shared" si="37"/>
        <v>0</v>
      </c>
      <c r="AW49" s="816">
        <f t="shared" si="38"/>
        <v>0</v>
      </c>
      <c r="AX49" s="816">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8"/>
      <c r="C50" s="1179"/>
      <c r="D50" s="2300"/>
      <c r="E50" s="81">
        <f t="shared" si="33"/>
        <v>0</v>
      </c>
      <c r="F50" s="82"/>
      <c r="G50" s="83">
        <f t="shared" si="34"/>
        <v>0</v>
      </c>
      <c r="H50" s="84">
        <f t="shared" si="35"/>
        <v>0</v>
      </c>
      <c r="I50" s="1179"/>
      <c r="J50" s="85"/>
      <c r="K50" s="1179"/>
      <c r="L50" s="85"/>
      <c r="M50" s="85"/>
      <c r="N50" s="85"/>
      <c r="O50" s="85"/>
      <c r="P50" s="85"/>
      <c r="Q50" s="85"/>
      <c r="R50" s="85"/>
      <c r="S50" s="85"/>
      <c r="T50" s="85"/>
      <c r="U50" s="85"/>
      <c r="V50" s="85"/>
      <c r="W50" s="85"/>
      <c r="X50" s="85"/>
      <c r="Y50" s="85"/>
      <c r="Z50" s="85"/>
      <c r="AA50" s="85"/>
      <c r="AB50" s="85"/>
      <c r="AC50" s="81">
        <f t="shared" si="36"/>
        <v>0</v>
      </c>
      <c r="AD50" s="86"/>
      <c r="AE50" s="86"/>
      <c r="AF50" s="1179"/>
      <c r="AG50" s="86"/>
      <c r="AH50" s="86"/>
      <c r="AI50" s="86"/>
      <c r="AJ50" s="86"/>
      <c r="AK50" s="86"/>
      <c r="AL50" s="86"/>
      <c r="AM50" s="86"/>
      <c r="AN50" s="86"/>
      <c r="AO50" s="86"/>
      <c r="AP50" s="86"/>
      <c r="AQ50" s="86"/>
      <c r="AR50" s="86"/>
      <c r="AS50" s="86"/>
      <c r="AT50" s="82"/>
      <c r="AU50" s="87"/>
      <c r="AV50" s="816">
        <f t="shared" si="37"/>
        <v>0</v>
      </c>
      <c r="AW50" s="816">
        <f t="shared" si="38"/>
        <v>0</v>
      </c>
      <c r="AX50" s="816">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8"/>
      <c r="C51" s="1179"/>
      <c r="D51" s="2300"/>
      <c r="E51" s="81">
        <f t="shared" si="33"/>
        <v>0</v>
      </c>
      <c r="F51" s="82"/>
      <c r="G51" s="83">
        <f t="shared" si="34"/>
        <v>0</v>
      </c>
      <c r="H51" s="84">
        <f t="shared" si="35"/>
        <v>0</v>
      </c>
      <c r="I51" s="1179"/>
      <c r="J51" s="85"/>
      <c r="K51" s="1179"/>
      <c r="L51" s="85"/>
      <c r="M51" s="85"/>
      <c r="N51" s="85"/>
      <c r="O51" s="85"/>
      <c r="P51" s="85"/>
      <c r="Q51" s="85"/>
      <c r="R51" s="85"/>
      <c r="S51" s="85"/>
      <c r="T51" s="85"/>
      <c r="U51" s="85"/>
      <c r="V51" s="85"/>
      <c r="W51" s="85"/>
      <c r="X51" s="85"/>
      <c r="Y51" s="85"/>
      <c r="Z51" s="85"/>
      <c r="AA51" s="85"/>
      <c r="AB51" s="85"/>
      <c r="AC51" s="81">
        <f t="shared" si="36"/>
        <v>0</v>
      </c>
      <c r="AD51" s="86"/>
      <c r="AE51" s="86"/>
      <c r="AF51" s="1179"/>
      <c r="AG51" s="86"/>
      <c r="AH51" s="86"/>
      <c r="AI51" s="86"/>
      <c r="AJ51" s="86"/>
      <c r="AK51" s="86"/>
      <c r="AL51" s="86"/>
      <c r="AM51" s="86"/>
      <c r="AN51" s="86"/>
      <c r="AO51" s="86"/>
      <c r="AP51" s="86"/>
      <c r="AQ51" s="86"/>
      <c r="AR51" s="86"/>
      <c r="AS51" s="86"/>
      <c r="AT51" s="82"/>
      <c r="AU51" s="87"/>
      <c r="AV51" s="816">
        <f t="shared" si="37"/>
        <v>0</v>
      </c>
      <c r="AW51" s="816">
        <f t="shared" si="38"/>
        <v>0</v>
      </c>
      <c r="AX51" s="816">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8"/>
      <c r="C52" s="1179"/>
      <c r="D52" s="2300"/>
      <c r="E52" s="81">
        <f t="shared" si="33"/>
        <v>0</v>
      </c>
      <c r="F52" s="82"/>
      <c r="G52" s="83">
        <f t="shared" si="34"/>
        <v>0</v>
      </c>
      <c r="H52" s="84">
        <f t="shared" si="35"/>
        <v>0</v>
      </c>
      <c r="I52" s="1179"/>
      <c r="J52" s="85"/>
      <c r="K52" s="1179"/>
      <c r="L52" s="85"/>
      <c r="M52" s="85"/>
      <c r="N52" s="85"/>
      <c r="O52" s="85"/>
      <c r="P52" s="85"/>
      <c r="Q52" s="85"/>
      <c r="R52" s="85"/>
      <c r="S52" s="85"/>
      <c r="T52" s="85"/>
      <c r="U52" s="85"/>
      <c r="V52" s="85"/>
      <c r="W52" s="85"/>
      <c r="X52" s="85"/>
      <c r="Y52" s="85"/>
      <c r="Z52" s="85"/>
      <c r="AA52" s="85"/>
      <c r="AB52" s="85"/>
      <c r="AC52" s="81">
        <f t="shared" si="36"/>
        <v>0</v>
      </c>
      <c r="AD52" s="86"/>
      <c r="AE52" s="86"/>
      <c r="AF52" s="1179"/>
      <c r="AG52" s="86"/>
      <c r="AH52" s="86"/>
      <c r="AI52" s="86"/>
      <c r="AJ52" s="86"/>
      <c r="AK52" s="86"/>
      <c r="AL52" s="86"/>
      <c r="AM52" s="86"/>
      <c r="AN52" s="86"/>
      <c r="AO52" s="86"/>
      <c r="AP52" s="86"/>
      <c r="AQ52" s="86"/>
      <c r="AR52" s="86"/>
      <c r="AS52" s="86"/>
      <c r="AT52" s="82"/>
      <c r="AU52" s="87"/>
      <c r="AV52" s="816">
        <f t="shared" si="37"/>
        <v>0</v>
      </c>
      <c r="AW52" s="816">
        <f t="shared" si="38"/>
        <v>0</v>
      </c>
      <c r="AX52" s="816">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8"/>
      <c r="C53" s="1179"/>
      <c r="D53" s="2300"/>
      <c r="E53" s="81">
        <f t="shared" si="33"/>
        <v>0</v>
      </c>
      <c r="F53" s="82"/>
      <c r="G53" s="83">
        <f t="shared" si="34"/>
        <v>0</v>
      </c>
      <c r="H53" s="84">
        <f t="shared" si="35"/>
        <v>0</v>
      </c>
      <c r="I53" s="1179"/>
      <c r="J53" s="85"/>
      <c r="K53" s="1179"/>
      <c r="L53" s="85"/>
      <c r="M53" s="85"/>
      <c r="N53" s="85"/>
      <c r="O53" s="85"/>
      <c r="P53" s="85"/>
      <c r="Q53" s="85"/>
      <c r="R53" s="85"/>
      <c r="S53" s="85"/>
      <c r="T53" s="85"/>
      <c r="U53" s="85"/>
      <c r="V53" s="85"/>
      <c r="W53" s="85"/>
      <c r="X53" s="85"/>
      <c r="Y53" s="85"/>
      <c r="Z53" s="85"/>
      <c r="AA53" s="85"/>
      <c r="AB53" s="85"/>
      <c r="AC53" s="81">
        <f t="shared" si="36"/>
        <v>0</v>
      </c>
      <c r="AD53" s="86"/>
      <c r="AE53" s="86"/>
      <c r="AF53" s="1179"/>
      <c r="AG53" s="86"/>
      <c r="AH53" s="86"/>
      <c r="AI53" s="86"/>
      <c r="AJ53" s="86"/>
      <c r="AK53" s="86"/>
      <c r="AL53" s="86"/>
      <c r="AM53" s="86"/>
      <c r="AN53" s="86"/>
      <c r="AO53" s="86"/>
      <c r="AP53" s="86"/>
      <c r="AQ53" s="86"/>
      <c r="AR53" s="86"/>
      <c r="AS53" s="86"/>
      <c r="AT53" s="82"/>
      <c r="AU53" s="87"/>
      <c r="AV53" s="816">
        <f t="shared" si="37"/>
        <v>0</v>
      </c>
      <c r="AW53" s="816">
        <f t="shared" si="38"/>
        <v>0</v>
      </c>
      <c r="AX53" s="816">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8"/>
      <c r="C54" s="1179"/>
      <c r="D54" s="2300"/>
      <c r="E54" s="81">
        <f t="shared" si="33"/>
        <v>0</v>
      </c>
      <c r="F54" s="82"/>
      <c r="G54" s="83">
        <f t="shared" si="34"/>
        <v>0</v>
      </c>
      <c r="H54" s="84">
        <f t="shared" si="35"/>
        <v>0</v>
      </c>
      <c r="I54" s="1179"/>
      <c r="J54" s="85"/>
      <c r="K54" s="1179"/>
      <c r="L54" s="85"/>
      <c r="M54" s="85"/>
      <c r="N54" s="85"/>
      <c r="O54" s="85"/>
      <c r="P54" s="85"/>
      <c r="Q54" s="85"/>
      <c r="R54" s="85"/>
      <c r="S54" s="85"/>
      <c r="T54" s="85"/>
      <c r="U54" s="85"/>
      <c r="V54" s="85"/>
      <c r="W54" s="85"/>
      <c r="X54" s="85"/>
      <c r="Y54" s="85"/>
      <c r="Z54" s="85"/>
      <c r="AA54" s="85"/>
      <c r="AB54" s="85"/>
      <c r="AC54" s="81">
        <f t="shared" si="36"/>
        <v>0</v>
      </c>
      <c r="AD54" s="86"/>
      <c r="AE54" s="86"/>
      <c r="AF54" s="1179"/>
      <c r="AG54" s="86"/>
      <c r="AH54" s="86"/>
      <c r="AI54" s="86"/>
      <c r="AJ54" s="86"/>
      <c r="AK54" s="86"/>
      <c r="AL54" s="86"/>
      <c r="AM54" s="86"/>
      <c r="AN54" s="86"/>
      <c r="AO54" s="86"/>
      <c r="AP54" s="86"/>
      <c r="AQ54" s="86"/>
      <c r="AR54" s="86"/>
      <c r="AS54" s="86"/>
      <c r="AT54" s="82"/>
      <c r="AU54" s="87"/>
      <c r="AV54" s="816">
        <f t="shared" si="37"/>
        <v>0</v>
      </c>
      <c r="AW54" s="816">
        <f t="shared" si="38"/>
        <v>0</v>
      </c>
      <c r="AX54" s="816">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8"/>
      <c r="C55" s="1179"/>
      <c r="D55" s="2300"/>
      <c r="E55" s="81">
        <f t="shared" si="33"/>
        <v>0</v>
      </c>
      <c r="F55" s="82"/>
      <c r="G55" s="83">
        <f t="shared" si="34"/>
        <v>0</v>
      </c>
      <c r="H55" s="84">
        <f t="shared" si="35"/>
        <v>0</v>
      </c>
      <c r="I55" s="1179"/>
      <c r="J55" s="85"/>
      <c r="K55" s="1179"/>
      <c r="L55" s="85"/>
      <c r="M55" s="1179"/>
      <c r="N55" s="85"/>
      <c r="O55" s="85"/>
      <c r="P55" s="85"/>
      <c r="Q55" s="85"/>
      <c r="R55" s="85"/>
      <c r="S55" s="85"/>
      <c r="T55" s="85"/>
      <c r="U55" s="85"/>
      <c r="V55" s="85"/>
      <c r="W55" s="85"/>
      <c r="X55" s="85"/>
      <c r="Y55" s="85"/>
      <c r="Z55" s="85"/>
      <c r="AA55" s="85"/>
      <c r="AB55" s="85"/>
      <c r="AC55" s="81">
        <f t="shared" si="36"/>
        <v>0</v>
      </c>
      <c r="AD55" s="86"/>
      <c r="AE55" s="86"/>
      <c r="AF55" s="1179"/>
      <c r="AG55" s="86"/>
      <c r="AH55" s="86"/>
      <c r="AI55" s="86"/>
      <c r="AJ55" s="86"/>
      <c r="AK55" s="86"/>
      <c r="AL55" s="86"/>
      <c r="AM55" s="86"/>
      <c r="AN55" s="86"/>
      <c r="AO55" s="86"/>
      <c r="AP55" s="86"/>
      <c r="AQ55" s="86"/>
      <c r="AR55" s="86"/>
      <c r="AS55" s="86"/>
      <c r="AT55" s="82"/>
      <c r="AU55" s="87"/>
      <c r="AV55" s="816">
        <f t="shared" si="37"/>
        <v>0</v>
      </c>
      <c r="AW55" s="816">
        <f t="shared" si="38"/>
        <v>0</v>
      </c>
      <c r="AX55" s="816">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6">
        <f t="shared" si="37"/>
        <v>0</v>
      </c>
      <c r="AW56" s="816">
        <f t="shared" si="38"/>
        <v>0</v>
      </c>
      <c r="AX56" s="816">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6">
        <f t="shared" si="37"/>
        <v>0</v>
      </c>
      <c r="AW57" s="816">
        <f t="shared" si="38"/>
        <v>0</v>
      </c>
      <c r="AX57" s="816">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6">
        <f t="shared" si="37"/>
        <v>0</v>
      </c>
      <c r="AW58" s="816">
        <f t="shared" si="38"/>
        <v>0</v>
      </c>
      <c r="AX58" s="816">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6">
        <f t="shared" si="37"/>
        <v>0</v>
      </c>
      <c r="AW59" s="816">
        <f t="shared" si="38"/>
        <v>0</v>
      </c>
      <c r="AX59" s="816">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6">
        <f t="shared" si="37"/>
        <v>0</v>
      </c>
      <c r="AW60" s="816">
        <f t="shared" si="38"/>
        <v>0</v>
      </c>
      <c r="AX60" s="816">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6">
        <f t="shared" si="37"/>
        <v>0</v>
      </c>
      <c r="AW61" s="816">
        <f t="shared" si="38"/>
        <v>0</v>
      </c>
      <c r="AX61" s="816">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6">
        <f t="shared" si="37"/>
        <v>0</v>
      </c>
      <c r="AW62" s="816">
        <f t="shared" si="38"/>
        <v>0</v>
      </c>
      <c r="AX62" s="816">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6">
        <f t="shared" si="37"/>
        <v>0</v>
      </c>
      <c r="AW63" s="816">
        <f t="shared" si="38"/>
        <v>0</v>
      </c>
      <c r="AX63" s="816">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6">
        <f t="shared" si="37"/>
        <v>0</v>
      </c>
      <c r="AW64" s="816">
        <f t="shared" si="38"/>
        <v>0</v>
      </c>
      <c r="AX64" s="816">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6">
        <f t="shared" si="37"/>
        <v>0</v>
      </c>
      <c r="AW65" s="816">
        <f t="shared" si="38"/>
        <v>0</v>
      </c>
      <c r="AX65" s="816">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6">
        <f t="shared" si="37"/>
        <v>0</v>
      </c>
      <c r="AW66" s="816">
        <f t="shared" si="38"/>
        <v>0</v>
      </c>
      <c r="AX66" s="816">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6">
        <f t="shared" si="37"/>
        <v>0</v>
      </c>
      <c r="AW67" s="816">
        <f t="shared" si="38"/>
        <v>0</v>
      </c>
      <c r="AX67" s="816">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6">
        <f t="shared" si="37"/>
        <v>0</v>
      </c>
      <c r="AW68" s="816">
        <f t="shared" si="38"/>
        <v>0</v>
      </c>
      <c r="AX68" s="816">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6">
        <f t="shared" si="37"/>
        <v>0</v>
      </c>
      <c r="AW69" s="816">
        <f t="shared" si="38"/>
        <v>0</v>
      </c>
      <c r="AX69" s="816">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6">
        <f t="shared" si="37"/>
        <v>0</v>
      </c>
      <c r="AW70" s="816">
        <f t="shared" si="38"/>
        <v>0</v>
      </c>
      <c r="AX70" s="816">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6">
        <f t="shared" si="37"/>
        <v>0</v>
      </c>
      <c r="AW71" s="816">
        <f t="shared" si="38"/>
        <v>0</v>
      </c>
      <c r="AX71" s="816">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6">
        <f t="shared" si="37"/>
        <v>0</v>
      </c>
      <c r="AW72" s="816">
        <f t="shared" si="38"/>
        <v>0</v>
      </c>
      <c r="AX72" s="816">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6">
        <f t="shared" si="37"/>
        <v>0</v>
      </c>
      <c r="AW73" s="816">
        <f t="shared" si="38"/>
        <v>0</v>
      </c>
      <c r="AX73" s="816">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6">
        <f t="shared" si="37"/>
        <v>0</v>
      </c>
      <c r="AW74" s="816">
        <f t="shared" si="38"/>
        <v>0</v>
      </c>
      <c r="AX74" s="816">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6">
        <f t="shared" si="37"/>
        <v>0</v>
      </c>
      <c r="AW75" s="816">
        <f t="shared" si="38"/>
        <v>0</v>
      </c>
      <c r="AX75" s="816">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6">
        <f t="shared" si="37"/>
        <v>0</v>
      </c>
      <c r="AW76" s="816">
        <f t="shared" si="38"/>
        <v>0</v>
      </c>
      <c r="AX76" s="816">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6">
        <f t="shared" si="37"/>
        <v>0</v>
      </c>
      <c r="AW77" s="816">
        <f t="shared" si="38"/>
        <v>0</v>
      </c>
      <c r="AX77" s="816">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6">
        <f t="shared" si="37"/>
        <v>0</v>
      </c>
      <c r="AW78" s="816">
        <f t="shared" si="38"/>
        <v>0</v>
      </c>
      <c r="AX78" s="816">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6">
        <f t="shared" si="37"/>
        <v>0</v>
      </c>
      <c r="AW79" s="816">
        <f t="shared" si="38"/>
        <v>0</v>
      </c>
      <c r="AX79" s="816">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6">
        <f t="shared" si="37"/>
        <v>0</v>
      </c>
      <c r="AW80" s="816">
        <f t="shared" si="38"/>
        <v>0</v>
      </c>
      <c r="AX80" s="816">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6">
        <f t="shared" si="37"/>
        <v>0</v>
      </c>
      <c r="AW81" s="816">
        <f t="shared" si="38"/>
        <v>0</v>
      </c>
      <c r="AX81" s="816">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6">
        <f t="shared" si="37"/>
        <v>0</v>
      </c>
      <c r="AW82" s="816">
        <f t="shared" si="38"/>
        <v>0</v>
      </c>
      <c r="AX82" s="816">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6">
        <f t="shared" si="37"/>
        <v>0</v>
      </c>
      <c r="AW83" s="816">
        <f t="shared" si="38"/>
        <v>0</v>
      </c>
      <c r="AX83" s="816">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6">
        <f t="shared" si="37"/>
        <v>0</v>
      </c>
      <c r="AW84" s="816">
        <f t="shared" si="38"/>
        <v>0</v>
      </c>
      <c r="AX84" s="816">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6">
        <f t="shared" si="37"/>
        <v>0</v>
      </c>
      <c r="AW85" s="816">
        <f t="shared" si="38"/>
        <v>0</v>
      </c>
      <c r="AX85" s="816">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6">
        <f t="shared" si="37"/>
        <v>0</v>
      </c>
      <c r="AW86" s="816">
        <f t="shared" si="38"/>
        <v>0</v>
      </c>
      <c r="AX86" s="816">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6">
        <f t="shared" si="37"/>
        <v>0</v>
      </c>
      <c r="AW87" s="816">
        <f t="shared" si="38"/>
        <v>0</v>
      </c>
      <c r="AX87" s="816">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6">
        <f t="shared" si="37"/>
        <v>0</v>
      </c>
      <c r="AW88" s="816">
        <f t="shared" si="38"/>
        <v>0</v>
      </c>
      <c r="AX88" s="816">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6">
        <f t="shared" si="37"/>
        <v>0</v>
      </c>
      <c r="AW89" s="816">
        <f t="shared" si="38"/>
        <v>0</v>
      </c>
      <c r="AX89" s="816">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6">
        <f t="shared" si="37"/>
        <v>0</v>
      </c>
      <c r="AW90" s="816">
        <f t="shared" si="38"/>
        <v>0</v>
      </c>
      <c r="AX90" s="816">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6">
        <f t="shared" si="37"/>
        <v>0</v>
      </c>
      <c r="AW91" s="816">
        <f t="shared" si="38"/>
        <v>0</v>
      </c>
      <c r="AX91" s="816">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6">
        <f t="shared" si="37"/>
        <v>0</v>
      </c>
      <c r="AW92" s="816">
        <f t="shared" si="38"/>
        <v>0</v>
      </c>
      <c r="AX92" s="816">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6">
        <f t="shared" si="37"/>
        <v>0</v>
      </c>
      <c r="AW93" s="816">
        <f t="shared" si="38"/>
        <v>0</v>
      </c>
      <c r="AX93" s="816">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6">
        <f t="shared" si="37"/>
        <v>0</v>
      </c>
      <c r="AW94" s="816">
        <f t="shared" si="38"/>
        <v>0</v>
      </c>
      <c r="AX94" s="816">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6">
        <f t="shared" si="37"/>
        <v>0</v>
      </c>
      <c r="AW95" s="816">
        <f t="shared" si="38"/>
        <v>0</v>
      </c>
      <c r="AX95" s="816">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6">
        <f t="shared" si="37"/>
        <v>0</v>
      </c>
      <c r="AW96" s="816">
        <f t="shared" si="38"/>
        <v>0</v>
      </c>
      <c r="AX96" s="816">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6">
        <f t="shared" si="37"/>
        <v>0</v>
      </c>
      <c r="AW97" s="816">
        <f t="shared" si="38"/>
        <v>0</v>
      </c>
      <c r="AX97" s="816">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6">
        <f t="shared" si="37"/>
        <v>0</v>
      </c>
      <c r="AW98" s="816">
        <f t="shared" si="38"/>
        <v>0</v>
      </c>
      <c r="AX98" s="816">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6">
        <f t="shared" si="37"/>
        <v>0</v>
      </c>
      <c r="AW99" s="816">
        <f t="shared" si="38"/>
        <v>0</v>
      </c>
      <c r="AX99" s="816">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6">
        <f t="shared" si="37"/>
        <v>0</v>
      </c>
      <c r="AW100" s="816">
        <f t="shared" si="38"/>
        <v>0</v>
      </c>
      <c r="AX100" s="816">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6">
        <f t="shared" si="37"/>
        <v>0</v>
      </c>
      <c r="AW101" s="816">
        <f t="shared" si="38"/>
        <v>0</v>
      </c>
      <c r="AX101" s="816">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6">
        <f t="shared" si="37"/>
        <v>0</v>
      </c>
      <c r="AW102" s="816">
        <f t="shared" si="38"/>
        <v>0</v>
      </c>
      <c r="AX102" s="816">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6">
        <f t="shared" si="37"/>
        <v>0</v>
      </c>
      <c r="AW103" s="816">
        <f t="shared" si="38"/>
        <v>0</v>
      </c>
      <c r="AX103" s="816">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6">
        <f t="shared" si="37"/>
        <v>0</v>
      </c>
      <c r="AW104" s="816">
        <f t="shared" si="38"/>
        <v>0</v>
      </c>
      <c r="AX104" s="816">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6">
        <f t="shared" si="37"/>
        <v>0</v>
      </c>
      <c r="AW105" s="816">
        <f t="shared" si="38"/>
        <v>0</v>
      </c>
      <c r="AX105" s="816">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6">
        <f t="shared" si="37"/>
        <v>0</v>
      </c>
      <c r="AW106" s="816">
        <f t="shared" si="38"/>
        <v>0</v>
      </c>
      <c r="AX106" s="816">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6">
        <f t="shared" si="37"/>
        <v>0</v>
      </c>
      <c r="AW107" s="816">
        <f t="shared" si="38"/>
        <v>0</v>
      </c>
      <c r="AX107" s="816">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6">
        <f t="shared" si="37"/>
        <v>0</v>
      </c>
      <c r="AW108" s="816">
        <f t="shared" si="38"/>
        <v>0</v>
      </c>
      <c r="AX108" s="816">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6">
        <f t="shared" si="37"/>
        <v>0</v>
      </c>
      <c r="AW109" s="816">
        <f t="shared" si="38"/>
        <v>0</v>
      </c>
      <c r="AX109" s="816">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6">
        <f t="shared" si="37"/>
        <v>0</v>
      </c>
      <c r="AW110" s="816">
        <f t="shared" si="38"/>
        <v>0</v>
      </c>
      <c r="AX110" s="816">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6">
        <f t="shared" si="37"/>
        <v>0</v>
      </c>
      <c r="AW111" s="816">
        <f t="shared" si="38"/>
        <v>0</v>
      </c>
      <c r="AX111" s="816">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6">
        <f t="shared" si="37"/>
        <v>0</v>
      </c>
      <c r="AW112" s="816">
        <f t="shared" si="38"/>
        <v>0</v>
      </c>
      <c r="AX112" s="816">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8"/>
      <c r="C113" s="1179"/>
      <c r="D113" s="2300"/>
      <c r="E113" s="81">
        <f t="shared" ref="E113:E144" si="87">IF($C$3="是",ROUND($A$3*G113/$B$3,2),ROUND($A$3*(G113-AT113)/$B$3,2))</f>
        <v>0</v>
      </c>
      <c r="F113" s="82"/>
      <c r="G113" s="83">
        <f t="shared" si="62"/>
        <v>0</v>
      </c>
      <c r="H113" s="84">
        <f t="shared" si="63"/>
        <v>0</v>
      </c>
      <c r="I113" s="1179"/>
      <c r="J113" s="85"/>
      <c r="K113" s="1179"/>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0"/>
      <c r="AG113" s="86"/>
      <c r="AH113" s="86"/>
      <c r="AI113" s="86"/>
      <c r="AJ113" s="86"/>
      <c r="AK113" s="86"/>
      <c r="AL113" s="86"/>
      <c r="AM113" s="86"/>
      <c r="AN113" s="1156"/>
      <c r="AO113" s="86"/>
      <c r="AP113" s="86"/>
      <c r="AQ113" s="86"/>
      <c r="AR113" s="86"/>
      <c r="AS113" s="86"/>
      <c r="AT113" s="82"/>
      <c r="AU113" s="87"/>
      <c r="AV113" s="816">
        <f t="shared" ref="AV113:AV144" si="88">A113</f>
        <v>0</v>
      </c>
      <c r="AW113" s="816">
        <f t="shared" ref="AW113:AW144" si="89">B113</f>
        <v>0</v>
      </c>
      <c r="AX113" s="816">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8"/>
      <c r="C114" s="1179"/>
      <c r="D114" s="2300"/>
      <c r="E114" s="81">
        <f t="shared" si="87"/>
        <v>0</v>
      </c>
      <c r="F114" s="82"/>
      <c r="G114" s="83">
        <f t="shared" si="62"/>
        <v>0</v>
      </c>
      <c r="H114" s="84">
        <f t="shared" si="63"/>
        <v>0</v>
      </c>
      <c r="I114" s="1179"/>
      <c r="J114" s="85"/>
      <c r="K114" s="1179"/>
      <c r="L114" s="85"/>
      <c r="M114" s="1156"/>
      <c r="N114" s="85"/>
      <c r="O114" s="85"/>
      <c r="P114" s="85"/>
      <c r="Q114" s="85"/>
      <c r="R114" s="85"/>
      <c r="S114" s="85"/>
      <c r="T114" s="85"/>
      <c r="U114" s="85"/>
      <c r="V114" s="85"/>
      <c r="W114" s="85"/>
      <c r="X114" s="85"/>
      <c r="Y114" s="85"/>
      <c r="Z114" s="85"/>
      <c r="AA114" s="85"/>
      <c r="AB114" s="85"/>
      <c r="AC114" s="81">
        <f t="shared" si="64"/>
        <v>0</v>
      </c>
      <c r="AD114" s="1156"/>
      <c r="AE114" s="86"/>
      <c r="AF114" s="1180"/>
      <c r="AG114" s="86"/>
      <c r="AH114" s="86"/>
      <c r="AI114" s="86"/>
      <c r="AJ114" s="86"/>
      <c r="AK114" s="86"/>
      <c r="AL114" s="1156"/>
      <c r="AM114" s="86"/>
      <c r="AN114" s="1156"/>
      <c r="AO114" s="86"/>
      <c r="AP114" s="86"/>
      <c r="AQ114" s="86"/>
      <c r="AR114" s="86"/>
      <c r="AS114" s="86"/>
      <c r="AT114" s="82"/>
      <c r="AU114" s="87"/>
      <c r="AV114" s="816">
        <f t="shared" si="88"/>
        <v>0</v>
      </c>
      <c r="AW114" s="816">
        <f t="shared" si="89"/>
        <v>0</v>
      </c>
      <c r="AX114" s="816">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8"/>
      <c r="C115" s="1179"/>
      <c r="D115" s="2300"/>
      <c r="E115" s="81">
        <f t="shared" si="87"/>
        <v>0</v>
      </c>
      <c r="F115" s="82"/>
      <c r="G115" s="83">
        <f t="shared" si="62"/>
        <v>0</v>
      </c>
      <c r="H115" s="84">
        <f t="shared" si="63"/>
        <v>0</v>
      </c>
      <c r="I115" s="1179"/>
      <c r="J115" s="85"/>
      <c r="K115" s="1179"/>
      <c r="L115" s="85"/>
      <c r="M115" s="1156"/>
      <c r="N115" s="85"/>
      <c r="O115" s="85"/>
      <c r="P115" s="85"/>
      <c r="Q115" s="85"/>
      <c r="R115" s="85"/>
      <c r="S115" s="85"/>
      <c r="T115" s="85"/>
      <c r="U115" s="85"/>
      <c r="V115" s="85"/>
      <c r="W115" s="85"/>
      <c r="X115" s="85"/>
      <c r="Y115" s="85"/>
      <c r="Z115" s="85"/>
      <c r="AA115" s="85"/>
      <c r="AB115" s="85"/>
      <c r="AC115" s="81">
        <f t="shared" si="64"/>
        <v>0</v>
      </c>
      <c r="AD115" s="86"/>
      <c r="AE115" s="86"/>
      <c r="AF115" s="1180"/>
      <c r="AG115" s="86"/>
      <c r="AH115" s="86"/>
      <c r="AI115" s="86"/>
      <c r="AJ115" s="86"/>
      <c r="AK115" s="86"/>
      <c r="AL115" s="1156"/>
      <c r="AM115" s="86"/>
      <c r="AN115" s="1156"/>
      <c r="AO115" s="86"/>
      <c r="AP115" s="86"/>
      <c r="AQ115" s="86"/>
      <c r="AR115" s="86"/>
      <c r="AS115" s="86"/>
      <c r="AT115" s="82"/>
      <c r="AU115" s="87"/>
      <c r="AV115" s="816">
        <f t="shared" si="88"/>
        <v>0</v>
      </c>
      <c r="AW115" s="816">
        <f t="shared" si="89"/>
        <v>0</v>
      </c>
      <c r="AX115" s="816">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8"/>
      <c r="C116" s="1179"/>
      <c r="D116" s="2300"/>
      <c r="E116" s="81">
        <f t="shared" si="87"/>
        <v>0</v>
      </c>
      <c r="F116" s="82"/>
      <c r="G116" s="83">
        <f t="shared" si="62"/>
        <v>0</v>
      </c>
      <c r="H116" s="84">
        <f t="shared" si="63"/>
        <v>0</v>
      </c>
      <c r="I116" s="1179"/>
      <c r="J116" s="85"/>
      <c r="K116" s="1179"/>
      <c r="L116" s="85"/>
      <c r="M116" s="85"/>
      <c r="N116" s="85"/>
      <c r="O116" s="1156"/>
      <c r="P116" s="85"/>
      <c r="Q116" s="85"/>
      <c r="R116" s="85"/>
      <c r="S116" s="85"/>
      <c r="T116" s="85"/>
      <c r="U116" s="85"/>
      <c r="V116" s="85"/>
      <c r="W116" s="85"/>
      <c r="X116" s="85"/>
      <c r="Y116" s="85"/>
      <c r="Z116" s="85"/>
      <c r="AA116" s="85"/>
      <c r="AB116" s="85"/>
      <c r="AC116" s="81">
        <f t="shared" si="64"/>
        <v>0</v>
      </c>
      <c r="AD116" s="86"/>
      <c r="AE116" s="86"/>
      <c r="AF116" s="1180"/>
      <c r="AG116" s="86"/>
      <c r="AH116" s="86"/>
      <c r="AI116" s="86"/>
      <c r="AJ116" s="86"/>
      <c r="AK116" s="86"/>
      <c r="AL116" s="86"/>
      <c r="AM116" s="86"/>
      <c r="AN116" s="1156"/>
      <c r="AO116" s="86"/>
      <c r="AP116" s="86"/>
      <c r="AQ116" s="86"/>
      <c r="AR116" s="86"/>
      <c r="AS116" s="86"/>
      <c r="AT116" s="82"/>
      <c r="AU116" s="87"/>
      <c r="AV116" s="816">
        <f t="shared" si="88"/>
        <v>0</v>
      </c>
      <c r="AW116" s="816">
        <f t="shared" si="89"/>
        <v>0</v>
      </c>
      <c r="AX116" s="816">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8"/>
      <c r="C117" s="1179"/>
      <c r="D117" s="2300"/>
      <c r="E117" s="81">
        <f t="shared" si="87"/>
        <v>0</v>
      </c>
      <c r="F117" s="82"/>
      <c r="G117" s="83">
        <f t="shared" si="62"/>
        <v>0</v>
      </c>
      <c r="H117" s="84">
        <f t="shared" si="63"/>
        <v>0</v>
      </c>
      <c r="I117" s="1179"/>
      <c r="J117" s="85"/>
      <c r="K117" s="1179"/>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0"/>
      <c r="AG117" s="86"/>
      <c r="AH117" s="86"/>
      <c r="AI117" s="86"/>
      <c r="AJ117" s="86"/>
      <c r="AK117" s="86"/>
      <c r="AL117" s="86"/>
      <c r="AM117" s="86"/>
      <c r="AN117" s="86"/>
      <c r="AO117" s="86"/>
      <c r="AP117" s="86"/>
      <c r="AQ117" s="86"/>
      <c r="AR117" s="86"/>
      <c r="AS117" s="86"/>
      <c r="AT117" s="82"/>
      <c r="AU117" s="87"/>
      <c r="AV117" s="816">
        <f t="shared" si="88"/>
        <v>0</v>
      </c>
      <c r="AW117" s="816">
        <f t="shared" si="89"/>
        <v>0</v>
      </c>
      <c r="AX117" s="816">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8"/>
      <c r="C118" s="1179"/>
      <c r="D118" s="2300"/>
      <c r="E118" s="81">
        <f t="shared" si="87"/>
        <v>0</v>
      </c>
      <c r="F118" s="82"/>
      <c r="G118" s="83">
        <f t="shared" si="62"/>
        <v>0</v>
      </c>
      <c r="H118" s="84">
        <f t="shared" si="63"/>
        <v>0</v>
      </c>
      <c r="I118" s="1179"/>
      <c r="J118" s="85"/>
      <c r="K118" s="1179"/>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0"/>
      <c r="AG118" s="86"/>
      <c r="AH118" s="86"/>
      <c r="AI118" s="86"/>
      <c r="AJ118" s="86"/>
      <c r="AK118" s="86"/>
      <c r="AL118" s="86"/>
      <c r="AM118" s="86"/>
      <c r="AN118" s="86"/>
      <c r="AO118" s="86"/>
      <c r="AP118" s="86"/>
      <c r="AQ118" s="86"/>
      <c r="AR118" s="86"/>
      <c r="AS118" s="86"/>
      <c r="AT118" s="82"/>
      <c r="AU118" s="87"/>
      <c r="AV118" s="816">
        <f t="shared" si="88"/>
        <v>0</v>
      </c>
      <c r="AW118" s="816">
        <f t="shared" si="89"/>
        <v>0</v>
      </c>
      <c r="AX118" s="816">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8"/>
      <c r="C119" s="1179"/>
      <c r="D119" s="2300"/>
      <c r="E119" s="81">
        <f t="shared" si="87"/>
        <v>0</v>
      </c>
      <c r="F119" s="82"/>
      <c r="G119" s="83">
        <f t="shared" si="62"/>
        <v>0</v>
      </c>
      <c r="H119" s="84">
        <f t="shared" si="63"/>
        <v>0</v>
      </c>
      <c r="I119" s="1179"/>
      <c r="J119" s="85"/>
      <c r="K119" s="1179"/>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0"/>
      <c r="AG119" s="86"/>
      <c r="AH119" s="86"/>
      <c r="AI119" s="86"/>
      <c r="AJ119" s="86"/>
      <c r="AK119" s="86"/>
      <c r="AL119" s="86"/>
      <c r="AM119" s="86"/>
      <c r="AN119" s="86"/>
      <c r="AO119" s="86"/>
      <c r="AP119" s="86"/>
      <c r="AQ119" s="86"/>
      <c r="AR119" s="86"/>
      <c r="AS119" s="86"/>
      <c r="AT119" s="82"/>
      <c r="AU119" s="87"/>
      <c r="AV119" s="816">
        <f t="shared" si="88"/>
        <v>0</v>
      </c>
      <c r="AW119" s="816">
        <f t="shared" si="89"/>
        <v>0</v>
      </c>
      <c r="AX119" s="816">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8"/>
      <c r="C120" s="1179"/>
      <c r="D120" s="2300"/>
      <c r="E120" s="81">
        <f t="shared" si="87"/>
        <v>0</v>
      </c>
      <c r="F120" s="82"/>
      <c r="G120" s="83">
        <f t="shared" si="62"/>
        <v>0</v>
      </c>
      <c r="H120" s="84">
        <f t="shared" si="63"/>
        <v>0</v>
      </c>
      <c r="I120" s="1179"/>
      <c r="J120" s="85"/>
      <c r="K120" s="1179"/>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9"/>
      <c r="AG120" s="86"/>
      <c r="AH120" s="86"/>
      <c r="AI120" s="86"/>
      <c r="AJ120" s="86"/>
      <c r="AK120" s="86"/>
      <c r="AL120" s="86"/>
      <c r="AM120" s="86"/>
      <c r="AN120" s="86"/>
      <c r="AO120" s="86"/>
      <c r="AP120" s="86"/>
      <c r="AQ120" s="86"/>
      <c r="AR120" s="86"/>
      <c r="AS120" s="86"/>
      <c r="AT120" s="82"/>
      <c r="AU120" s="87"/>
      <c r="AV120" s="816">
        <f t="shared" si="88"/>
        <v>0</v>
      </c>
      <c r="AW120" s="816">
        <f t="shared" si="89"/>
        <v>0</v>
      </c>
      <c r="AX120" s="816">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8"/>
      <c r="C121" s="1179"/>
      <c r="D121" s="2300"/>
      <c r="E121" s="81">
        <f t="shared" si="87"/>
        <v>0</v>
      </c>
      <c r="F121" s="82"/>
      <c r="G121" s="83">
        <f t="shared" si="62"/>
        <v>0</v>
      </c>
      <c r="H121" s="84">
        <f t="shared" si="63"/>
        <v>0</v>
      </c>
      <c r="I121" s="1179"/>
      <c r="J121" s="85"/>
      <c r="K121" s="1179"/>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9"/>
      <c r="AG121" s="86"/>
      <c r="AH121" s="86"/>
      <c r="AI121" s="86"/>
      <c r="AJ121" s="86"/>
      <c r="AK121" s="86"/>
      <c r="AL121" s="86"/>
      <c r="AM121" s="86"/>
      <c r="AN121" s="86"/>
      <c r="AO121" s="86"/>
      <c r="AP121" s="86"/>
      <c r="AQ121" s="86"/>
      <c r="AR121" s="86"/>
      <c r="AS121" s="86"/>
      <c r="AT121" s="82"/>
      <c r="AU121" s="87"/>
      <c r="AV121" s="816">
        <f t="shared" si="88"/>
        <v>0</v>
      </c>
      <c r="AW121" s="816">
        <f t="shared" si="89"/>
        <v>0</v>
      </c>
      <c r="AX121" s="816">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8"/>
      <c r="C122" s="1179"/>
      <c r="D122" s="2300"/>
      <c r="E122" s="81">
        <f t="shared" si="87"/>
        <v>0</v>
      </c>
      <c r="F122" s="82"/>
      <c r="G122" s="83">
        <f t="shared" si="62"/>
        <v>0</v>
      </c>
      <c r="H122" s="84">
        <f t="shared" si="63"/>
        <v>0</v>
      </c>
      <c r="I122" s="1179"/>
      <c r="J122" s="85"/>
      <c r="K122" s="1179"/>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9"/>
      <c r="AG122" s="86"/>
      <c r="AH122" s="86"/>
      <c r="AI122" s="86"/>
      <c r="AJ122" s="86"/>
      <c r="AK122" s="86"/>
      <c r="AL122" s="86"/>
      <c r="AM122" s="86"/>
      <c r="AN122" s="86"/>
      <c r="AO122" s="86"/>
      <c r="AP122" s="86"/>
      <c r="AQ122" s="86"/>
      <c r="AR122" s="86"/>
      <c r="AS122" s="86"/>
      <c r="AT122" s="82"/>
      <c r="AU122" s="87"/>
      <c r="AV122" s="816">
        <f t="shared" si="88"/>
        <v>0</v>
      </c>
      <c r="AW122" s="816">
        <f t="shared" si="89"/>
        <v>0</v>
      </c>
      <c r="AX122" s="816">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8"/>
      <c r="C123" s="1179"/>
      <c r="D123" s="2300"/>
      <c r="E123" s="81">
        <f t="shared" si="87"/>
        <v>0</v>
      </c>
      <c r="F123" s="82"/>
      <c r="G123" s="83">
        <f t="shared" si="62"/>
        <v>0</v>
      </c>
      <c r="H123" s="84">
        <f t="shared" si="63"/>
        <v>0</v>
      </c>
      <c r="I123" s="1179"/>
      <c r="J123" s="85"/>
      <c r="K123" s="1179"/>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9"/>
      <c r="AG123" s="86"/>
      <c r="AH123" s="86"/>
      <c r="AI123" s="86"/>
      <c r="AJ123" s="86"/>
      <c r="AK123" s="86"/>
      <c r="AL123" s="86"/>
      <c r="AM123" s="86"/>
      <c r="AN123" s="86"/>
      <c r="AO123" s="86"/>
      <c r="AP123" s="86"/>
      <c r="AQ123" s="86"/>
      <c r="AR123" s="86"/>
      <c r="AS123" s="86"/>
      <c r="AT123" s="82"/>
      <c r="AU123" s="87"/>
      <c r="AV123" s="816">
        <f t="shared" si="88"/>
        <v>0</v>
      </c>
      <c r="AW123" s="816">
        <f t="shared" si="89"/>
        <v>0</v>
      </c>
      <c r="AX123" s="816">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8"/>
      <c r="C124" s="1179"/>
      <c r="D124" s="2300"/>
      <c r="E124" s="81">
        <f t="shared" si="87"/>
        <v>0</v>
      </c>
      <c r="F124" s="82"/>
      <c r="G124" s="83">
        <f t="shared" si="62"/>
        <v>0</v>
      </c>
      <c r="H124" s="84">
        <f t="shared" si="63"/>
        <v>0</v>
      </c>
      <c r="I124" s="1179"/>
      <c r="J124" s="85"/>
      <c r="K124" s="1179"/>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9"/>
      <c r="AG124" s="86"/>
      <c r="AH124" s="86"/>
      <c r="AI124" s="86"/>
      <c r="AJ124" s="86"/>
      <c r="AK124" s="86"/>
      <c r="AL124" s="86"/>
      <c r="AM124" s="86"/>
      <c r="AN124" s="86"/>
      <c r="AO124" s="86"/>
      <c r="AP124" s="86"/>
      <c r="AQ124" s="86"/>
      <c r="AR124" s="86"/>
      <c r="AS124" s="86"/>
      <c r="AT124" s="82"/>
      <c r="AU124" s="87"/>
      <c r="AV124" s="816">
        <f t="shared" si="88"/>
        <v>0</v>
      </c>
      <c r="AW124" s="816">
        <f t="shared" si="89"/>
        <v>0</v>
      </c>
      <c r="AX124" s="816">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8"/>
      <c r="C125" s="1179"/>
      <c r="D125" s="2300"/>
      <c r="E125" s="81">
        <f t="shared" si="87"/>
        <v>0</v>
      </c>
      <c r="F125" s="82"/>
      <c r="G125" s="83">
        <f t="shared" si="62"/>
        <v>0</v>
      </c>
      <c r="H125" s="84">
        <f t="shared" si="63"/>
        <v>0</v>
      </c>
      <c r="I125" s="1179"/>
      <c r="J125" s="85"/>
      <c r="K125" s="1179"/>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9"/>
      <c r="AG125" s="86"/>
      <c r="AH125" s="86"/>
      <c r="AI125" s="86"/>
      <c r="AJ125" s="86"/>
      <c r="AK125" s="86"/>
      <c r="AL125" s="86"/>
      <c r="AM125" s="86"/>
      <c r="AN125" s="86"/>
      <c r="AO125" s="86"/>
      <c r="AP125" s="86"/>
      <c r="AQ125" s="86"/>
      <c r="AR125" s="86"/>
      <c r="AS125" s="86"/>
      <c r="AT125" s="82"/>
      <c r="AU125" s="87"/>
      <c r="AV125" s="816">
        <f t="shared" si="88"/>
        <v>0</v>
      </c>
      <c r="AW125" s="816">
        <f t="shared" si="89"/>
        <v>0</v>
      </c>
      <c r="AX125" s="816">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8"/>
      <c r="C126" s="1179"/>
      <c r="D126" s="2300"/>
      <c r="E126" s="81">
        <f t="shared" si="87"/>
        <v>0</v>
      </c>
      <c r="F126" s="82"/>
      <c r="G126" s="83">
        <f t="shared" si="62"/>
        <v>0</v>
      </c>
      <c r="H126" s="84">
        <f t="shared" si="63"/>
        <v>0</v>
      </c>
      <c r="I126" s="1179"/>
      <c r="J126" s="85"/>
      <c r="K126" s="1179"/>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9"/>
      <c r="AG126" s="86"/>
      <c r="AH126" s="86"/>
      <c r="AI126" s="86"/>
      <c r="AJ126" s="86"/>
      <c r="AK126" s="86"/>
      <c r="AL126" s="86"/>
      <c r="AM126" s="86"/>
      <c r="AN126" s="86"/>
      <c r="AO126" s="86"/>
      <c r="AP126" s="86"/>
      <c r="AQ126" s="86"/>
      <c r="AR126" s="86"/>
      <c r="AS126" s="86"/>
      <c r="AT126" s="82"/>
      <c r="AU126" s="87"/>
      <c r="AV126" s="816">
        <f t="shared" si="88"/>
        <v>0</v>
      </c>
      <c r="AW126" s="816">
        <f t="shared" si="89"/>
        <v>0</v>
      </c>
      <c r="AX126" s="816">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8"/>
      <c r="C127" s="1179"/>
      <c r="D127" s="2300"/>
      <c r="E127" s="81">
        <f t="shared" si="87"/>
        <v>0</v>
      </c>
      <c r="F127" s="82"/>
      <c r="G127" s="83">
        <f t="shared" si="62"/>
        <v>0</v>
      </c>
      <c r="H127" s="84">
        <f t="shared" si="63"/>
        <v>0</v>
      </c>
      <c r="I127" s="1179"/>
      <c r="J127" s="85"/>
      <c r="K127" s="1179"/>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9"/>
      <c r="AG127" s="86"/>
      <c r="AH127" s="86"/>
      <c r="AI127" s="86"/>
      <c r="AJ127" s="86"/>
      <c r="AK127" s="86"/>
      <c r="AL127" s="86"/>
      <c r="AM127" s="86"/>
      <c r="AN127" s="86"/>
      <c r="AO127" s="86"/>
      <c r="AP127" s="86"/>
      <c r="AQ127" s="86"/>
      <c r="AR127" s="86"/>
      <c r="AS127" s="86"/>
      <c r="AT127" s="82"/>
      <c r="AU127" s="87"/>
      <c r="AV127" s="816">
        <f t="shared" si="88"/>
        <v>0</v>
      </c>
      <c r="AW127" s="816">
        <f t="shared" si="89"/>
        <v>0</v>
      </c>
      <c r="AX127" s="816">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8"/>
      <c r="C128" s="1179"/>
      <c r="D128" s="2300"/>
      <c r="E128" s="81">
        <f t="shared" si="87"/>
        <v>0</v>
      </c>
      <c r="F128" s="82"/>
      <c r="G128" s="83">
        <f t="shared" si="62"/>
        <v>0</v>
      </c>
      <c r="H128" s="84">
        <f t="shared" si="63"/>
        <v>0</v>
      </c>
      <c r="I128" s="1179"/>
      <c r="J128" s="85"/>
      <c r="K128" s="1179"/>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9"/>
      <c r="AG128" s="86"/>
      <c r="AH128" s="86"/>
      <c r="AI128" s="86"/>
      <c r="AJ128" s="86"/>
      <c r="AK128" s="86"/>
      <c r="AL128" s="86"/>
      <c r="AM128" s="86"/>
      <c r="AN128" s="86"/>
      <c r="AO128" s="86"/>
      <c r="AP128" s="86"/>
      <c r="AQ128" s="86"/>
      <c r="AR128" s="86"/>
      <c r="AS128" s="86"/>
      <c r="AT128" s="82"/>
      <c r="AU128" s="87"/>
      <c r="AV128" s="816">
        <f t="shared" si="88"/>
        <v>0</v>
      </c>
      <c r="AW128" s="816">
        <f t="shared" si="89"/>
        <v>0</v>
      </c>
      <c r="AX128" s="816">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8"/>
      <c r="C129" s="1179"/>
      <c r="D129" s="2300"/>
      <c r="E129" s="81">
        <f t="shared" si="87"/>
        <v>0</v>
      </c>
      <c r="F129" s="82"/>
      <c r="G129" s="83">
        <f t="shared" si="62"/>
        <v>0</v>
      </c>
      <c r="H129" s="84">
        <f t="shared" si="63"/>
        <v>0</v>
      </c>
      <c r="I129" s="1179"/>
      <c r="J129" s="85"/>
      <c r="K129" s="1179"/>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9"/>
      <c r="AG129" s="86"/>
      <c r="AH129" s="86"/>
      <c r="AI129" s="86"/>
      <c r="AJ129" s="86"/>
      <c r="AK129" s="86"/>
      <c r="AL129" s="86"/>
      <c r="AM129" s="86"/>
      <c r="AN129" s="86"/>
      <c r="AO129" s="86"/>
      <c r="AP129" s="86"/>
      <c r="AQ129" s="86"/>
      <c r="AR129" s="86"/>
      <c r="AS129" s="86"/>
      <c r="AT129" s="82"/>
      <c r="AU129" s="87"/>
      <c r="AV129" s="816">
        <f t="shared" si="88"/>
        <v>0</v>
      </c>
      <c r="AW129" s="816">
        <f t="shared" si="89"/>
        <v>0</v>
      </c>
      <c r="AX129" s="816">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8"/>
      <c r="C130" s="1179"/>
      <c r="D130" s="2300"/>
      <c r="E130" s="81">
        <f t="shared" si="87"/>
        <v>0</v>
      </c>
      <c r="F130" s="82"/>
      <c r="G130" s="83">
        <f t="shared" si="62"/>
        <v>0</v>
      </c>
      <c r="H130" s="84">
        <f t="shared" si="63"/>
        <v>0</v>
      </c>
      <c r="I130" s="1179"/>
      <c r="J130" s="85"/>
      <c r="K130" s="1179"/>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9"/>
      <c r="AG130" s="86"/>
      <c r="AH130" s="86"/>
      <c r="AI130" s="86"/>
      <c r="AJ130" s="86"/>
      <c r="AK130" s="86"/>
      <c r="AL130" s="86"/>
      <c r="AM130" s="86"/>
      <c r="AN130" s="86"/>
      <c r="AO130" s="86"/>
      <c r="AP130" s="86"/>
      <c r="AQ130" s="86"/>
      <c r="AR130" s="86"/>
      <c r="AS130" s="86"/>
      <c r="AT130" s="82"/>
      <c r="AU130" s="87"/>
      <c r="AV130" s="816">
        <f t="shared" si="88"/>
        <v>0</v>
      </c>
      <c r="AW130" s="816">
        <f t="shared" si="89"/>
        <v>0</v>
      </c>
      <c r="AX130" s="816">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8"/>
      <c r="C131" s="1179"/>
      <c r="D131" s="2300"/>
      <c r="E131" s="81">
        <f t="shared" si="87"/>
        <v>0</v>
      </c>
      <c r="F131" s="82"/>
      <c r="G131" s="83">
        <f t="shared" si="62"/>
        <v>0</v>
      </c>
      <c r="H131" s="84">
        <f t="shared" si="63"/>
        <v>0</v>
      </c>
      <c r="I131" s="1179"/>
      <c r="J131" s="85"/>
      <c r="K131" s="1179"/>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9"/>
      <c r="AG131" s="86"/>
      <c r="AH131" s="86"/>
      <c r="AI131" s="86"/>
      <c r="AJ131" s="86"/>
      <c r="AK131" s="86"/>
      <c r="AL131" s="86"/>
      <c r="AM131" s="86"/>
      <c r="AN131" s="86"/>
      <c r="AO131" s="86"/>
      <c r="AP131" s="86"/>
      <c r="AQ131" s="86"/>
      <c r="AR131" s="86"/>
      <c r="AS131" s="86"/>
      <c r="AT131" s="82"/>
      <c r="AU131" s="87"/>
      <c r="AV131" s="816">
        <f t="shared" si="88"/>
        <v>0</v>
      </c>
      <c r="AW131" s="816">
        <f t="shared" si="89"/>
        <v>0</v>
      </c>
      <c r="AX131" s="816">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8"/>
      <c r="C132" s="1179"/>
      <c r="D132" s="2300"/>
      <c r="E132" s="81">
        <f t="shared" si="87"/>
        <v>0</v>
      </c>
      <c r="F132" s="82"/>
      <c r="G132" s="83">
        <f t="shared" si="62"/>
        <v>0</v>
      </c>
      <c r="H132" s="84">
        <f t="shared" si="63"/>
        <v>0</v>
      </c>
      <c r="I132" s="1179"/>
      <c r="J132" s="85"/>
      <c r="K132" s="1179"/>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9"/>
      <c r="AG132" s="86"/>
      <c r="AH132" s="86"/>
      <c r="AI132" s="86"/>
      <c r="AJ132" s="86"/>
      <c r="AK132" s="86"/>
      <c r="AL132" s="86"/>
      <c r="AM132" s="86"/>
      <c r="AN132" s="86"/>
      <c r="AO132" s="86"/>
      <c r="AP132" s="86"/>
      <c r="AQ132" s="86"/>
      <c r="AR132" s="86"/>
      <c r="AS132" s="86"/>
      <c r="AT132" s="82"/>
      <c r="AU132" s="87"/>
      <c r="AV132" s="816">
        <f t="shared" si="88"/>
        <v>0</v>
      </c>
      <c r="AW132" s="816">
        <f t="shared" si="89"/>
        <v>0</v>
      </c>
      <c r="AX132" s="816">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8"/>
      <c r="C133" s="1179"/>
      <c r="D133" s="2300"/>
      <c r="E133" s="81">
        <f t="shared" si="87"/>
        <v>0</v>
      </c>
      <c r="F133" s="82"/>
      <c r="G133" s="83">
        <f t="shared" si="62"/>
        <v>0</v>
      </c>
      <c r="H133" s="84">
        <f t="shared" si="63"/>
        <v>0</v>
      </c>
      <c r="I133" s="1179"/>
      <c r="J133" s="85"/>
      <c r="K133" s="1179"/>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9"/>
      <c r="AG133" s="86"/>
      <c r="AH133" s="86"/>
      <c r="AI133" s="86"/>
      <c r="AJ133" s="86"/>
      <c r="AK133" s="86"/>
      <c r="AL133" s="86"/>
      <c r="AM133" s="86"/>
      <c r="AN133" s="86"/>
      <c r="AO133" s="86"/>
      <c r="AP133" s="86"/>
      <c r="AQ133" s="86"/>
      <c r="AR133" s="86"/>
      <c r="AS133" s="86"/>
      <c r="AT133" s="82"/>
      <c r="AU133" s="87"/>
      <c r="AV133" s="816">
        <f t="shared" si="88"/>
        <v>0</v>
      </c>
      <c r="AW133" s="816">
        <f t="shared" si="89"/>
        <v>0</v>
      </c>
      <c r="AX133" s="816">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8"/>
      <c r="C134" s="1179"/>
      <c r="D134" s="2300"/>
      <c r="E134" s="81">
        <f t="shared" si="87"/>
        <v>0</v>
      </c>
      <c r="F134" s="82"/>
      <c r="G134" s="83">
        <f t="shared" si="62"/>
        <v>0</v>
      </c>
      <c r="H134" s="84">
        <f t="shared" si="63"/>
        <v>0</v>
      </c>
      <c r="I134" s="1179"/>
      <c r="J134" s="85"/>
      <c r="K134" s="1179"/>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9"/>
      <c r="AG134" s="86"/>
      <c r="AH134" s="86"/>
      <c r="AI134" s="86"/>
      <c r="AJ134" s="86"/>
      <c r="AK134" s="86"/>
      <c r="AL134" s="86"/>
      <c r="AM134" s="86"/>
      <c r="AN134" s="86"/>
      <c r="AO134" s="86"/>
      <c r="AP134" s="86"/>
      <c r="AQ134" s="86"/>
      <c r="AR134" s="86"/>
      <c r="AS134" s="86"/>
      <c r="AT134" s="82"/>
      <c r="AU134" s="87"/>
      <c r="AV134" s="816">
        <f t="shared" si="88"/>
        <v>0</v>
      </c>
      <c r="AW134" s="816">
        <f t="shared" si="89"/>
        <v>0</v>
      </c>
      <c r="AX134" s="816">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8"/>
      <c r="C135" s="1179"/>
      <c r="D135" s="2300"/>
      <c r="E135" s="81">
        <f t="shared" si="87"/>
        <v>0</v>
      </c>
      <c r="F135" s="82"/>
      <c r="G135" s="83">
        <f t="shared" si="62"/>
        <v>0</v>
      </c>
      <c r="H135" s="84">
        <f t="shared" si="63"/>
        <v>0</v>
      </c>
      <c r="I135" s="1179"/>
      <c r="J135" s="85"/>
      <c r="K135" s="1179"/>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9"/>
      <c r="AG135" s="86"/>
      <c r="AH135" s="86"/>
      <c r="AI135" s="86"/>
      <c r="AJ135" s="86"/>
      <c r="AK135" s="86"/>
      <c r="AL135" s="86"/>
      <c r="AM135" s="86"/>
      <c r="AN135" s="86"/>
      <c r="AO135" s="86"/>
      <c r="AP135" s="86"/>
      <c r="AQ135" s="86"/>
      <c r="AR135" s="86"/>
      <c r="AS135" s="86"/>
      <c r="AT135" s="82"/>
      <c r="AU135" s="87"/>
      <c r="AV135" s="816">
        <f t="shared" si="88"/>
        <v>0</v>
      </c>
      <c r="AW135" s="816">
        <f t="shared" si="89"/>
        <v>0</v>
      </c>
      <c r="AX135" s="816">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8"/>
      <c r="C136" s="1179"/>
      <c r="D136" s="2300"/>
      <c r="E136" s="81">
        <f t="shared" si="87"/>
        <v>0</v>
      </c>
      <c r="F136" s="82"/>
      <c r="G136" s="83">
        <f t="shared" si="62"/>
        <v>0</v>
      </c>
      <c r="H136" s="84">
        <f t="shared" si="63"/>
        <v>0</v>
      </c>
      <c r="I136" s="1179"/>
      <c r="J136" s="85"/>
      <c r="K136" s="1179"/>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9"/>
      <c r="AG136" s="86"/>
      <c r="AH136" s="86"/>
      <c r="AI136" s="86"/>
      <c r="AJ136" s="86"/>
      <c r="AK136" s="86"/>
      <c r="AL136" s="86"/>
      <c r="AM136" s="86"/>
      <c r="AN136" s="86"/>
      <c r="AO136" s="86"/>
      <c r="AP136" s="86"/>
      <c r="AQ136" s="86"/>
      <c r="AR136" s="86"/>
      <c r="AS136" s="86"/>
      <c r="AT136" s="82"/>
      <c r="AU136" s="87"/>
      <c r="AV136" s="816">
        <f t="shared" si="88"/>
        <v>0</v>
      </c>
      <c r="AW136" s="816">
        <f t="shared" si="89"/>
        <v>0</v>
      </c>
      <c r="AX136" s="816">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8"/>
      <c r="C137" s="1179"/>
      <c r="D137" s="2300"/>
      <c r="E137" s="81">
        <f t="shared" si="87"/>
        <v>0</v>
      </c>
      <c r="F137" s="82"/>
      <c r="G137" s="83">
        <f t="shared" si="62"/>
        <v>0</v>
      </c>
      <c r="H137" s="84">
        <f t="shared" si="63"/>
        <v>0</v>
      </c>
      <c r="I137" s="1179"/>
      <c r="J137" s="85"/>
      <c r="K137" s="1179"/>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9"/>
      <c r="AG137" s="86"/>
      <c r="AH137" s="86"/>
      <c r="AI137" s="86"/>
      <c r="AJ137" s="86"/>
      <c r="AK137" s="86"/>
      <c r="AL137" s="86"/>
      <c r="AM137" s="86"/>
      <c r="AN137" s="86"/>
      <c r="AO137" s="86"/>
      <c r="AP137" s="86"/>
      <c r="AQ137" s="86"/>
      <c r="AR137" s="86"/>
      <c r="AS137" s="86"/>
      <c r="AT137" s="82"/>
      <c r="AU137" s="87"/>
      <c r="AV137" s="816">
        <f t="shared" si="88"/>
        <v>0</v>
      </c>
      <c r="AW137" s="816">
        <f t="shared" si="89"/>
        <v>0</v>
      </c>
      <c r="AX137" s="816">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8"/>
      <c r="C138" s="1179"/>
      <c r="D138" s="2300"/>
      <c r="E138" s="81">
        <f t="shared" si="87"/>
        <v>0</v>
      </c>
      <c r="F138" s="82"/>
      <c r="G138" s="83">
        <f t="shared" si="62"/>
        <v>0</v>
      </c>
      <c r="H138" s="84">
        <f t="shared" si="63"/>
        <v>0</v>
      </c>
      <c r="I138" s="1179"/>
      <c r="J138" s="85"/>
      <c r="K138" s="1179"/>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9"/>
      <c r="AG138" s="86"/>
      <c r="AH138" s="86"/>
      <c r="AI138" s="86"/>
      <c r="AJ138" s="86"/>
      <c r="AK138" s="86"/>
      <c r="AL138" s="86"/>
      <c r="AM138" s="86"/>
      <c r="AN138" s="86"/>
      <c r="AO138" s="86"/>
      <c r="AP138" s="86"/>
      <c r="AQ138" s="86"/>
      <c r="AR138" s="86"/>
      <c r="AS138" s="86"/>
      <c r="AT138" s="82"/>
      <c r="AU138" s="87"/>
      <c r="AV138" s="816">
        <f t="shared" si="88"/>
        <v>0</v>
      </c>
      <c r="AW138" s="816">
        <f t="shared" si="89"/>
        <v>0</v>
      </c>
      <c r="AX138" s="816">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8"/>
      <c r="C139" s="1179"/>
      <c r="D139" s="2300"/>
      <c r="E139" s="81">
        <f t="shared" si="87"/>
        <v>0</v>
      </c>
      <c r="F139" s="82"/>
      <c r="G139" s="83">
        <f t="shared" si="62"/>
        <v>0</v>
      </c>
      <c r="H139" s="84">
        <f t="shared" si="63"/>
        <v>0</v>
      </c>
      <c r="I139" s="1179"/>
      <c r="J139" s="85"/>
      <c r="K139" s="1179"/>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9"/>
      <c r="AG139" s="86"/>
      <c r="AH139" s="86"/>
      <c r="AI139" s="86"/>
      <c r="AJ139" s="86"/>
      <c r="AK139" s="86"/>
      <c r="AL139" s="86"/>
      <c r="AM139" s="86"/>
      <c r="AN139" s="86"/>
      <c r="AO139" s="86"/>
      <c r="AP139" s="86"/>
      <c r="AQ139" s="86"/>
      <c r="AR139" s="86"/>
      <c r="AS139" s="86"/>
      <c r="AT139" s="82"/>
      <c r="AU139" s="87"/>
      <c r="AV139" s="816">
        <f t="shared" si="88"/>
        <v>0</v>
      </c>
      <c r="AW139" s="816">
        <f t="shared" si="89"/>
        <v>0</v>
      </c>
      <c r="AX139" s="816">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8"/>
      <c r="C140" s="1179"/>
      <c r="D140" s="2300"/>
      <c r="E140" s="81">
        <f t="shared" si="87"/>
        <v>0</v>
      </c>
      <c r="F140" s="82"/>
      <c r="G140" s="83">
        <f t="shared" si="62"/>
        <v>0</v>
      </c>
      <c r="H140" s="84">
        <f t="shared" si="63"/>
        <v>0</v>
      </c>
      <c r="I140" s="1179"/>
      <c r="J140" s="85"/>
      <c r="K140" s="1179"/>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9"/>
      <c r="AG140" s="86"/>
      <c r="AH140" s="86"/>
      <c r="AI140" s="86"/>
      <c r="AJ140" s="86"/>
      <c r="AK140" s="86"/>
      <c r="AL140" s="86"/>
      <c r="AM140" s="86"/>
      <c r="AN140" s="86"/>
      <c r="AO140" s="86"/>
      <c r="AP140" s="86"/>
      <c r="AQ140" s="86"/>
      <c r="AR140" s="86"/>
      <c r="AS140" s="86"/>
      <c r="AT140" s="82"/>
      <c r="AU140" s="87"/>
      <c r="AV140" s="816">
        <f t="shared" si="88"/>
        <v>0</v>
      </c>
      <c r="AW140" s="816">
        <f t="shared" si="89"/>
        <v>0</v>
      </c>
      <c r="AX140" s="816">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8"/>
      <c r="C141" s="1179"/>
      <c r="D141" s="2300"/>
      <c r="E141" s="81">
        <f t="shared" si="87"/>
        <v>0</v>
      </c>
      <c r="F141" s="82"/>
      <c r="G141" s="83">
        <f t="shared" si="62"/>
        <v>0</v>
      </c>
      <c r="H141" s="84">
        <f t="shared" si="63"/>
        <v>0</v>
      </c>
      <c r="I141" s="1179"/>
      <c r="J141" s="85"/>
      <c r="K141" s="1179"/>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9"/>
      <c r="AG141" s="86"/>
      <c r="AH141" s="86"/>
      <c r="AI141" s="86"/>
      <c r="AJ141" s="86"/>
      <c r="AK141" s="86"/>
      <c r="AL141" s="86"/>
      <c r="AM141" s="86"/>
      <c r="AN141" s="86"/>
      <c r="AO141" s="86"/>
      <c r="AP141" s="86"/>
      <c r="AQ141" s="86"/>
      <c r="AR141" s="86"/>
      <c r="AS141" s="86"/>
      <c r="AT141" s="82"/>
      <c r="AU141" s="87"/>
      <c r="AV141" s="816">
        <f t="shared" si="88"/>
        <v>0</v>
      </c>
      <c r="AW141" s="816">
        <f t="shared" si="89"/>
        <v>0</v>
      </c>
      <c r="AX141" s="816">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8"/>
      <c r="C142" s="1179"/>
      <c r="D142" s="2300"/>
      <c r="E142" s="81">
        <f t="shared" si="87"/>
        <v>0</v>
      </c>
      <c r="F142" s="82"/>
      <c r="G142" s="83">
        <f t="shared" ref="G142:G173" si="91">H142+AC142+AT142</f>
        <v>0</v>
      </c>
      <c r="H142" s="84">
        <f t="shared" ref="H142:H173" si="92">SUMIF(I$12:AB$12,"总值",I142:AB142)</f>
        <v>0</v>
      </c>
      <c r="I142" s="1179"/>
      <c r="J142" s="85"/>
      <c r="K142" s="1179"/>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9"/>
      <c r="AG142" s="86"/>
      <c r="AH142" s="86"/>
      <c r="AI142" s="86"/>
      <c r="AJ142" s="86"/>
      <c r="AK142" s="86"/>
      <c r="AL142" s="86"/>
      <c r="AM142" s="86"/>
      <c r="AN142" s="86"/>
      <c r="AO142" s="86"/>
      <c r="AP142" s="86"/>
      <c r="AQ142" s="86"/>
      <c r="AR142" s="86"/>
      <c r="AS142" s="86"/>
      <c r="AT142" s="82"/>
      <c r="AU142" s="87"/>
      <c r="AV142" s="816">
        <f t="shared" si="88"/>
        <v>0</v>
      </c>
      <c r="AW142" s="816">
        <f t="shared" si="89"/>
        <v>0</v>
      </c>
      <c r="AX142" s="816">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8"/>
      <c r="C143" s="1179"/>
      <c r="D143" s="2300"/>
      <c r="E143" s="81">
        <f t="shared" si="87"/>
        <v>0</v>
      </c>
      <c r="F143" s="82"/>
      <c r="G143" s="83">
        <f t="shared" si="91"/>
        <v>0</v>
      </c>
      <c r="H143" s="84">
        <f t="shared" si="92"/>
        <v>0</v>
      </c>
      <c r="I143" s="1179"/>
      <c r="J143" s="85"/>
      <c r="K143" s="1179"/>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9"/>
      <c r="AG143" s="86"/>
      <c r="AH143" s="86"/>
      <c r="AI143" s="86"/>
      <c r="AJ143" s="86"/>
      <c r="AK143" s="86"/>
      <c r="AL143" s="86"/>
      <c r="AM143" s="86"/>
      <c r="AN143" s="86"/>
      <c r="AO143" s="86"/>
      <c r="AP143" s="86"/>
      <c r="AQ143" s="86"/>
      <c r="AR143" s="86"/>
      <c r="AS143" s="86"/>
      <c r="AT143" s="82"/>
      <c r="AU143" s="87"/>
      <c r="AV143" s="816">
        <f t="shared" si="88"/>
        <v>0</v>
      </c>
      <c r="AW143" s="816">
        <f t="shared" si="89"/>
        <v>0</v>
      </c>
      <c r="AX143" s="816">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8"/>
      <c r="C144" s="1179"/>
      <c r="D144" s="2300"/>
      <c r="E144" s="81">
        <f t="shared" si="87"/>
        <v>0</v>
      </c>
      <c r="F144" s="82"/>
      <c r="G144" s="83">
        <f t="shared" si="91"/>
        <v>0</v>
      </c>
      <c r="H144" s="84">
        <f t="shared" si="92"/>
        <v>0</v>
      </c>
      <c r="I144" s="1179"/>
      <c r="J144" s="85"/>
      <c r="K144" s="1179"/>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9"/>
      <c r="AG144" s="86"/>
      <c r="AH144" s="86"/>
      <c r="AI144" s="86"/>
      <c r="AJ144" s="86"/>
      <c r="AK144" s="86"/>
      <c r="AL144" s="86"/>
      <c r="AM144" s="86"/>
      <c r="AN144" s="86"/>
      <c r="AO144" s="86"/>
      <c r="AP144" s="86"/>
      <c r="AQ144" s="86"/>
      <c r="AR144" s="86"/>
      <c r="AS144" s="86"/>
      <c r="AT144" s="82"/>
      <c r="AU144" s="87"/>
      <c r="AV144" s="816">
        <f t="shared" si="88"/>
        <v>0</v>
      </c>
      <c r="AW144" s="816">
        <f t="shared" si="89"/>
        <v>0</v>
      </c>
      <c r="AX144" s="816">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8"/>
      <c r="C145" s="1179"/>
      <c r="D145" s="2300"/>
      <c r="E145" s="81">
        <f t="shared" ref="E145:E176" si="116">IF($C$3="是",ROUND($A$3*G145/$B$3,2),ROUND($A$3*(G145-AT145)/$B$3,2))</f>
        <v>0</v>
      </c>
      <c r="F145" s="82"/>
      <c r="G145" s="83">
        <f t="shared" si="91"/>
        <v>0</v>
      </c>
      <c r="H145" s="84">
        <f t="shared" si="92"/>
        <v>0</v>
      </c>
      <c r="I145" s="1179"/>
      <c r="J145" s="85"/>
      <c r="K145" s="1179"/>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9"/>
      <c r="AG145" s="86"/>
      <c r="AH145" s="86"/>
      <c r="AI145" s="86"/>
      <c r="AJ145" s="86"/>
      <c r="AK145" s="86"/>
      <c r="AL145" s="86"/>
      <c r="AM145" s="86"/>
      <c r="AN145" s="86"/>
      <c r="AO145" s="86"/>
      <c r="AP145" s="86"/>
      <c r="AQ145" s="86"/>
      <c r="AR145" s="86"/>
      <c r="AS145" s="86"/>
      <c r="AT145" s="82"/>
      <c r="AU145" s="87"/>
      <c r="AV145" s="816">
        <f t="shared" ref="AV145:AV176" si="117">A145</f>
        <v>0</v>
      </c>
      <c r="AW145" s="816">
        <f t="shared" ref="AW145:AW176" si="118">B145</f>
        <v>0</v>
      </c>
      <c r="AX145" s="816">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8"/>
      <c r="C146" s="1179"/>
      <c r="D146" s="2300"/>
      <c r="E146" s="81">
        <f t="shared" si="116"/>
        <v>0</v>
      </c>
      <c r="F146" s="82"/>
      <c r="G146" s="83">
        <f t="shared" si="91"/>
        <v>0</v>
      </c>
      <c r="H146" s="84">
        <f t="shared" si="92"/>
        <v>0</v>
      </c>
      <c r="I146" s="1179"/>
      <c r="J146" s="85"/>
      <c r="K146" s="1179"/>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9"/>
      <c r="AG146" s="86"/>
      <c r="AH146" s="86"/>
      <c r="AI146" s="86"/>
      <c r="AJ146" s="86"/>
      <c r="AK146" s="86"/>
      <c r="AL146" s="86"/>
      <c r="AM146" s="86"/>
      <c r="AN146" s="86"/>
      <c r="AO146" s="86"/>
      <c r="AP146" s="86"/>
      <c r="AQ146" s="86"/>
      <c r="AR146" s="86"/>
      <c r="AS146" s="86"/>
      <c r="AT146" s="82"/>
      <c r="AU146" s="87"/>
      <c r="AV146" s="816">
        <f t="shared" si="117"/>
        <v>0</v>
      </c>
      <c r="AW146" s="816">
        <f t="shared" si="118"/>
        <v>0</v>
      </c>
      <c r="AX146" s="816">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8"/>
      <c r="C147" s="1179"/>
      <c r="D147" s="2300"/>
      <c r="E147" s="81">
        <f t="shared" si="116"/>
        <v>0</v>
      </c>
      <c r="F147" s="82"/>
      <c r="G147" s="83">
        <f t="shared" si="91"/>
        <v>0</v>
      </c>
      <c r="H147" s="84">
        <f t="shared" si="92"/>
        <v>0</v>
      </c>
      <c r="I147" s="1179"/>
      <c r="J147" s="85"/>
      <c r="K147" s="1179"/>
      <c r="L147" s="85"/>
      <c r="M147" s="1179"/>
      <c r="N147" s="85"/>
      <c r="O147" s="85"/>
      <c r="P147" s="85"/>
      <c r="Q147" s="85"/>
      <c r="R147" s="85"/>
      <c r="S147" s="85"/>
      <c r="T147" s="85"/>
      <c r="U147" s="85"/>
      <c r="V147" s="85"/>
      <c r="W147" s="85"/>
      <c r="X147" s="85"/>
      <c r="Y147" s="85"/>
      <c r="Z147" s="85"/>
      <c r="AA147" s="85"/>
      <c r="AB147" s="85"/>
      <c r="AC147" s="81">
        <f t="shared" si="93"/>
        <v>0</v>
      </c>
      <c r="AD147" s="86"/>
      <c r="AE147" s="86"/>
      <c r="AF147" s="1179"/>
      <c r="AG147" s="86"/>
      <c r="AH147" s="86"/>
      <c r="AI147" s="86"/>
      <c r="AJ147" s="86"/>
      <c r="AK147" s="86"/>
      <c r="AL147" s="86"/>
      <c r="AM147" s="86"/>
      <c r="AN147" s="86"/>
      <c r="AO147" s="86"/>
      <c r="AP147" s="86"/>
      <c r="AQ147" s="86"/>
      <c r="AR147" s="86"/>
      <c r="AS147" s="86"/>
      <c r="AT147" s="82"/>
      <c r="AU147" s="87"/>
      <c r="AV147" s="816">
        <f t="shared" si="117"/>
        <v>0</v>
      </c>
      <c r="AW147" s="816">
        <f t="shared" si="118"/>
        <v>0</v>
      </c>
      <c r="AX147" s="816">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6">
        <f t="shared" si="117"/>
        <v>0</v>
      </c>
      <c r="AW148" s="816">
        <f t="shared" si="118"/>
        <v>0</v>
      </c>
      <c r="AX148" s="816">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6">
        <f t="shared" si="117"/>
        <v>0</v>
      </c>
      <c r="AW149" s="816">
        <f t="shared" si="118"/>
        <v>0</v>
      </c>
      <c r="AX149" s="816">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6">
        <f t="shared" si="117"/>
        <v>0</v>
      </c>
      <c r="AW150" s="816">
        <f t="shared" si="118"/>
        <v>0</v>
      </c>
      <c r="AX150" s="816">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6">
        <f t="shared" si="117"/>
        <v>0</v>
      </c>
      <c r="AW151" s="816">
        <f t="shared" si="118"/>
        <v>0</v>
      </c>
      <c r="AX151" s="816">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6">
        <f t="shared" si="117"/>
        <v>0</v>
      </c>
      <c r="AW152" s="816">
        <f t="shared" si="118"/>
        <v>0</v>
      </c>
      <c r="AX152" s="816">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6">
        <f t="shared" si="117"/>
        <v>0</v>
      </c>
      <c r="AW153" s="816">
        <f t="shared" si="118"/>
        <v>0</v>
      </c>
      <c r="AX153" s="816">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6">
        <f t="shared" si="117"/>
        <v>0</v>
      </c>
      <c r="AW154" s="816">
        <f t="shared" si="118"/>
        <v>0</v>
      </c>
      <c r="AX154" s="816">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6">
        <f t="shared" si="117"/>
        <v>0</v>
      </c>
      <c r="AW155" s="816">
        <f t="shared" si="118"/>
        <v>0</v>
      </c>
      <c r="AX155" s="816">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6">
        <f t="shared" si="117"/>
        <v>0</v>
      </c>
      <c r="AW156" s="816">
        <f t="shared" si="118"/>
        <v>0</v>
      </c>
      <c r="AX156" s="816">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6">
        <f t="shared" si="117"/>
        <v>0</v>
      </c>
      <c r="AW157" s="816">
        <f t="shared" si="118"/>
        <v>0</v>
      </c>
      <c r="AX157" s="816">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6">
        <f t="shared" si="117"/>
        <v>0</v>
      </c>
      <c r="AW158" s="816">
        <f t="shared" si="118"/>
        <v>0</v>
      </c>
      <c r="AX158" s="816">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6">
        <f t="shared" si="117"/>
        <v>0</v>
      </c>
      <c r="AW159" s="816">
        <f t="shared" si="118"/>
        <v>0</v>
      </c>
      <c r="AX159" s="816">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6">
        <f t="shared" si="117"/>
        <v>0</v>
      </c>
      <c r="AW160" s="816">
        <f t="shared" si="118"/>
        <v>0</v>
      </c>
      <c r="AX160" s="816">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6">
        <f t="shared" si="117"/>
        <v>0</v>
      </c>
      <c r="AW161" s="816">
        <f t="shared" si="118"/>
        <v>0</v>
      </c>
      <c r="AX161" s="816">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6">
        <f t="shared" si="117"/>
        <v>0</v>
      </c>
      <c r="AW162" s="816">
        <f t="shared" si="118"/>
        <v>0</v>
      </c>
      <c r="AX162" s="816">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6">
        <f t="shared" si="117"/>
        <v>0</v>
      </c>
      <c r="AW163" s="816">
        <f t="shared" si="118"/>
        <v>0</v>
      </c>
      <c r="AX163" s="816">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6">
        <f t="shared" si="117"/>
        <v>0</v>
      </c>
      <c r="AW164" s="816">
        <f t="shared" si="118"/>
        <v>0</v>
      </c>
      <c r="AX164" s="816">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6">
        <f t="shared" si="117"/>
        <v>0</v>
      </c>
      <c r="AW165" s="816">
        <f t="shared" si="118"/>
        <v>0</v>
      </c>
      <c r="AX165" s="816">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6">
        <f t="shared" si="117"/>
        <v>0</v>
      </c>
      <c r="AW166" s="816">
        <f t="shared" si="118"/>
        <v>0</v>
      </c>
      <c r="AX166" s="816">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6">
        <f t="shared" si="117"/>
        <v>0</v>
      </c>
      <c r="AW167" s="816">
        <f t="shared" si="118"/>
        <v>0</v>
      </c>
      <c r="AX167" s="816">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6">
        <f t="shared" si="117"/>
        <v>0</v>
      </c>
      <c r="AW168" s="816">
        <f t="shared" si="118"/>
        <v>0</v>
      </c>
      <c r="AX168" s="816">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6">
        <f t="shared" si="117"/>
        <v>0</v>
      </c>
      <c r="AW169" s="816">
        <f t="shared" si="118"/>
        <v>0</v>
      </c>
      <c r="AX169" s="816">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6">
        <f t="shared" si="117"/>
        <v>0</v>
      </c>
      <c r="AW170" s="816">
        <f t="shared" si="118"/>
        <v>0</v>
      </c>
      <c r="AX170" s="816">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6">
        <f t="shared" si="117"/>
        <v>0</v>
      </c>
      <c r="AW171" s="816">
        <f t="shared" si="118"/>
        <v>0</v>
      </c>
      <c r="AX171" s="816">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6">
        <f t="shared" si="117"/>
        <v>0</v>
      </c>
      <c r="AW172" s="816">
        <f t="shared" si="118"/>
        <v>0</v>
      </c>
      <c r="AX172" s="816">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6">
        <f t="shared" si="117"/>
        <v>0</v>
      </c>
      <c r="AW173" s="816">
        <f t="shared" si="118"/>
        <v>0</v>
      </c>
      <c r="AX173" s="816">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6">
        <f t="shared" si="117"/>
        <v>0</v>
      </c>
      <c r="AW174" s="816">
        <f t="shared" si="118"/>
        <v>0</v>
      </c>
      <c r="AX174" s="816">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6">
        <f t="shared" si="117"/>
        <v>0</v>
      </c>
      <c r="AW175" s="816">
        <f t="shared" si="118"/>
        <v>0</v>
      </c>
      <c r="AX175" s="816">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6">
        <f t="shared" si="117"/>
        <v>0</v>
      </c>
      <c r="AW176" s="816">
        <f t="shared" si="118"/>
        <v>0</v>
      </c>
      <c r="AX176" s="816">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6">
        <f t="shared" ref="AV177:AV204" si="146">A177</f>
        <v>0</v>
      </c>
      <c r="AW177" s="816">
        <f t="shared" ref="AW177:AW204" si="147">B177</f>
        <v>0</v>
      </c>
      <c r="AX177" s="816">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6">
        <f t="shared" si="146"/>
        <v>0</v>
      </c>
      <c r="AW178" s="816">
        <f t="shared" si="147"/>
        <v>0</v>
      </c>
      <c r="AX178" s="816">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6">
        <f t="shared" si="146"/>
        <v>0</v>
      </c>
      <c r="AW179" s="816">
        <f t="shared" si="147"/>
        <v>0</v>
      </c>
      <c r="AX179" s="816">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6">
        <f t="shared" si="146"/>
        <v>0</v>
      </c>
      <c r="AW180" s="816">
        <f t="shared" si="147"/>
        <v>0</v>
      </c>
      <c r="AX180" s="816">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6">
        <f t="shared" si="146"/>
        <v>0</v>
      </c>
      <c r="AW181" s="816">
        <f t="shared" si="147"/>
        <v>0</v>
      </c>
      <c r="AX181" s="816">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6">
        <f t="shared" si="146"/>
        <v>0</v>
      </c>
      <c r="AW182" s="816">
        <f t="shared" si="147"/>
        <v>0</v>
      </c>
      <c r="AX182" s="816">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6">
        <f t="shared" si="146"/>
        <v>0</v>
      </c>
      <c r="AW183" s="816">
        <f t="shared" si="147"/>
        <v>0</v>
      </c>
      <c r="AX183" s="816">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6">
        <f t="shared" si="146"/>
        <v>0</v>
      </c>
      <c r="AW184" s="816">
        <f t="shared" si="147"/>
        <v>0</v>
      </c>
      <c r="AX184" s="816">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6">
        <f t="shared" si="146"/>
        <v>0</v>
      </c>
      <c r="AW185" s="816">
        <f t="shared" si="147"/>
        <v>0</v>
      </c>
      <c r="AX185" s="816">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6">
        <f t="shared" si="146"/>
        <v>0</v>
      </c>
      <c r="AW186" s="816">
        <f t="shared" si="147"/>
        <v>0</v>
      </c>
      <c r="AX186" s="816">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6">
        <f t="shared" si="146"/>
        <v>0</v>
      </c>
      <c r="AW187" s="816">
        <f t="shared" si="147"/>
        <v>0</v>
      </c>
      <c r="AX187" s="816">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6">
        <f t="shared" si="146"/>
        <v>0</v>
      </c>
      <c r="AW188" s="816">
        <f t="shared" si="147"/>
        <v>0</v>
      </c>
      <c r="AX188" s="816">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6">
        <f t="shared" si="146"/>
        <v>0</v>
      </c>
      <c r="AW189" s="816">
        <f t="shared" si="147"/>
        <v>0</v>
      </c>
      <c r="AX189" s="816">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6">
        <f t="shared" si="146"/>
        <v>0</v>
      </c>
      <c r="AW190" s="816">
        <f t="shared" si="147"/>
        <v>0</v>
      </c>
      <c r="AX190" s="816">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6">
        <f t="shared" si="146"/>
        <v>0</v>
      </c>
      <c r="AW191" s="816">
        <f t="shared" si="147"/>
        <v>0</v>
      </c>
      <c r="AX191" s="816">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6">
        <f t="shared" si="146"/>
        <v>0</v>
      </c>
      <c r="AW192" s="816">
        <f t="shared" si="147"/>
        <v>0</v>
      </c>
      <c r="AX192" s="816">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6">
        <f t="shared" si="146"/>
        <v>0</v>
      </c>
      <c r="AW193" s="816">
        <f t="shared" si="147"/>
        <v>0</v>
      </c>
      <c r="AX193" s="816">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6">
        <f t="shared" si="146"/>
        <v>0</v>
      </c>
      <c r="AW194" s="816">
        <f t="shared" si="147"/>
        <v>0</v>
      </c>
      <c r="AX194" s="816">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6">
        <f t="shared" si="146"/>
        <v>0</v>
      </c>
      <c r="AW195" s="816">
        <f t="shared" si="147"/>
        <v>0</v>
      </c>
      <c r="AX195" s="816">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6">
        <f t="shared" si="146"/>
        <v>0</v>
      </c>
      <c r="AW196" s="816">
        <f t="shared" si="147"/>
        <v>0</v>
      </c>
      <c r="AX196" s="816">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6">
        <f t="shared" si="146"/>
        <v>0</v>
      </c>
      <c r="AW197" s="816">
        <f t="shared" si="147"/>
        <v>0</v>
      </c>
      <c r="AX197" s="816">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6">
        <f t="shared" si="146"/>
        <v>0</v>
      </c>
      <c r="AW198" s="816">
        <f t="shared" si="147"/>
        <v>0</v>
      </c>
      <c r="AX198" s="816">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6">
        <f t="shared" si="146"/>
        <v>0</v>
      </c>
      <c r="AW199" s="816">
        <f t="shared" si="147"/>
        <v>0</v>
      </c>
      <c r="AX199" s="816">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6">
        <f t="shared" si="146"/>
        <v>0</v>
      </c>
      <c r="AW200" s="816">
        <f t="shared" si="147"/>
        <v>0</v>
      </c>
      <c r="AX200" s="816">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6">
        <f t="shared" si="146"/>
        <v>0</v>
      </c>
      <c r="AW201" s="816">
        <f t="shared" si="147"/>
        <v>0</v>
      </c>
      <c r="AX201" s="816">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6">
        <f t="shared" si="146"/>
        <v>0</v>
      </c>
      <c r="AW202" s="816">
        <f t="shared" si="147"/>
        <v>0</v>
      </c>
      <c r="AX202" s="816">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6">
        <f t="shared" si="146"/>
        <v>0</v>
      </c>
      <c r="AW203" s="816">
        <f t="shared" si="147"/>
        <v>0</v>
      </c>
      <c r="AX203" s="816">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6">
        <f t="shared" si="146"/>
        <v>0</v>
      </c>
      <c r="AW204" s="816">
        <f t="shared" si="147"/>
        <v>0</v>
      </c>
      <c r="AX204" s="816">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8"/>
      <c r="C205" s="1179"/>
      <c r="D205" s="2300"/>
      <c r="E205" s="81">
        <f t="shared" ref="E205:E296" si="149">IF($C$3="是",ROUND($A$3*G205/$B$3,2),ROUND($A$3*(G205-AT205)/$B$3,2))</f>
        <v>0</v>
      </c>
      <c r="F205" s="82"/>
      <c r="G205" s="83">
        <f t="shared" ref="G205:G293" si="150">H205+AC205+AT205</f>
        <v>0</v>
      </c>
      <c r="H205" s="84">
        <f t="shared" ref="H205:H293" si="151">SUMIF(I$12:AB$12,"总值",I205:AB205)</f>
        <v>0</v>
      </c>
      <c r="I205" s="1179"/>
      <c r="J205" s="85"/>
      <c r="K205" s="1179"/>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0"/>
      <c r="AG205" s="86"/>
      <c r="AH205" s="86"/>
      <c r="AI205" s="86"/>
      <c r="AJ205" s="86"/>
      <c r="AK205" s="86"/>
      <c r="AL205" s="86"/>
      <c r="AM205" s="86"/>
      <c r="AN205" s="1156"/>
      <c r="AO205" s="86"/>
      <c r="AP205" s="86"/>
      <c r="AQ205" s="86"/>
      <c r="AR205" s="86"/>
      <c r="AS205" s="86"/>
      <c r="AT205" s="82"/>
      <c r="AU205" s="87"/>
      <c r="AV205" s="816">
        <f t="shared" ref="AV205:AV296" si="153">A205</f>
        <v>0</v>
      </c>
      <c r="AW205" s="816">
        <f t="shared" ref="AW205:AW296" si="154">B205</f>
        <v>0</v>
      </c>
      <c r="AX205" s="816">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8"/>
      <c r="C206" s="1179"/>
      <c r="D206" s="2300"/>
      <c r="E206" s="81">
        <f t="shared" si="149"/>
        <v>0</v>
      </c>
      <c r="F206" s="82"/>
      <c r="G206" s="83">
        <f t="shared" si="150"/>
        <v>0</v>
      </c>
      <c r="H206" s="84">
        <f t="shared" si="151"/>
        <v>0</v>
      </c>
      <c r="I206" s="1179"/>
      <c r="J206" s="85"/>
      <c r="K206" s="1179"/>
      <c r="L206" s="85"/>
      <c r="M206" s="1156"/>
      <c r="N206" s="85"/>
      <c r="O206" s="85"/>
      <c r="P206" s="85"/>
      <c r="Q206" s="85"/>
      <c r="R206" s="85"/>
      <c r="S206" s="85"/>
      <c r="T206" s="85"/>
      <c r="U206" s="85"/>
      <c r="V206" s="85"/>
      <c r="W206" s="85"/>
      <c r="X206" s="85"/>
      <c r="Y206" s="85"/>
      <c r="Z206" s="85"/>
      <c r="AA206" s="85"/>
      <c r="AB206" s="85"/>
      <c r="AC206" s="81">
        <f t="shared" si="152"/>
        <v>0</v>
      </c>
      <c r="AD206" s="1156"/>
      <c r="AE206" s="86"/>
      <c r="AF206" s="1180"/>
      <c r="AG206" s="86"/>
      <c r="AH206" s="86"/>
      <c r="AI206" s="86"/>
      <c r="AJ206" s="86"/>
      <c r="AK206" s="86"/>
      <c r="AL206" s="1156"/>
      <c r="AM206" s="86"/>
      <c r="AN206" s="1156"/>
      <c r="AO206" s="86"/>
      <c r="AP206" s="86"/>
      <c r="AQ206" s="86"/>
      <c r="AR206" s="86"/>
      <c r="AS206" s="86"/>
      <c r="AT206" s="82"/>
      <c r="AU206" s="87"/>
      <c r="AV206" s="816">
        <f t="shared" si="153"/>
        <v>0</v>
      </c>
      <c r="AW206" s="816">
        <f t="shared" si="154"/>
        <v>0</v>
      </c>
      <c r="AX206" s="816">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8"/>
      <c r="C207" s="1179"/>
      <c r="D207" s="2300"/>
      <c r="E207" s="81">
        <f t="shared" si="149"/>
        <v>0</v>
      </c>
      <c r="F207" s="82"/>
      <c r="G207" s="83">
        <f t="shared" si="150"/>
        <v>0</v>
      </c>
      <c r="H207" s="84">
        <f t="shared" si="151"/>
        <v>0</v>
      </c>
      <c r="I207" s="1179"/>
      <c r="J207" s="85"/>
      <c r="K207" s="1179"/>
      <c r="L207" s="85"/>
      <c r="M207" s="1156"/>
      <c r="N207" s="85"/>
      <c r="O207" s="85"/>
      <c r="P207" s="85"/>
      <c r="Q207" s="85"/>
      <c r="R207" s="85"/>
      <c r="S207" s="85"/>
      <c r="T207" s="85"/>
      <c r="U207" s="85"/>
      <c r="V207" s="85"/>
      <c r="W207" s="85"/>
      <c r="X207" s="85"/>
      <c r="Y207" s="85"/>
      <c r="Z207" s="85"/>
      <c r="AA207" s="85"/>
      <c r="AB207" s="85"/>
      <c r="AC207" s="81">
        <f t="shared" si="152"/>
        <v>0</v>
      </c>
      <c r="AD207" s="86"/>
      <c r="AE207" s="86"/>
      <c r="AF207" s="1180"/>
      <c r="AG207" s="86"/>
      <c r="AH207" s="86"/>
      <c r="AI207" s="86"/>
      <c r="AJ207" s="86"/>
      <c r="AK207" s="86"/>
      <c r="AL207" s="1156"/>
      <c r="AM207" s="86"/>
      <c r="AN207" s="1156"/>
      <c r="AO207" s="86"/>
      <c r="AP207" s="86"/>
      <c r="AQ207" s="86"/>
      <c r="AR207" s="86"/>
      <c r="AS207" s="86"/>
      <c r="AT207" s="82"/>
      <c r="AU207" s="87"/>
      <c r="AV207" s="816">
        <f t="shared" si="153"/>
        <v>0</v>
      </c>
      <c r="AW207" s="816">
        <f t="shared" si="154"/>
        <v>0</v>
      </c>
      <c r="AX207" s="816">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8"/>
      <c r="C208" s="1179"/>
      <c r="D208" s="2300"/>
      <c r="E208" s="81">
        <f t="shared" si="149"/>
        <v>0</v>
      </c>
      <c r="F208" s="82"/>
      <c r="G208" s="83">
        <f t="shared" si="150"/>
        <v>0</v>
      </c>
      <c r="H208" s="84">
        <f t="shared" si="151"/>
        <v>0</v>
      </c>
      <c r="I208" s="1179"/>
      <c r="J208" s="85"/>
      <c r="K208" s="1179"/>
      <c r="L208" s="85"/>
      <c r="M208" s="85"/>
      <c r="N208" s="85"/>
      <c r="O208" s="1156"/>
      <c r="P208" s="85"/>
      <c r="Q208" s="85"/>
      <c r="R208" s="85"/>
      <c r="S208" s="85"/>
      <c r="T208" s="85"/>
      <c r="U208" s="85"/>
      <c r="V208" s="85"/>
      <c r="W208" s="85"/>
      <c r="X208" s="85"/>
      <c r="Y208" s="85"/>
      <c r="Z208" s="85"/>
      <c r="AA208" s="85"/>
      <c r="AB208" s="85"/>
      <c r="AC208" s="81">
        <f t="shared" si="152"/>
        <v>0</v>
      </c>
      <c r="AD208" s="86"/>
      <c r="AE208" s="86"/>
      <c r="AF208" s="1180"/>
      <c r="AG208" s="86"/>
      <c r="AH208" s="86"/>
      <c r="AI208" s="86"/>
      <c r="AJ208" s="86"/>
      <c r="AK208" s="86"/>
      <c r="AL208" s="86"/>
      <c r="AM208" s="86"/>
      <c r="AN208" s="1156"/>
      <c r="AO208" s="86"/>
      <c r="AP208" s="86"/>
      <c r="AQ208" s="86"/>
      <c r="AR208" s="86"/>
      <c r="AS208" s="86"/>
      <c r="AT208" s="82"/>
      <c r="AU208" s="87"/>
      <c r="AV208" s="816">
        <f t="shared" si="153"/>
        <v>0</v>
      </c>
      <c r="AW208" s="816">
        <f t="shared" si="154"/>
        <v>0</v>
      </c>
      <c r="AX208" s="816">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8"/>
      <c r="C209" s="1179"/>
      <c r="D209" s="2300"/>
      <c r="E209" s="81">
        <f t="shared" si="149"/>
        <v>0</v>
      </c>
      <c r="F209" s="82"/>
      <c r="G209" s="83">
        <f t="shared" si="150"/>
        <v>0</v>
      </c>
      <c r="H209" s="84">
        <f t="shared" si="151"/>
        <v>0</v>
      </c>
      <c r="I209" s="1179"/>
      <c r="J209" s="85"/>
      <c r="K209" s="1179"/>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0"/>
      <c r="AG209" s="86"/>
      <c r="AH209" s="86"/>
      <c r="AI209" s="86"/>
      <c r="AJ209" s="86"/>
      <c r="AK209" s="86"/>
      <c r="AL209" s="86"/>
      <c r="AM209" s="86"/>
      <c r="AN209" s="86"/>
      <c r="AO209" s="86"/>
      <c r="AP209" s="86"/>
      <c r="AQ209" s="86"/>
      <c r="AR209" s="86"/>
      <c r="AS209" s="86"/>
      <c r="AT209" s="82"/>
      <c r="AU209" s="87"/>
      <c r="AV209" s="816">
        <f t="shared" si="153"/>
        <v>0</v>
      </c>
      <c r="AW209" s="816">
        <f t="shared" si="154"/>
        <v>0</v>
      </c>
      <c r="AX209" s="816">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8"/>
      <c r="C210" s="1179"/>
      <c r="D210" s="2300"/>
      <c r="E210" s="81">
        <f t="shared" si="149"/>
        <v>0</v>
      </c>
      <c r="F210" s="82"/>
      <c r="G210" s="83">
        <f t="shared" si="150"/>
        <v>0</v>
      </c>
      <c r="H210" s="84">
        <f t="shared" si="151"/>
        <v>0</v>
      </c>
      <c r="I210" s="1179"/>
      <c r="J210" s="85"/>
      <c r="K210" s="1179"/>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0"/>
      <c r="AG210" s="86"/>
      <c r="AH210" s="86"/>
      <c r="AI210" s="86"/>
      <c r="AJ210" s="86"/>
      <c r="AK210" s="86"/>
      <c r="AL210" s="86"/>
      <c r="AM210" s="86"/>
      <c r="AN210" s="86"/>
      <c r="AO210" s="86"/>
      <c r="AP210" s="86"/>
      <c r="AQ210" s="86"/>
      <c r="AR210" s="86"/>
      <c r="AS210" s="86"/>
      <c r="AT210" s="82"/>
      <c r="AU210" s="87"/>
      <c r="AV210" s="816">
        <f t="shared" si="153"/>
        <v>0</v>
      </c>
      <c r="AW210" s="816">
        <f t="shared" si="154"/>
        <v>0</v>
      </c>
      <c r="AX210" s="816">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8"/>
      <c r="C211" s="1179"/>
      <c r="D211" s="2300"/>
      <c r="E211" s="81">
        <f t="shared" si="149"/>
        <v>0</v>
      </c>
      <c r="F211" s="82"/>
      <c r="G211" s="83">
        <f t="shared" si="150"/>
        <v>0</v>
      </c>
      <c r="H211" s="84">
        <f t="shared" si="151"/>
        <v>0</v>
      </c>
      <c r="I211" s="1179"/>
      <c r="J211" s="85"/>
      <c r="K211" s="1179"/>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0"/>
      <c r="AG211" s="86"/>
      <c r="AH211" s="86"/>
      <c r="AI211" s="86"/>
      <c r="AJ211" s="86"/>
      <c r="AK211" s="86"/>
      <c r="AL211" s="86"/>
      <c r="AM211" s="86"/>
      <c r="AN211" s="86"/>
      <c r="AO211" s="86"/>
      <c r="AP211" s="86"/>
      <c r="AQ211" s="86"/>
      <c r="AR211" s="86"/>
      <c r="AS211" s="86"/>
      <c r="AT211" s="82"/>
      <c r="AU211" s="87"/>
      <c r="AV211" s="816">
        <f t="shared" si="153"/>
        <v>0</v>
      </c>
      <c r="AW211" s="816">
        <f t="shared" si="154"/>
        <v>0</v>
      </c>
      <c r="AX211" s="816">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8"/>
      <c r="C212" s="1179"/>
      <c r="D212" s="2300"/>
      <c r="E212" s="81">
        <f t="shared" si="149"/>
        <v>0</v>
      </c>
      <c r="F212" s="82"/>
      <c r="G212" s="83">
        <f t="shared" si="150"/>
        <v>0</v>
      </c>
      <c r="H212" s="84">
        <f t="shared" si="151"/>
        <v>0</v>
      </c>
      <c r="I212" s="1179"/>
      <c r="J212" s="85"/>
      <c r="K212" s="1179"/>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9"/>
      <c r="AG212" s="86"/>
      <c r="AH212" s="86"/>
      <c r="AI212" s="86"/>
      <c r="AJ212" s="86"/>
      <c r="AK212" s="86"/>
      <c r="AL212" s="86"/>
      <c r="AM212" s="86"/>
      <c r="AN212" s="86"/>
      <c r="AO212" s="86"/>
      <c r="AP212" s="86"/>
      <c r="AQ212" s="86"/>
      <c r="AR212" s="86"/>
      <c r="AS212" s="86"/>
      <c r="AT212" s="82"/>
      <c r="AU212" s="87"/>
      <c r="AV212" s="816">
        <f t="shared" si="153"/>
        <v>0</v>
      </c>
      <c r="AW212" s="816">
        <f t="shared" si="154"/>
        <v>0</v>
      </c>
      <c r="AX212" s="816">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8"/>
      <c r="C213" s="1179"/>
      <c r="D213" s="2300"/>
      <c r="E213" s="81">
        <f t="shared" si="149"/>
        <v>0</v>
      </c>
      <c r="F213" s="82"/>
      <c r="G213" s="83">
        <f t="shared" si="150"/>
        <v>0</v>
      </c>
      <c r="H213" s="84">
        <f t="shared" si="151"/>
        <v>0</v>
      </c>
      <c r="I213" s="1179"/>
      <c r="J213" s="85"/>
      <c r="K213" s="1179"/>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9"/>
      <c r="AG213" s="86"/>
      <c r="AH213" s="86"/>
      <c r="AI213" s="86"/>
      <c r="AJ213" s="86"/>
      <c r="AK213" s="86"/>
      <c r="AL213" s="86"/>
      <c r="AM213" s="86"/>
      <c r="AN213" s="86"/>
      <c r="AO213" s="86"/>
      <c r="AP213" s="86"/>
      <c r="AQ213" s="86"/>
      <c r="AR213" s="86"/>
      <c r="AS213" s="86"/>
      <c r="AT213" s="82"/>
      <c r="AU213" s="87"/>
      <c r="AV213" s="816">
        <f t="shared" si="153"/>
        <v>0</v>
      </c>
      <c r="AW213" s="816">
        <f t="shared" si="154"/>
        <v>0</v>
      </c>
      <c r="AX213" s="816">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8"/>
      <c r="C214" s="1179"/>
      <c r="D214" s="2300"/>
      <c r="E214" s="81">
        <f t="shared" si="149"/>
        <v>0</v>
      </c>
      <c r="F214" s="82"/>
      <c r="G214" s="83">
        <f t="shared" si="150"/>
        <v>0</v>
      </c>
      <c r="H214" s="84">
        <f t="shared" si="151"/>
        <v>0</v>
      </c>
      <c r="I214" s="1179"/>
      <c r="J214" s="85"/>
      <c r="K214" s="1179"/>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9"/>
      <c r="AG214" s="86"/>
      <c r="AH214" s="86"/>
      <c r="AI214" s="86"/>
      <c r="AJ214" s="86"/>
      <c r="AK214" s="86"/>
      <c r="AL214" s="86"/>
      <c r="AM214" s="86"/>
      <c r="AN214" s="86"/>
      <c r="AO214" s="86"/>
      <c r="AP214" s="86"/>
      <c r="AQ214" s="86"/>
      <c r="AR214" s="86"/>
      <c r="AS214" s="86"/>
      <c r="AT214" s="82"/>
      <c r="AU214" s="87"/>
      <c r="AV214" s="816">
        <f t="shared" si="153"/>
        <v>0</v>
      </c>
      <c r="AW214" s="816">
        <f t="shared" si="154"/>
        <v>0</v>
      </c>
      <c r="AX214" s="816">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8"/>
      <c r="C215" s="1179"/>
      <c r="D215" s="2300"/>
      <c r="E215" s="81">
        <f t="shared" si="149"/>
        <v>0</v>
      </c>
      <c r="F215" s="82"/>
      <c r="G215" s="83">
        <f t="shared" si="150"/>
        <v>0</v>
      </c>
      <c r="H215" s="84">
        <f t="shared" si="151"/>
        <v>0</v>
      </c>
      <c r="I215" s="1179"/>
      <c r="J215" s="85"/>
      <c r="K215" s="1179"/>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9"/>
      <c r="AG215" s="86"/>
      <c r="AH215" s="86"/>
      <c r="AI215" s="86"/>
      <c r="AJ215" s="86"/>
      <c r="AK215" s="86"/>
      <c r="AL215" s="86"/>
      <c r="AM215" s="86"/>
      <c r="AN215" s="86"/>
      <c r="AO215" s="86"/>
      <c r="AP215" s="86"/>
      <c r="AQ215" s="86"/>
      <c r="AR215" s="86"/>
      <c r="AS215" s="86"/>
      <c r="AT215" s="82"/>
      <c r="AU215" s="87"/>
      <c r="AV215" s="816">
        <f t="shared" si="153"/>
        <v>0</v>
      </c>
      <c r="AW215" s="816">
        <f t="shared" si="154"/>
        <v>0</v>
      </c>
      <c r="AX215" s="816">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8"/>
      <c r="C216" s="1179"/>
      <c r="D216" s="2300"/>
      <c r="E216" s="81">
        <f t="shared" si="149"/>
        <v>0</v>
      </c>
      <c r="F216" s="82"/>
      <c r="G216" s="83">
        <f t="shared" si="150"/>
        <v>0</v>
      </c>
      <c r="H216" s="84">
        <f t="shared" si="151"/>
        <v>0</v>
      </c>
      <c r="I216" s="1179"/>
      <c r="J216" s="85"/>
      <c r="K216" s="1179"/>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9"/>
      <c r="AG216" s="86"/>
      <c r="AH216" s="86"/>
      <c r="AI216" s="86"/>
      <c r="AJ216" s="86"/>
      <c r="AK216" s="86"/>
      <c r="AL216" s="86"/>
      <c r="AM216" s="86"/>
      <c r="AN216" s="86"/>
      <c r="AO216" s="86"/>
      <c r="AP216" s="86"/>
      <c r="AQ216" s="86"/>
      <c r="AR216" s="86"/>
      <c r="AS216" s="86"/>
      <c r="AT216" s="82"/>
      <c r="AU216" s="87"/>
      <c r="AV216" s="816">
        <f t="shared" si="153"/>
        <v>0</v>
      </c>
      <c r="AW216" s="816">
        <f t="shared" si="154"/>
        <v>0</v>
      </c>
      <c r="AX216" s="816">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8"/>
      <c r="C217" s="1179"/>
      <c r="D217" s="2300"/>
      <c r="E217" s="81">
        <f t="shared" si="149"/>
        <v>0</v>
      </c>
      <c r="F217" s="82"/>
      <c r="G217" s="83">
        <f t="shared" si="150"/>
        <v>0</v>
      </c>
      <c r="H217" s="84">
        <f t="shared" si="151"/>
        <v>0</v>
      </c>
      <c r="I217" s="1179"/>
      <c r="J217" s="85"/>
      <c r="K217" s="1179"/>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9"/>
      <c r="AG217" s="86"/>
      <c r="AH217" s="86"/>
      <c r="AI217" s="86"/>
      <c r="AJ217" s="86"/>
      <c r="AK217" s="86"/>
      <c r="AL217" s="86"/>
      <c r="AM217" s="86"/>
      <c r="AN217" s="86"/>
      <c r="AO217" s="86"/>
      <c r="AP217" s="86"/>
      <c r="AQ217" s="86"/>
      <c r="AR217" s="86"/>
      <c r="AS217" s="86"/>
      <c r="AT217" s="82"/>
      <c r="AU217" s="87"/>
      <c r="AV217" s="816">
        <f t="shared" si="153"/>
        <v>0</v>
      </c>
      <c r="AW217" s="816">
        <f t="shared" si="154"/>
        <v>0</v>
      </c>
      <c r="AX217" s="816">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8"/>
      <c r="C218" s="1179"/>
      <c r="D218" s="2300"/>
      <c r="E218" s="81">
        <f t="shared" si="149"/>
        <v>0</v>
      </c>
      <c r="F218" s="82"/>
      <c r="G218" s="83">
        <f t="shared" si="150"/>
        <v>0</v>
      </c>
      <c r="H218" s="84">
        <f t="shared" si="151"/>
        <v>0</v>
      </c>
      <c r="I218" s="1179"/>
      <c r="J218" s="85"/>
      <c r="K218" s="1179"/>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9"/>
      <c r="AG218" s="86"/>
      <c r="AH218" s="86"/>
      <c r="AI218" s="86"/>
      <c r="AJ218" s="86"/>
      <c r="AK218" s="86"/>
      <c r="AL218" s="86"/>
      <c r="AM218" s="86"/>
      <c r="AN218" s="86"/>
      <c r="AO218" s="86"/>
      <c r="AP218" s="86"/>
      <c r="AQ218" s="86"/>
      <c r="AR218" s="86"/>
      <c r="AS218" s="86"/>
      <c r="AT218" s="82"/>
      <c r="AU218" s="87"/>
      <c r="AV218" s="816">
        <f t="shared" si="153"/>
        <v>0</v>
      </c>
      <c r="AW218" s="816">
        <f t="shared" si="154"/>
        <v>0</v>
      </c>
      <c r="AX218" s="816">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8"/>
      <c r="C219" s="1179"/>
      <c r="D219" s="2300"/>
      <c r="E219" s="81">
        <f t="shared" si="149"/>
        <v>0</v>
      </c>
      <c r="F219" s="82"/>
      <c r="G219" s="83">
        <f t="shared" si="150"/>
        <v>0</v>
      </c>
      <c r="H219" s="84">
        <f t="shared" si="151"/>
        <v>0</v>
      </c>
      <c r="I219" s="1179"/>
      <c r="J219" s="85"/>
      <c r="K219" s="1179"/>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9"/>
      <c r="AG219" s="86"/>
      <c r="AH219" s="86"/>
      <c r="AI219" s="86"/>
      <c r="AJ219" s="86"/>
      <c r="AK219" s="86"/>
      <c r="AL219" s="86"/>
      <c r="AM219" s="86"/>
      <c r="AN219" s="86"/>
      <c r="AO219" s="86"/>
      <c r="AP219" s="86"/>
      <c r="AQ219" s="86"/>
      <c r="AR219" s="86"/>
      <c r="AS219" s="86"/>
      <c r="AT219" s="82"/>
      <c r="AU219" s="87"/>
      <c r="AV219" s="816">
        <f t="shared" si="153"/>
        <v>0</v>
      </c>
      <c r="AW219" s="816">
        <f t="shared" si="154"/>
        <v>0</v>
      </c>
      <c r="AX219" s="816">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8"/>
      <c r="C220" s="1179"/>
      <c r="D220" s="2300"/>
      <c r="E220" s="81">
        <f t="shared" si="149"/>
        <v>0</v>
      </c>
      <c r="F220" s="82"/>
      <c r="G220" s="83">
        <f t="shared" si="150"/>
        <v>0</v>
      </c>
      <c r="H220" s="84">
        <f t="shared" si="151"/>
        <v>0</v>
      </c>
      <c r="I220" s="1179"/>
      <c r="J220" s="85"/>
      <c r="K220" s="1179"/>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9"/>
      <c r="AG220" s="86"/>
      <c r="AH220" s="86"/>
      <c r="AI220" s="86"/>
      <c r="AJ220" s="86"/>
      <c r="AK220" s="86"/>
      <c r="AL220" s="86"/>
      <c r="AM220" s="86"/>
      <c r="AN220" s="86"/>
      <c r="AO220" s="86"/>
      <c r="AP220" s="86"/>
      <c r="AQ220" s="86"/>
      <c r="AR220" s="86"/>
      <c r="AS220" s="86"/>
      <c r="AT220" s="82"/>
      <c r="AU220" s="87"/>
      <c r="AV220" s="816">
        <f t="shared" si="153"/>
        <v>0</v>
      </c>
      <c r="AW220" s="816">
        <f t="shared" si="154"/>
        <v>0</v>
      </c>
      <c r="AX220" s="816">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8"/>
      <c r="C221" s="1179"/>
      <c r="D221" s="2300"/>
      <c r="E221" s="81">
        <f t="shared" si="149"/>
        <v>0</v>
      </c>
      <c r="F221" s="82"/>
      <c r="G221" s="83">
        <f t="shared" si="150"/>
        <v>0</v>
      </c>
      <c r="H221" s="84">
        <f t="shared" si="151"/>
        <v>0</v>
      </c>
      <c r="I221" s="1179"/>
      <c r="J221" s="85"/>
      <c r="K221" s="1179"/>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9"/>
      <c r="AG221" s="86"/>
      <c r="AH221" s="86"/>
      <c r="AI221" s="86"/>
      <c r="AJ221" s="86"/>
      <c r="AK221" s="86"/>
      <c r="AL221" s="86"/>
      <c r="AM221" s="86"/>
      <c r="AN221" s="86"/>
      <c r="AO221" s="86"/>
      <c r="AP221" s="86"/>
      <c r="AQ221" s="86"/>
      <c r="AR221" s="86"/>
      <c r="AS221" s="86"/>
      <c r="AT221" s="82"/>
      <c r="AU221" s="87"/>
      <c r="AV221" s="816">
        <f t="shared" si="153"/>
        <v>0</v>
      </c>
      <c r="AW221" s="816">
        <f t="shared" si="154"/>
        <v>0</v>
      </c>
      <c r="AX221" s="816">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8"/>
      <c r="C222" s="1179"/>
      <c r="D222" s="2300"/>
      <c r="E222" s="81">
        <f t="shared" si="149"/>
        <v>0</v>
      </c>
      <c r="F222" s="82"/>
      <c r="G222" s="83">
        <f t="shared" si="150"/>
        <v>0</v>
      </c>
      <c r="H222" s="84">
        <f t="shared" si="151"/>
        <v>0</v>
      </c>
      <c r="I222" s="1179"/>
      <c r="J222" s="85"/>
      <c r="K222" s="1179"/>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9"/>
      <c r="AG222" s="86"/>
      <c r="AH222" s="86"/>
      <c r="AI222" s="86"/>
      <c r="AJ222" s="86"/>
      <c r="AK222" s="86"/>
      <c r="AL222" s="86"/>
      <c r="AM222" s="86"/>
      <c r="AN222" s="86"/>
      <c r="AO222" s="86"/>
      <c r="AP222" s="86"/>
      <c r="AQ222" s="86"/>
      <c r="AR222" s="86"/>
      <c r="AS222" s="86"/>
      <c r="AT222" s="82"/>
      <c r="AU222" s="87"/>
      <c r="AV222" s="816">
        <f t="shared" si="153"/>
        <v>0</v>
      </c>
      <c r="AW222" s="816">
        <f t="shared" si="154"/>
        <v>0</v>
      </c>
      <c r="AX222" s="816">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8"/>
      <c r="C223" s="1179"/>
      <c r="D223" s="2300"/>
      <c r="E223" s="81">
        <f t="shared" si="149"/>
        <v>0</v>
      </c>
      <c r="F223" s="82"/>
      <c r="G223" s="83">
        <f t="shared" si="150"/>
        <v>0</v>
      </c>
      <c r="H223" s="84">
        <f t="shared" si="151"/>
        <v>0</v>
      </c>
      <c r="I223" s="1179"/>
      <c r="J223" s="85"/>
      <c r="K223" s="1179"/>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9"/>
      <c r="AG223" s="86"/>
      <c r="AH223" s="86"/>
      <c r="AI223" s="86"/>
      <c r="AJ223" s="86"/>
      <c r="AK223" s="86"/>
      <c r="AL223" s="86"/>
      <c r="AM223" s="86"/>
      <c r="AN223" s="86"/>
      <c r="AO223" s="86"/>
      <c r="AP223" s="86"/>
      <c r="AQ223" s="86"/>
      <c r="AR223" s="86"/>
      <c r="AS223" s="86"/>
      <c r="AT223" s="82"/>
      <c r="AU223" s="87"/>
      <c r="AV223" s="816">
        <f t="shared" si="153"/>
        <v>0</v>
      </c>
      <c r="AW223" s="816">
        <f t="shared" si="154"/>
        <v>0</v>
      </c>
      <c r="AX223" s="816">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8"/>
      <c r="C224" s="1179"/>
      <c r="D224" s="2300"/>
      <c r="E224" s="81">
        <f t="shared" si="149"/>
        <v>0</v>
      </c>
      <c r="F224" s="82"/>
      <c r="G224" s="83">
        <f t="shared" si="150"/>
        <v>0</v>
      </c>
      <c r="H224" s="84">
        <f t="shared" si="151"/>
        <v>0</v>
      </c>
      <c r="I224" s="1179"/>
      <c r="J224" s="85"/>
      <c r="K224" s="1179"/>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9"/>
      <c r="AG224" s="86"/>
      <c r="AH224" s="86"/>
      <c r="AI224" s="86"/>
      <c r="AJ224" s="86"/>
      <c r="AK224" s="86"/>
      <c r="AL224" s="86"/>
      <c r="AM224" s="86"/>
      <c r="AN224" s="86"/>
      <c r="AO224" s="86"/>
      <c r="AP224" s="86"/>
      <c r="AQ224" s="86"/>
      <c r="AR224" s="86"/>
      <c r="AS224" s="86"/>
      <c r="AT224" s="82"/>
      <c r="AU224" s="87"/>
      <c r="AV224" s="816">
        <f t="shared" si="153"/>
        <v>0</v>
      </c>
      <c r="AW224" s="816">
        <f t="shared" si="154"/>
        <v>0</v>
      </c>
      <c r="AX224" s="816">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8"/>
      <c r="C225" s="1179"/>
      <c r="D225" s="2300"/>
      <c r="E225" s="81">
        <f t="shared" si="149"/>
        <v>0</v>
      </c>
      <c r="F225" s="82"/>
      <c r="G225" s="83">
        <f t="shared" si="150"/>
        <v>0</v>
      </c>
      <c r="H225" s="84">
        <f t="shared" si="151"/>
        <v>0</v>
      </c>
      <c r="I225" s="1179"/>
      <c r="J225" s="85"/>
      <c r="K225" s="1179"/>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9"/>
      <c r="AG225" s="86"/>
      <c r="AH225" s="86"/>
      <c r="AI225" s="86"/>
      <c r="AJ225" s="86"/>
      <c r="AK225" s="86"/>
      <c r="AL225" s="86"/>
      <c r="AM225" s="86"/>
      <c r="AN225" s="86"/>
      <c r="AO225" s="86"/>
      <c r="AP225" s="86"/>
      <c r="AQ225" s="86"/>
      <c r="AR225" s="86"/>
      <c r="AS225" s="86"/>
      <c r="AT225" s="82"/>
      <c r="AU225" s="87"/>
      <c r="AV225" s="816">
        <f t="shared" si="153"/>
        <v>0</v>
      </c>
      <c r="AW225" s="816">
        <f t="shared" si="154"/>
        <v>0</v>
      </c>
      <c r="AX225" s="816">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8"/>
      <c r="C226" s="1179"/>
      <c r="D226" s="2300"/>
      <c r="E226" s="81">
        <f t="shared" si="149"/>
        <v>0</v>
      </c>
      <c r="F226" s="82"/>
      <c r="G226" s="83">
        <f t="shared" si="150"/>
        <v>0</v>
      </c>
      <c r="H226" s="84">
        <f t="shared" si="151"/>
        <v>0</v>
      </c>
      <c r="I226" s="1179"/>
      <c r="J226" s="85"/>
      <c r="K226" s="1179"/>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9"/>
      <c r="AG226" s="86"/>
      <c r="AH226" s="86"/>
      <c r="AI226" s="86"/>
      <c r="AJ226" s="86"/>
      <c r="AK226" s="86"/>
      <c r="AL226" s="86"/>
      <c r="AM226" s="86"/>
      <c r="AN226" s="86"/>
      <c r="AO226" s="86"/>
      <c r="AP226" s="86"/>
      <c r="AQ226" s="86"/>
      <c r="AR226" s="86"/>
      <c r="AS226" s="86"/>
      <c r="AT226" s="82"/>
      <c r="AU226" s="87"/>
      <c r="AV226" s="816">
        <f t="shared" si="153"/>
        <v>0</v>
      </c>
      <c r="AW226" s="816">
        <f t="shared" si="154"/>
        <v>0</v>
      </c>
      <c r="AX226" s="816">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8"/>
      <c r="C227" s="1179"/>
      <c r="D227" s="2300"/>
      <c r="E227" s="81">
        <f t="shared" si="149"/>
        <v>0</v>
      </c>
      <c r="F227" s="82"/>
      <c r="G227" s="83">
        <f t="shared" si="150"/>
        <v>0</v>
      </c>
      <c r="H227" s="84">
        <f t="shared" si="151"/>
        <v>0</v>
      </c>
      <c r="I227" s="1179"/>
      <c r="J227" s="85"/>
      <c r="K227" s="1179"/>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9"/>
      <c r="AG227" s="86"/>
      <c r="AH227" s="86"/>
      <c r="AI227" s="86"/>
      <c r="AJ227" s="86"/>
      <c r="AK227" s="86"/>
      <c r="AL227" s="86"/>
      <c r="AM227" s="86"/>
      <c r="AN227" s="86"/>
      <c r="AO227" s="86"/>
      <c r="AP227" s="86"/>
      <c r="AQ227" s="86"/>
      <c r="AR227" s="86"/>
      <c r="AS227" s="86"/>
      <c r="AT227" s="82"/>
      <c r="AU227" s="87"/>
      <c r="AV227" s="816">
        <f t="shared" si="153"/>
        <v>0</v>
      </c>
      <c r="AW227" s="816">
        <f t="shared" si="154"/>
        <v>0</v>
      </c>
      <c r="AX227" s="816">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8"/>
      <c r="C228" s="1179"/>
      <c r="D228" s="2300"/>
      <c r="E228" s="81">
        <f t="shared" si="149"/>
        <v>0</v>
      </c>
      <c r="F228" s="82"/>
      <c r="G228" s="83">
        <f t="shared" si="150"/>
        <v>0</v>
      </c>
      <c r="H228" s="84">
        <f t="shared" si="151"/>
        <v>0</v>
      </c>
      <c r="I228" s="1179"/>
      <c r="J228" s="85"/>
      <c r="K228" s="1179"/>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9"/>
      <c r="AG228" s="86"/>
      <c r="AH228" s="86"/>
      <c r="AI228" s="86"/>
      <c r="AJ228" s="86"/>
      <c r="AK228" s="86"/>
      <c r="AL228" s="86"/>
      <c r="AM228" s="86"/>
      <c r="AN228" s="86"/>
      <c r="AO228" s="86"/>
      <c r="AP228" s="86"/>
      <c r="AQ228" s="86"/>
      <c r="AR228" s="86"/>
      <c r="AS228" s="86"/>
      <c r="AT228" s="82"/>
      <c r="AU228" s="87"/>
      <c r="AV228" s="816">
        <f t="shared" si="153"/>
        <v>0</v>
      </c>
      <c r="AW228" s="816">
        <f t="shared" si="154"/>
        <v>0</v>
      </c>
      <c r="AX228" s="816">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8"/>
      <c r="C229" s="1179"/>
      <c r="D229" s="2300"/>
      <c r="E229" s="81">
        <f t="shared" si="149"/>
        <v>0</v>
      </c>
      <c r="F229" s="82"/>
      <c r="G229" s="83">
        <f t="shared" si="150"/>
        <v>0</v>
      </c>
      <c r="H229" s="84">
        <f t="shared" si="151"/>
        <v>0</v>
      </c>
      <c r="I229" s="1179"/>
      <c r="J229" s="85"/>
      <c r="K229" s="1179"/>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9"/>
      <c r="AG229" s="86"/>
      <c r="AH229" s="86"/>
      <c r="AI229" s="86"/>
      <c r="AJ229" s="86"/>
      <c r="AK229" s="86"/>
      <c r="AL229" s="86"/>
      <c r="AM229" s="86"/>
      <c r="AN229" s="86"/>
      <c r="AO229" s="86"/>
      <c r="AP229" s="86"/>
      <c r="AQ229" s="86"/>
      <c r="AR229" s="86"/>
      <c r="AS229" s="86"/>
      <c r="AT229" s="82"/>
      <c r="AU229" s="87"/>
      <c r="AV229" s="816">
        <f t="shared" si="153"/>
        <v>0</v>
      </c>
      <c r="AW229" s="816">
        <f t="shared" si="154"/>
        <v>0</v>
      </c>
      <c r="AX229" s="816">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8"/>
      <c r="C230" s="1179"/>
      <c r="D230" s="2300"/>
      <c r="E230" s="81">
        <f t="shared" si="149"/>
        <v>0</v>
      </c>
      <c r="F230" s="82"/>
      <c r="G230" s="83">
        <f t="shared" si="150"/>
        <v>0</v>
      </c>
      <c r="H230" s="84">
        <f t="shared" si="151"/>
        <v>0</v>
      </c>
      <c r="I230" s="1179"/>
      <c r="J230" s="85"/>
      <c r="K230" s="1179"/>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9"/>
      <c r="AG230" s="86"/>
      <c r="AH230" s="86"/>
      <c r="AI230" s="86"/>
      <c r="AJ230" s="86"/>
      <c r="AK230" s="86"/>
      <c r="AL230" s="86"/>
      <c r="AM230" s="86"/>
      <c r="AN230" s="86"/>
      <c r="AO230" s="86"/>
      <c r="AP230" s="86"/>
      <c r="AQ230" s="86"/>
      <c r="AR230" s="86"/>
      <c r="AS230" s="86"/>
      <c r="AT230" s="82"/>
      <c r="AU230" s="87"/>
      <c r="AV230" s="816">
        <f t="shared" si="153"/>
        <v>0</v>
      </c>
      <c r="AW230" s="816">
        <f t="shared" si="154"/>
        <v>0</v>
      </c>
      <c r="AX230" s="816">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8"/>
      <c r="C231" s="1179"/>
      <c r="D231" s="2300"/>
      <c r="E231" s="81">
        <f t="shared" si="149"/>
        <v>0</v>
      </c>
      <c r="F231" s="82"/>
      <c r="G231" s="83">
        <f t="shared" si="150"/>
        <v>0</v>
      </c>
      <c r="H231" s="84">
        <f t="shared" si="151"/>
        <v>0</v>
      </c>
      <c r="I231" s="1179"/>
      <c r="J231" s="85"/>
      <c r="K231" s="1179"/>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9"/>
      <c r="AG231" s="86"/>
      <c r="AH231" s="86"/>
      <c r="AI231" s="86"/>
      <c r="AJ231" s="86"/>
      <c r="AK231" s="86"/>
      <c r="AL231" s="86"/>
      <c r="AM231" s="86"/>
      <c r="AN231" s="86"/>
      <c r="AO231" s="86"/>
      <c r="AP231" s="86"/>
      <c r="AQ231" s="86"/>
      <c r="AR231" s="86"/>
      <c r="AS231" s="86"/>
      <c r="AT231" s="82"/>
      <c r="AU231" s="87"/>
      <c r="AV231" s="816">
        <f t="shared" si="153"/>
        <v>0</v>
      </c>
      <c r="AW231" s="816">
        <f t="shared" si="154"/>
        <v>0</v>
      </c>
      <c r="AX231" s="816">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8"/>
      <c r="C232" s="1179"/>
      <c r="D232" s="2300"/>
      <c r="E232" s="81">
        <f t="shared" si="149"/>
        <v>0</v>
      </c>
      <c r="F232" s="82"/>
      <c r="G232" s="83">
        <f t="shared" si="150"/>
        <v>0</v>
      </c>
      <c r="H232" s="84">
        <f t="shared" si="151"/>
        <v>0</v>
      </c>
      <c r="I232" s="1179"/>
      <c r="J232" s="85"/>
      <c r="K232" s="1179"/>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9"/>
      <c r="AG232" s="86"/>
      <c r="AH232" s="86"/>
      <c r="AI232" s="86"/>
      <c r="AJ232" s="86"/>
      <c r="AK232" s="86"/>
      <c r="AL232" s="86"/>
      <c r="AM232" s="86"/>
      <c r="AN232" s="86"/>
      <c r="AO232" s="86"/>
      <c r="AP232" s="86"/>
      <c r="AQ232" s="86"/>
      <c r="AR232" s="86"/>
      <c r="AS232" s="86"/>
      <c r="AT232" s="82"/>
      <c r="AU232" s="87"/>
      <c r="AV232" s="816">
        <f t="shared" si="153"/>
        <v>0</v>
      </c>
      <c r="AW232" s="816">
        <f t="shared" si="154"/>
        <v>0</v>
      </c>
      <c r="AX232" s="816">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8"/>
      <c r="C233" s="1179"/>
      <c r="D233" s="2300"/>
      <c r="E233" s="81">
        <f t="shared" si="149"/>
        <v>0</v>
      </c>
      <c r="F233" s="82"/>
      <c r="G233" s="83">
        <f t="shared" si="150"/>
        <v>0</v>
      </c>
      <c r="H233" s="84">
        <f t="shared" si="151"/>
        <v>0</v>
      </c>
      <c r="I233" s="1179"/>
      <c r="J233" s="85"/>
      <c r="K233" s="1179"/>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9"/>
      <c r="AG233" s="86"/>
      <c r="AH233" s="86"/>
      <c r="AI233" s="86"/>
      <c r="AJ233" s="86"/>
      <c r="AK233" s="86"/>
      <c r="AL233" s="86"/>
      <c r="AM233" s="86"/>
      <c r="AN233" s="86"/>
      <c r="AO233" s="86"/>
      <c r="AP233" s="86"/>
      <c r="AQ233" s="86"/>
      <c r="AR233" s="86"/>
      <c r="AS233" s="86"/>
      <c r="AT233" s="82"/>
      <c r="AU233" s="87"/>
      <c r="AV233" s="816">
        <f t="shared" si="153"/>
        <v>0</v>
      </c>
      <c r="AW233" s="816">
        <f t="shared" si="154"/>
        <v>0</v>
      </c>
      <c r="AX233" s="816">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8"/>
      <c r="C234" s="1179"/>
      <c r="D234" s="2300"/>
      <c r="E234" s="81">
        <f t="shared" si="149"/>
        <v>0</v>
      </c>
      <c r="F234" s="82"/>
      <c r="G234" s="83">
        <f t="shared" si="150"/>
        <v>0</v>
      </c>
      <c r="H234" s="84">
        <f t="shared" si="151"/>
        <v>0</v>
      </c>
      <c r="I234" s="1179"/>
      <c r="J234" s="85"/>
      <c r="K234" s="1179"/>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9"/>
      <c r="AG234" s="86"/>
      <c r="AH234" s="86"/>
      <c r="AI234" s="86"/>
      <c r="AJ234" s="86"/>
      <c r="AK234" s="86"/>
      <c r="AL234" s="86"/>
      <c r="AM234" s="86"/>
      <c r="AN234" s="86"/>
      <c r="AO234" s="86"/>
      <c r="AP234" s="86"/>
      <c r="AQ234" s="86"/>
      <c r="AR234" s="86"/>
      <c r="AS234" s="86"/>
      <c r="AT234" s="82"/>
      <c r="AU234" s="87"/>
      <c r="AV234" s="816">
        <f t="shared" si="153"/>
        <v>0</v>
      </c>
      <c r="AW234" s="816">
        <f t="shared" si="154"/>
        <v>0</v>
      </c>
      <c r="AX234" s="816">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8"/>
      <c r="C235" s="1179"/>
      <c r="D235" s="2300"/>
      <c r="E235" s="81">
        <f t="shared" si="149"/>
        <v>0</v>
      </c>
      <c r="F235" s="82"/>
      <c r="G235" s="83">
        <f t="shared" si="150"/>
        <v>0</v>
      </c>
      <c r="H235" s="84">
        <f t="shared" si="151"/>
        <v>0</v>
      </c>
      <c r="I235" s="1179"/>
      <c r="J235" s="85"/>
      <c r="K235" s="1179"/>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9"/>
      <c r="AG235" s="86"/>
      <c r="AH235" s="86"/>
      <c r="AI235" s="86"/>
      <c r="AJ235" s="86"/>
      <c r="AK235" s="86"/>
      <c r="AL235" s="86"/>
      <c r="AM235" s="86"/>
      <c r="AN235" s="86"/>
      <c r="AO235" s="86"/>
      <c r="AP235" s="86"/>
      <c r="AQ235" s="86"/>
      <c r="AR235" s="86"/>
      <c r="AS235" s="86"/>
      <c r="AT235" s="82"/>
      <c r="AU235" s="87"/>
      <c r="AV235" s="816">
        <f t="shared" si="153"/>
        <v>0</v>
      </c>
      <c r="AW235" s="816">
        <f t="shared" si="154"/>
        <v>0</v>
      </c>
      <c r="AX235" s="816">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8"/>
      <c r="C236" s="1179"/>
      <c r="D236" s="2300"/>
      <c r="E236" s="81">
        <f t="shared" si="149"/>
        <v>0</v>
      </c>
      <c r="F236" s="82"/>
      <c r="G236" s="83">
        <f t="shared" si="150"/>
        <v>0</v>
      </c>
      <c r="H236" s="84">
        <f t="shared" si="151"/>
        <v>0</v>
      </c>
      <c r="I236" s="1179"/>
      <c r="J236" s="85"/>
      <c r="K236" s="1179"/>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9"/>
      <c r="AG236" s="86"/>
      <c r="AH236" s="86"/>
      <c r="AI236" s="86"/>
      <c r="AJ236" s="86"/>
      <c r="AK236" s="86"/>
      <c r="AL236" s="86"/>
      <c r="AM236" s="86"/>
      <c r="AN236" s="86"/>
      <c r="AO236" s="86"/>
      <c r="AP236" s="86"/>
      <c r="AQ236" s="86"/>
      <c r="AR236" s="86"/>
      <c r="AS236" s="86"/>
      <c r="AT236" s="82"/>
      <c r="AU236" s="87"/>
      <c r="AV236" s="816">
        <f t="shared" si="153"/>
        <v>0</v>
      </c>
      <c r="AW236" s="816">
        <f t="shared" si="154"/>
        <v>0</v>
      </c>
      <c r="AX236" s="816">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8"/>
      <c r="C237" s="1179"/>
      <c r="D237" s="2300"/>
      <c r="E237" s="81">
        <f t="shared" si="149"/>
        <v>0</v>
      </c>
      <c r="F237" s="82"/>
      <c r="G237" s="83">
        <f t="shared" si="150"/>
        <v>0</v>
      </c>
      <c r="H237" s="84">
        <f t="shared" si="151"/>
        <v>0</v>
      </c>
      <c r="I237" s="1179"/>
      <c r="J237" s="85"/>
      <c r="K237" s="1179"/>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9"/>
      <c r="AG237" s="86"/>
      <c r="AH237" s="86"/>
      <c r="AI237" s="86"/>
      <c r="AJ237" s="86"/>
      <c r="AK237" s="86"/>
      <c r="AL237" s="86"/>
      <c r="AM237" s="86"/>
      <c r="AN237" s="86"/>
      <c r="AO237" s="86"/>
      <c r="AP237" s="86"/>
      <c r="AQ237" s="86"/>
      <c r="AR237" s="86"/>
      <c r="AS237" s="86"/>
      <c r="AT237" s="82"/>
      <c r="AU237" s="87"/>
      <c r="AV237" s="816">
        <f t="shared" si="153"/>
        <v>0</v>
      </c>
      <c r="AW237" s="816">
        <f t="shared" si="154"/>
        <v>0</v>
      </c>
      <c r="AX237" s="816">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8"/>
      <c r="C238" s="1179"/>
      <c r="D238" s="2300"/>
      <c r="E238" s="81">
        <f t="shared" si="149"/>
        <v>0</v>
      </c>
      <c r="F238" s="82"/>
      <c r="G238" s="83">
        <f t="shared" si="150"/>
        <v>0</v>
      </c>
      <c r="H238" s="84">
        <f t="shared" si="151"/>
        <v>0</v>
      </c>
      <c r="I238" s="1179"/>
      <c r="J238" s="85"/>
      <c r="K238" s="1179"/>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9"/>
      <c r="AG238" s="86"/>
      <c r="AH238" s="86"/>
      <c r="AI238" s="86"/>
      <c r="AJ238" s="86"/>
      <c r="AK238" s="86"/>
      <c r="AL238" s="86"/>
      <c r="AM238" s="86"/>
      <c r="AN238" s="86"/>
      <c r="AO238" s="86"/>
      <c r="AP238" s="86"/>
      <c r="AQ238" s="86"/>
      <c r="AR238" s="86"/>
      <c r="AS238" s="86"/>
      <c r="AT238" s="82"/>
      <c r="AU238" s="87"/>
      <c r="AV238" s="816">
        <f t="shared" si="153"/>
        <v>0</v>
      </c>
      <c r="AW238" s="816">
        <f t="shared" si="154"/>
        <v>0</v>
      </c>
      <c r="AX238" s="816">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8"/>
      <c r="C239" s="1179"/>
      <c r="D239" s="2300"/>
      <c r="E239" s="81">
        <f t="shared" si="149"/>
        <v>0</v>
      </c>
      <c r="F239" s="82"/>
      <c r="G239" s="83">
        <f t="shared" si="150"/>
        <v>0</v>
      </c>
      <c r="H239" s="84">
        <f t="shared" si="151"/>
        <v>0</v>
      </c>
      <c r="I239" s="1179"/>
      <c r="J239" s="85"/>
      <c r="K239" s="1179"/>
      <c r="L239" s="85"/>
      <c r="M239" s="1179"/>
      <c r="N239" s="85"/>
      <c r="O239" s="85"/>
      <c r="P239" s="85"/>
      <c r="Q239" s="85"/>
      <c r="R239" s="85"/>
      <c r="S239" s="85"/>
      <c r="T239" s="85"/>
      <c r="U239" s="85"/>
      <c r="V239" s="85"/>
      <c r="W239" s="85"/>
      <c r="X239" s="85"/>
      <c r="Y239" s="85"/>
      <c r="Z239" s="85"/>
      <c r="AA239" s="85"/>
      <c r="AB239" s="85"/>
      <c r="AC239" s="81">
        <f t="shared" si="152"/>
        <v>0</v>
      </c>
      <c r="AD239" s="86"/>
      <c r="AE239" s="86"/>
      <c r="AF239" s="1179"/>
      <c r="AG239" s="86"/>
      <c r="AH239" s="86"/>
      <c r="AI239" s="86"/>
      <c r="AJ239" s="86"/>
      <c r="AK239" s="86"/>
      <c r="AL239" s="86"/>
      <c r="AM239" s="86"/>
      <c r="AN239" s="86"/>
      <c r="AO239" s="86"/>
      <c r="AP239" s="86"/>
      <c r="AQ239" s="86"/>
      <c r="AR239" s="86"/>
      <c r="AS239" s="86"/>
      <c r="AT239" s="82"/>
      <c r="AU239" s="87"/>
      <c r="AV239" s="816">
        <f t="shared" si="153"/>
        <v>0</v>
      </c>
      <c r="AW239" s="816">
        <f t="shared" si="154"/>
        <v>0</v>
      </c>
      <c r="AX239" s="816">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6">
        <f t="shared" si="153"/>
        <v>0</v>
      </c>
      <c r="AW240" s="816">
        <f t="shared" si="154"/>
        <v>0</v>
      </c>
      <c r="AX240" s="816">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6">
        <f t="shared" si="153"/>
        <v>0</v>
      </c>
      <c r="AW241" s="816">
        <f t="shared" si="154"/>
        <v>0</v>
      </c>
      <c r="AX241" s="816">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6">
        <f t="shared" si="153"/>
        <v>0</v>
      </c>
      <c r="AW242" s="816">
        <f t="shared" si="154"/>
        <v>0</v>
      </c>
      <c r="AX242" s="816">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6">
        <f t="shared" si="153"/>
        <v>0</v>
      </c>
      <c r="AW243" s="816">
        <f t="shared" si="154"/>
        <v>0</v>
      </c>
      <c r="AX243" s="816">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6">
        <f t="shared" si="153"/>
        <v>0</v>
      </c>
      <c r="AW244" s="816">
        <f t="shared" si="154"/>
        <v>0</v>
      </c>
      <c r="AX244" s="816">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6">
        <f t="shared" si="153"/>
        <v>0</v>
      </c>
      <c r="AW245" s="816">
        <f t="shared" si="154"/>
        <v>0</v>
      </c>
      <c r="AX245" s="816">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6">
        <f t="shared" si="153"/>
        <v>0</v>
      </c>
      <c r="AW246" s="816">
        <f t="shared" si="154"/>
        <v>0</v>
      </c>
      <c r="AX246" s="816">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6">
        <f t="shared" si="153"/>
        <v>0</v>
      </c>
      <c r="AW247" s="816">
        <f t="shared" si="154"/>
        <v>0</v>
      </c>
      <c r="AX247" s="816">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6">
        <f t="shared" si="153"/>
        <v>0</v>
      </c>
      <c r="AW248" s="816">
        <f t="shared" si="154"/>
        <v>0</v>
      </c>
      <c r="AX248" s="816">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6">
        <f t="shared" si="153"/>
        <v>0</v>
      </c>
      <c r="AW249" s="816">
        <f t="shared" si="154"/>
        <v>0</v>
      </c>
      <c r="AX249" s="816">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6">
        <f t="shared" si="153"/>
        <v>0</v>
      </c>
      <c r="AW250" s="816">
        <f t="shared" si="154"/>
        <v>0</v>
      </c>
      <c r="AX250" s="816">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6">
        <f t="shared" si="153"/>
        <v>0</v>
      </c>
      <c r="AW251" s="816">
        <f t="shared" si="154"/>
        <v>0</v>
      </c>
      <c r="AX251" s="816">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6">
        <f t="shared" si="153"/>
        <v>0</v>
      </c>
      <c r="AW252" s="816">
        <f t="shared" si="154"/>
        <v>0</v>
      </c>
      <c r="AX252" s="816">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6">
        <f t="shared" si="153"/>
        <v>0</v>
      </c>
      <c r="AW253" s="816">
        <f t="shared" si="154"/>
        <v>0</v>
      </c>
      <c r="AX253" s="816">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6">
        <f t="shared" si="153"/>
        <v>0</v>
      </c>
      <c r="AW254" s="816">
        <f t="shared" si="154"/>
        <v>0</v>
      </c>
      <c r="AX254" s="816">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6">
        <f t="shared" si="153"/>
        <v>0</v>
      </c>
      <c r="AW255" s="816">
        <f t="shared" si="154"/>
        <v>0</v>
      </c>
      <c r="AX255" s="816">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6">
        <f t="shared" si="153"/>
        <v>0</v>
      </c>
      <c r="AW256" s="816">
        <f t="shared" si="154"/>
        <v>0</v>
      </c>
      <c r="AX256" s="816">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6">
        <f t="shared" si="153"/>
        <v>0</v>
      </c>
      <c r="AW257" s="816">
        <f t="shared" si="154"/>
        <v>0</v>
      </c>
      <c r="AX257" s="816">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6">
        <f t="shared" si="153"/>
        <v>0</v>
      </c>
      <c r="AW258" s="816">
        <f t="shared" si="154"/>
        <v>0</v>
      </c>
      <c r="AX258" s="816">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6">
        <f t="shared" si="153"/>
        <v>0</v>
      </c>
      <c r="AW259" s="816">
        <f t="shared" si="154"/>
        <v>0</v>
      </c>
      <c r="AX259" s="816">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6">
        <f t="shared" si="153"/>
        <v>0</v>
      </c>
      <c r="AW260" s="816">
        <f t="shared" si="154"/>
        <v>0</v>
      </c>
      <c r="AX260" s="816">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6">
        <f t="shared" si="153"/>
        <v>0</v>
      </c>
      <c r="AW261" s="816">
        <f t="shared" si="154"/>
        <v>0</v>
      </c>
      <c r="AX261" s="816">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6">
        <f t="shared" si="153"/>
        <v>0</v>
      </c>
      <c r="AW262" s="816">
        <f t="shared" si="154"/>
        <v>0</v>
      </c>
      <c r="AX262" s="816">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6">
        <f t="shared" si="153"/>
        <v>0</v>
      </c>
      <c r="AW263" s="816">
        <f t="shared" si="154"/>
        <v>0</v>
      </c>
      <c r="AX263" s="816">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6">
        <f t="shared" si="153"/>
        <v>0</v>
      </c>
      <c r="AW264" s="816">
        <f t="shared" si="154"/>
        <v>0</v>
      </c>
      <c r="AX264" s="816">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6">
        <f t="shared" si="153"/>
        <v>0</v>
      </c>
      <c r="AW265" s="816">
        <f t="shared" si="154"/>
        <v>0</v>
      </c>
      <c r="AX265" s="816">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6">
        <f t="shared" si="153"/>
        <v>0</v>
      </c>
      <c r="AW266" s="816">
        <f t="shared" si="154"/>
        <v>0</v>
      </c>
      <c r="AX266" s="816">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6">
        <f t="shared" si="153"/>
        <v>0</v>
      </c>
      <c r="AW267" s="816">
        <f t="shared" si="154"/>
        <v>0</v>
      </c>
      <c r="AX267" s="816">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6">
        <f t="shared" si="153"/>
        <v>0</v>
      </c>
      <c r="AW268" s="816">
        <f t="shared" si="154"/>
        <v>0</v>
      </c>
      <c r="AX268" s="816">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6">
        <f t="shared" si="153"/>
        <v>0</v>
      </c>
      <c r="AW269" s="816">
        <f t="shared" si="154"/>
        <v>0</v>
      </c>
      <c r="AX269" s="816">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6">
        <f t="shared" si="153"/>
        <v>0</v>
      </c>
      <c r="AW270" s="816">
        <f t="shared" si="154"/>
        <v>0</v>
      </c>
      <c r="AX270" s="816">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6">
        <f t="shared" si="153"/>
        <v>0</v>
      </c>
      <c r="AW271" s="816">
        <f t="shared" si="154"/>
        <v>0</v>
      </c>
      <c r="AX271" s="816">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6">
        <f t="shared" si="153"/>
        <v>0</v>
      </c>
      <c r="AW272" s="816">
        <f t="shared" si="154"/>
        <v>0</v>
      </c>
      <c r="AX272" s="816">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6">
        <f t="shared" si="153"/>
        <v>0</v>
      </c>
      <c r="AW273" s="816">
        <f t="shared" si="154"/>
        <v>0</v>
      </c>
      <c r="AX273" s="816">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6">
        <f t="shared" si="153"/>
        <v>0</v>
      </c>
      <c r="AW274" s="816">
        <f t="shared" si="154"/>
        <v>0</v>
      </c>
      <c r="AX274" s="816">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6">
        <f t="shared" si="153"/>
        <v>0</v>
      </c>
      <c r="AW275" s="816">
        <f t="shared" si="154"/>
        <v>0</v>
      </c>
      <c r="AX275" s="816">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6">
        <f t="shared" si="153"/>
        <v>0</v>
      </c>
      <c r="AW276" s="816">
        <f t="shared" si="154"/>
        <v>0</v>
      </c>
      <c r="AX276" s="816">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6">
        <f t="shared" si="153"/>
        <v>0</v>
      </c>
      <c r="AW277" s="816">
        <f t="shared" si="154"/>
        <v>0</v>
      </c>
      <c r="AX277" s="816">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6">
        <f t="shared" si="153"/>
        <v>0</v>
      </c>
      <c r="AW278" s="816">
        <f t="shared" si="154"/>
        <v>0</v>
      </c>
      <c r="AX278" s="816">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6">
        <f t="shared" si="153"/>
        <v>0</v>
      </c>
      <c r="AW279" s="816">
        <f t="shared" si="154"/>
        <v>0</v>
      </c>
      <c r="AX279" s="816">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6">
        <f t="shared" si="153"/>
        <v>0</v>
      </c>
      <c r="AW280" s="816">
        <f t="shared" si="154"/>
        <v>0</v>
      </c>
      <c r="AX280" s="816">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6">
        <f t="shared" si="153"/>
        <v>0</v>
      </c>
      <c r="AW281" s="816">
        <f t="shared" si="154"/>
        <v>0</v>
      </c>
      <c r="AX281" s="816">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6">
        <f t="shared" si="153"/>
        <v>0</v>
      </c>
      <c r="AW282" s="816">
        <f t="shared" si="154"/>
        <v>0</v>
      </c>
      <c r="AX282" s="816">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6">
        <f t="shared" si="153"/>
        <v>0</v>
      </c>
      <c r="AW283" s="816">
        <f t="shared" si="154"/>
        <v>0</v>
      </c>
      <c r="AX283" s="816">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6">
        <f t="shared" si="153"/>
        <v>0</v>
      </c>
      <c r="AW284" s="816">
        <f t="shared" si="154"/>
        <v>0</v>
      </c>
      <c r="AX284" s="816">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6">
        <f t="shared" si="153"/>
        <v>0</v>
      </c>
      <c r="AW285" s="816">
        <f t="shared" si="154"/>
        <v>0</v>
      </c>
      <c r="AX285" s="816">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6">
        <f t="shared" si="153"/>
        <v>0</v>
      </c>
      <c r="AW286" s="816">
        <f t="shared" si="154"/>
        <v>0</v>
      </c>
      <c r="AX286" s="816">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6">
        <f t="shared" si="153"/>
        <v>0</v>
      </c>
      <c r="AW287" s="816">
        <f t="shared" si="154"/>
        <v>0</v>
      </c>
      <c r="AX287" s="816">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6">
        <f t="shared" si="153"/>
        <v>0</v>
      </c>
      <c r="AW288" s="816">
        <f t="shared" si="154"/>
        <v>0</v>
      </c>
      <c r="AX288" s="816">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6">
        <f t="shared" si="153"/>
        <v>0</v>
      </c>
      <c r="AW289" s="816">
        <f t="shared" si="154"/>
        <v>0</v>
      </c>
      <c r="AX289" s="816">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6">
        <f t="shared" si="153"/>
        <v>0</v>
      </c>
      <c r="AW290" s="816">
        <f t="shared" si="154"/>
        <v>0</v>
      </c>
      <c r="AX290" s="816">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6">
        <f t="shared" si="153"/>
        <v>0</v>
      </c>
      <c r="AW291" s="816">
        <f t="shared" si="154"/>
        <v>0</v>
      </c>
      <c r="AX291" s="816">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6">
        <f t="shared" si="153"/>
        <v>0</v>
      </c>
      <c r="AW292" s="816">
        <f t="shared" si="154"/>
        <v>0</v>
      </c>
      <c r="AX292" s="816">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6">
        <f t="shared" si="153"/>
        <v>0</v>
      </c>
      <c r="AW293" s="816">
        <f t="shared" si="154"/>
        <v>0</v>
      </c>
      <c r="AX293" s="816">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6">
        <f t="shared" si="153"/>
        <v>0</v>
      </c>
      <c r="AW294" s="816">
        <f t="shared" si="154"/>
        <v>0</v>
      </c>
      <c r="AX294" s="816">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6">
        <f t="shared" si="153"/>
        <v>0</v>
      </c>
      <c r="AW295" s="816">
        <f t="shared" si="154"/>
        <v>0</v>
      </c>
      <c r="AX295" s="816">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6">
        <f t="shared" si="153"/>
        <v>0</v>
      </c>
      <c r="AW296" s="816">
        <f t="shared" si="154"/>
        <v>0</v>
      </c>
      <c r="AX296" s="816">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8"/>
      <c r="C297" s="1179"/>
      <c r="D297" s="2300"/>
      <c r="E297" s="81">
        <f t="shared" ref="E297:E328" si="203">IF($C$3="是",ROUND($A$3*G297/$B$3,2),ROUND($A$3*(G297-AT297)/$B$3,2))</f>
        <v>0</v>
      </c>
      <c r="F297" s="82"/>
      <c r="G297" s="83">
        <f t="shared" si="178"/>
        <v>0</v>
      </c>
      <c r="H297" s="84">
        <f t="shared" si="179"/>
        <v>0</v>
      </c>
      <c r="I297" s="1179"/>
      <c r="J297" s="85"/>
      <c r="K297" s="1179"/>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0"/>
      <c r="AG297" s="86"/>
      <c r="AH297" s="86"/>
      <c r="AI297" s="86"/>
      <c r="AJ297" s="86"/>
      <c r="AK297" s="86"/>
      <c r="AL297" s="86"/>
      <c r="AM297" s="86"/>
      <c r="AN297" s="1156"/>
      <c r="AO297" s="86"/>
      <c r="AP297" s="86"/>
      <c r="AQ297" s="86"/>
      <c r="AR297" s="86"/>
      <c r="AS297" s="86"/>
      <c r="AT297" s="82"/>
      <c r="AU297" s="87"/>
      <c r="AV297" s="816">
        <f t="shared" ref="AV297:AV328" si="204">A297</f>
        <v>0</v>
      </c>
      <c r="AW297" s="816">
        <f t="shared" ref="AW297:AW328" si="205">B297</f>
        <v>0</v>
      </c>
      <c r="AX297" s="816">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8"/>
      <c r="C298" s="1179"/>
      <c r="D298" s="2300"/>
      <c r="E298" s="81">
        <f t="shared" si="203"/>
        <v>0</v>
      </c>
      <c r="F298" s="82"/>
      <c r="G298" s="83">
        <f t="shared" si="178"/>
        <v>0</v>
      </c>
      <c r="H298" s="84">
        <f t="shared" si="179"/>
        <v>0</v>
      </c>
      <c r="I298" s="1179"/>
      <c r="J298" s="85"/>
      <c r="K298" s="1179"/>
      <c r="L298" s="85"/>
      <c r="M298" s="1156"/>
      <c r="N298" s="85"/>
      <c r="O298" s="85"/>
      <c r="P298" s="85"/>
      <c r="Q298" s="85"/>
      <c r="R298" s="85"/>
      <c r="S298" s="85"/>
      <c r="T298" s="85"/>
      <c r="U298" s="85"/>
      <c r="V298" s="85"/>
      <c r="W298" s="85"/>
      <c r="X298" s="85"/>
      <c r="Y298" s="85"/>
      <c r="Z298" s="85"/>
      <c r="AA298" s="85"/>
      <c r="AB298" s="85"/>
      <c r="AC298" s="81">
        <f t="shared" si="180"/>
        <v>0</v>
      </c>
      <c r="AD298" s="1156"/>
      <c r="AE298" s="86"/>
      <c r="AF298" s="1180"/>
      <c r="AG298" s="86"/>
      <c r="AH298" s="86"/>
      <c r="AI298" s="86"/>
      <c r="AJ298" s="86"/>
      <c r="AK298" s="86"/>
      <c r="AL298" s="1156"/>
      <c r="AM298" s="86"/>
      <c r="AN298" s="1156"/>
      <c r="AO298" s="86"/>
      <c r="AP298" s="86"/>
      <c r="AQ298" s="86"/>
      <c r="AR298" s="86"/>
      <c r="AS298" s="86"/>
      <c r="AT298" s="82"/>
      <c r="AU298" s="87"/>
      <c r="AV298" s="816">
        <f t="shared" si="204"/>
        <v>0</v>
      </c>
      <c r="AW298" s="816">
        <f t="shared" si="205"/>
        <v>0</v>
      </c>
      <c r="AX298" s="816">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8"/>
      <c r="C299" s="1179"/>
      <c r="D299" s="2300"/>
      <c r="E299" s="81">
        <f t="shared" si="203"/>
        <v>0</v>
      </c>
      <c r="F299" s="82"/>
      <c r="G299" s="83">
        <f t="shared" si="178"/>
        <v>0</v>
      </c>
      <c r="H299" s="84">
        <f t="shared" si="179"/>
        <v>0</v>
      </c>
      <c r="I299" s="1179"/>
      <c r="J299" s="85"/>
      <c r="K299" s="1179"/>
      <c r="L299" s="85"/>
      <c r="M299" s="1156"/>
      <c r="N299" s="85"/>
      <c r="O299" s="85"/>
      <c r="P299" s="85"/>
      <c r="Q299" s="85"/>
      <c r="R299" s="85"/>
      <c r="S299" s="85"/>
      <c r="T299" s="85"/>
      <c r="U299" s="85"/>
      <c r="V299" s="85"/>
      <c r="W299" s="85"/>
      <c r="X299" s="85"/>
      <c r="Y299" s="85"/>
      <c r="Z299" s="85"/>
      <c r="AA299" s="85"/>
      <c r="AB299" s="85"/>
      <c r="AC299" s="81">
        <f t="shared" si="180"/>
        <v>0</v>
      </c>
      <c r="AD299" s="86"/>
      <c r="AE299" s="86"/>
      <c r="AF299" s="1180"/>
      <c r="AG299" s="86"/>
      <c r="AH299" s="86"/>
      <c r="AI299" s="86"/>
      <c r="AJ299" s="86"/>
      <c r="AK299" s="86"/>
      <c r="AL299" s="1156"/>
      <c r="AM299" s="86"/>
      <c r="AN299" s="1156"/>
      <c r="AO299" s="86"/>
      <c r="AP299" s="86"/>
      <c r="AQ299" s="86"/>
      <c r="AR299" s="86"/>
      <c r="AS299" s="86"/>
      <c r="AT299" s="82"/>
      <c r="AU299" s="87"/>
      <c r="AV299" s="816">
        <f t="shared" si="204"/>
        <v>0</v>
      </c>
      <c r="AW299" s="816">
        <f t="shared" si="205"/>
        <v>0</v>
      </c>
      <c r="AX299" s="816">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8"/>
      <c r="C300" s="1179"/>
      <c r="D300" s="2300"/>
      <c r="E300" s="81">
        <f t="shared" si="203"/>
        <v>0</v>
      </c>
      <c r="F300" s="82"/>
      <c r="G300" s="83">
        <f t="shared" si="178"/>
        <v>0</v>
      </c>
      <c r="H300" s="84">
        <f t="shared" si="179"/>
        <v>0</v>
      </c>
      <c r="I300" s="1179"/>
      <c r="J300" s="85"/>
      <c r="K300" s="1179"/>
      <c r="L300" s="85"/>
      <c r="M300" s="85"/>
      <c r="N300" s="85"/>
      <c r="O300" s="1156"/>
      <c r="P300" s="85"/>
      <c r="Q300" s="85"/>
      <c r="R300" s="85"/>
      <c r="S300" s="85"/>
      <c r="T300" s="85"/>
      <c r="U300" s="85"/>
      <c r="V300" s="85"/>
      <c r="W300" s="85"/>
      <c r="X300" s="85"/>
      <c r="Y300" s="85"/>
      <c r="Z300" s="85"/>
      <c r="AA300" s="85"/>
      <c r="AB300" s="85"/>
      <c r="AC300" s="81">
        <f t="shared" si="180"/>
        <v>0</v>
      </c>
      <c r="AD300" s="86"/>
      <c r="AE300" s="86"/>
      <c r="AF300" s="1180"/>
      <c r="AG300" s="86"/>
      <c r="AH300" s="86"/>
      <c r="AI300" s="86"/>
      <c r="AJ300" s="86"/>
      <c r="AK300" s="86"/>
      <c r="AL300" s="86"/>
      <c r="AM300" s="86"/>
      <c r="AN300" s="1156"/>
      <c r="AO300" s="86"/>
      <c r="AP300" s="86"/>
      <c r="AQ300" s="86"/>
      <c r="AR300" s="86"/>
      <c r="AS300" s="86"/>
      <c r="AT300" s="82"/>
      <c r="AU300" s="87"/>
      <c r="AV300" s="816">
        <f t="shared" si="204"/>
        <v>0</v>
      </c>
      <c r="AW300" s="816">
        <f t="shared" si="205"/>
        <v>0</v>
      </c>
      <c r="AX300" s="816">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8"/>
      <c r="C301" s="1179"/>
      <c r="D301" s="2300"/>
      <c r="E301" s="81">
        <f t="shared" si="203"/>
        <v>0</v>
      </c>
      <c r="F301" s="82"/>
      <c r="G301" s="83">
        <f t="shared" si="178"/>
        <v>0</v>
      </c>
      <c r="H301" s="84">
        <f t="shared" si="179"/>
        <v>0</v>
      </c>
      <c r="I301" s="1179"/>
      <c r="J301" s="85"/>
      <c r="K301" s="1179"/>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0"/>
      <c r="AG301" s="86"/>
      <c r="AH301" s="86"/>
      <c r="AI301" s="86"/>
      <c r="AJ301" s="86"/>
      <c r="AK301" s="86"/>
      <c r="AL301" s="86"/>
      <c r="AM301" s="86"/>
      <c r="AN301" s="86"/>
      <c r="AO301" s="86"/>
      <c r="AP301" s="86"/>
      <c r="AQ301" s="86"/>
      <c r="AR301" s="86"/>
      <c r="AS301" s="86"/>
      <c r="AT301" s="82"/>
      <c r="AU301" s="87"/>
      <c r="AV301" s="816">
        <f t="shared" si="204"/>
        <v>0</v>
      </c>
      <c r="AW301" s="816">
        <f t="shared" si="205"/>
        <v>0</v>
      </c>
      <c r="AX301" s="816">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8"/>
      <c r="C302" s="1179"/>
      <c r="D302" s="2300"/>
      <c r="E302" s="81">
        <f t="shared" si="203"/>
        <v>0</v>
      </c>
      <c r="F302" s="82"/>
      <c r="G302" s="83">
        <f t="shared" si="178"/>
        <v>0</v>
      </c>
      <c r="H302" s="84">
        <f t="shared" si="179"/>
        <v>0</v>
      </c>
      <c r="I302" s="1179"/>
      <c r="J302" s="85"/>
      <c r="K302" s="1179"/>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0"/>
      <c r="AG302" s="86"/>
      <c r="AH302" s="86"/>
      <c r="AI302" s="86"/>
      <c r="AJ302" s="86"/>
      <c r="AK302" s="86"/>
      <c r="AL302" s="86"/>
      <c r="AM302" s="86"/>
      <c r="AN302" s="86"/>
      <c r="AO302" s="86"/>
      <c r="AP302" s="86"/>
      <c r="AQ302" s="86"/>
      <c r="AR302" s="86"/>
      <c r="AS302" s="86"/>
      <c r="AT302" s="82"/>
      <c r="AU302" s="87"/>
      <c r="AV302" s="816">
        <f t="shared" si="204"/>
        <v>0</v>
      </c>
      <c r="AW302" s="816">
        <f t="shared" si="205"/>
        <v>0</v>
      </c>
      <c r="AX302" s="816">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8"/>
      <c r="C303" s="1179"/>
      <c r="D303" s="2300"/>
      <c r="E303" s="81">
        <f t="shared" si="203"/>
        <v>0</v>
      </c>
      <c r="F303" s="82"/>
      <c r="G303" s="83">
        <f t="shared" si="178"/>
        <v>0</v>
      </c>
      <c r="H303" s="84">
        <f t="shared" si="179"/>
        <v>0</v>
      </c>
      <c r="I303" s="1179"/>
      <c r="J303" s="85"/>
      <c r="K303" s="1179"/>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0"/>
      <c r="AG303" s="86"/>
      <c r="AH303" s="86"/>
      <c r="AI303" s="86"/>
      <c r="AJ303" s="86"/>
      <c r="AK303" s="86"/>
      <c r="AL303" s="86"/>
      <c r="AM303" s="86"/>
      <c r="AN303" s="86"/>
      <c r="AO303" s="86"/>
      <c r="AP303" s="86"/>
      <c r="AQ303" s="86"/>
      <c r="AR303" s="86"/>
      <c r="AS303" s="86"/>
      <c r="AT303" s="82"/>
      <c r="AU303" s="87"/>
      <c r="AV303" s="816">
        <f t="shared" si="204"/>
        <v>0</v>
      </c>
      <c r="AW303" s="816">
        <f t="shared" si="205"/>
        <v>0</v>
      </c>
      <c r="AX303" s="816">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8"/>
      <c r="C304" s="1179"/>
      <c r="D304" s="2300"/>
      <c r="E304" s="81">
        <f t="shared" si="203"/>
        <v>0</v>
      </c>
      <c r="F304" s="82"/>
      <c r="G304" s="83">
        <f t="shared" si="178"/>
        <v>0</v>
      </c>
      <c r="H304" s="84">
        <f t="shared" si="179"/>
        <v>0</v>
      </c>
      <c r="I304" s="1179"/>
      <c r="J304" s="85"/>
      <c r="K304" s="1179"/>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9"/>
      <c r="AG304" s="86"/>
      <c r="AH304" s="86"/>
      <c r="AI304" s="86"/>
      <c r="AJ304" s="86"/>
      <c r="AK304" s="86"/>
      <c r="AL304" s="86"/>
      <c r="AM304" s="86"/>
      <c r="AN304" s="86"/>
      <c r="AO304" s="86"/>
      <c r="AP304" s="86"/>
      <c r="AQ304" s="86"/>
      <c r="AR304" s="86"/>
      <c r="AS304" s="86"/>
      <c r="AT304" s="82"/>
      <c r="AU304" s="87"/>
      <c r="AV304" s="816">
        <f t="shared" si="204"/>
        <v>0</v>
      </c>
      <c r="AW304" s="816">
        <f t="shared" si="205"/>
        <v>0</v>
      </c>
      <c r="AX304" s="816">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8"/>
      <c r="C305" s="1179"/>
      <c r="D305" s="2300"/>
      <c r="E305" s="81">
        <f t="shared" si="203"/>
        <v>0</v>
      </c>
      <c r="F305" s="82"/>
      <c r="G305" s="83">
        <f t="shared" si="178"/>
        <v>0</v>
      </c>
      <c r="H305" s="84">
        <f t="shared" si="179"/>
        <v>0</v>
      </c>
      <c r="I305" s="1179"/>
      <c r="J305" s="85"/>
      <c r="K305" s="1179"/>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9"/>
      <c r="AG305" s="86"/>
      <c r="AH305" s="86"/>
      <c r="AI305" s="86"/>
      <c r="AJ305" s="86"/>
      <c r="AK305" s="86"/>
      <c r="AL305" s="86"/>
      <c r="AM305" s="86"/>
      <c r="AN305" s="86"/>
      <c r="AO305" s="86"/>
      <c r="AP305" s="86"/>
      <c r="AQ305" s="86"/>
      <c r="AR305" s="86"/>
      <c r="AS305" s="86"/>
      <c r="AT305" s="82"/>
      <c r="AU305" s="87"/>
      <c r="AV305" s="816">
        <f t="shared" si="204"/>
        <v>0</v>
      </c>
      <c r="AW305" s="816">
        <f t="shared" si="205"/>
        <v>0</v>
      </c>
      <c r="AX305" s="816">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8"/>
      <c r="C306" s="1179"/>
      <c r="D306" s="2300"/>
      <c r="E306" s="81">
        <f t="shared" si="203"/>
        <v>0</v>
      </c>
      <c r="F306" s="82"/>
      <c r="G306" s="83">
        <f t="shared" si="178"/>
        <v>0</v>
      </c>
      <c r="H306" s="84">
        <f t="shared" si="179"/>
        <v>0</v>
      </c>
      <c r="I306" s="1179"/>
      <c r="J306" s="85"/>
      <c r="K306" s="1179"/>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9"/>
      <c r="AG306" s="86"/>
      <c r="AH306" s="86"/>
      <c r="AI306" s="86"/>
      <c r="AJ306" s="86"/>
      <c r="AK306" s="86"/>
      <c r="AL306" s="86"/>
      <c r="AM306" s="86"/>
      <c r="AN306" s="86"/>
      <c r="AO306" s="86"/>
      <c r="AP306" s="86"/>
      <c r="AQ306" s="86"/>
      <c r="AR306" s="86"/>
      <c r="AS306" s="86"/>
      <c r="AT306" s="82"/>
      <c r="AU306" s="87"/>
      <c r="AV306" s="816">
        <f t="shared" si="204"/>
        <v>0</v>
      </c>
      <c r="AW306" s="816">
        <f t="shared" si="205"/>
        <v>0</v>
      </c>
      <c r="AX306" s="816">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8"/>
      <c r="C307" s="1179"/>
      <c r="D307" s="2300"/>
      <c r="E307" s="81">
        <f t="shared" si="203"/>
        <v>0</v>
      </c>
      <c r="F307" s="82"/>
      <c r="G307" s="83">
        <f t="shared" si="178"/>
        <v>0</v>
      </c>
      <c r="H307" s="84">
        <f t="shared" si="179"/>
        <v>0</v>
      </c>
      <c r="I307" s="1179"/>
      <c r="J307" s="85"/>
      <c r="K307" s="1179"/>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9"/>
      <c r="AG307" s="86"/>
      <c r="AH307" s="86"/>
      <c r="AI307" s="86"/>
      <c r="AJ307" s="86"/>
      <c r="AK307" s="86"/>
      <c r="AL307" s="86"/>
      <c r="AM307" s="86"/>
      <c r="AN307" s="86"/>
      <c r="AO307" s="86"/>
      <c r="AP307" s="86"/>
      <c r="AQ307" s="86"/>
      <c r="AR307" s="86"/>
      <c r="AS307" s="86"/>
      <c r="AT307" s="82"/>
      <c r="AU307" s="87"/>
      <c r="AV307" s="816">
        <f t="shared" si="204"/>
        <v>0</v>
      </c>
      <c r="AW307" s="816">
        <f t="shared" si="205"/>
        <v>0</v>
      </c>
      <c r="AX307" s="816">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8"/>
      <c r="C308" s="1179"/>
      <c r="D308" s="2300"/>
      <c r="E308" s="81">
        <f t="shared" si="203"/>
        <v>0</v>
      </c>
      <c r="F308" s="82"/>
      <c r="G308" s="83">
        <f t="shared" si="178"/>
        <v>0</v>
      </c>
      <c r="H308" s="84">
        <f t="shared" si="179"/>
        <v>0</v>
      </c>
      <c r="I308" s="1179"/>
      <c r="J308" s="85"/>
      <c r="K308" s="1179"/>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9"/>
      <c r="AG308" s="86"/>
      <c r="AH308" s="86"/>
      <c r="AI308" s="86"/>
      <c r="AJ308" s="86"/>
      <c r="AK308" s="86"/>
      <c r="AL308" s="86"/>
      <c r="AM308" s="86"/>
      <c r="AN308" s="86"/>
      <c r="AO308" s="86"/>
      <c r="AP308" s="86"/>
      <c r="AQ308" s="86"/>
      <c r="AR308" s="86"/>
      <c r="AS308" s="86"/>
      <c r="AT308" s="82"/>
      <c r="AU308" s="87"/>
      <c r="AV308" s="816">
        <f t="shared" si="204"/>
        <v>0</v>
      </c>
      <c r="AW308" s="816">
        <f t="shared" si="205"/>
        <v>0</v>
      </c>
      <c r="AX308" s="816">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8"/>
      <c r="C309" s="1179"/>
      <c r="D309" s="2300"/>
      <c r="E309" s="81">
        <f t="shared" si="203"/>
        <v>0</v>
      </c>
      <c r="F309" s="82"/>
      <c r="G309" s="83">
        <f t="shared" si="178"/>
        <v>0</v>
      </c>
      <c r="H309" s="84">
        <f t="shared" si="179"/>
        <v>0</v>
      </c>
      <c r="I309" s="1179"/>
      <c r="J309" s="85"/>
      <c r="K309" s="1179"/>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9"/>
      <c r="AG309" s="86"/>
      <c r="AH309" s="86"/>
      <c r="AI309" s="86"/>
      <c r="AJ309" s="86"/>
      <c r="AK309" s="86"/>
      <c r="AL309" s="86"/>
      <c r="AM309" s="86"/>
      <c r="AN309" s="86"/>
      <c r="AO309" s="86"/>
      <c r="AP309" s="86"/>
      <c r="AQ309" s="86"/>
      <c r="AR309" s="86"/>
      <c r="AS309" s="86"/>
      <c r="AT309" s="82"/>
      <c r="AU309" s="87"/>
      <c r="AV309" s="816">
        <f t="shared" si="204"/>
        <v>0</v>
      </c>
      <c r="AW309" s="816">
        <f t="shared" si="205"/>
        <v>0</v>
      </c>
      <c r="AX309" s="816">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8"/>
      <c r="C310" s="1179"/>
      <c r="D310" s="2300"/>
      <c r="E310" s="81">
        <f t="shared" si="203"/>
        <v>0</v>
      </c>
      <c r="F310" s="82"/>
      <c r="G310" s="83">
        <f t="shared" si="178"/>
        <v>0</v>
      </c>
      <c r="H310" s="84">
        <f t="shared" si="179"/>
        <v>0</v>
      </c>
      <c r="I310" s="1179"/>
      <c r="J310" s="85"/>
      <c r="K310" s="1179"/>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9"/>
      <c r="AG310" s="86"/>
      <c r="AH310" s="86"/>
      <c r="AI310" s="86"/>
      <c r="AJ310" s="86"/>
      <c r="AK310" s="86"/>
      <c r="AL310" s="86"/>
      <c r="AM310" s="86"/>
      <c r="AN310" s="86"/>
      <c r="AO310" s="86"/>
      <c r="AP310" s="86"/>
      <c r="AQ310" s="86"/>
      <c r="AR310" s="86"/>
      <c r="AS310" s="86"/>
      <c r="AT310" s="82"/>
      <c r="AU310" s="87"/>
      <c r="AV310" s="816">
        <f t="shared" si="204"/>
        <v>0</v>
      </c>
      <c r="AW310" s="816">
        <f t="shared" si="205"/>
        <v>0</v>
      </c>
      <c r="AX310" s="816">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8"/>
      <c r="C311" s="1179"/>
      <c r="D311" s="2300"/>
      <c r="E311" s="81">
        <f t="shared" si="203"/>
        <v>0</v>
      </c>
      <c r="F311" s="82"/>
      <c r="G311" s="83">
        <f t="shared" si="178"/>
        <v>0</v>
      </c>
      <c r="H311" s="84">
        <f t="shared" si="179"/>
        <v>0</v>
      </c>
      <c r="I311" s="1179"/>
      <c r="J311" s="85"/>
      <c r="K311" s="1179"/>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9"/>
      <c r="AG311" s="86"/>
      <c r="AH311" s="86"/>
      <c r="AI311" s="86"/>
      <c r="AJ311" s="86"/>
      <c r="AK311" s="86"/>
      <c r="AL311" s="86"/>
      <c r="AM311" s="86"/>
      <c r="AN311" s="86"/>
      <c r="AO311" s="86"/>
      <c r="AP311" s="86"/>
      <c r="AQ311" s="86"/>
      <c r="AR311" s="86"/>
      <c r="AS311" s="86"/>
      <c r="AT311" s="82"/>
      <c r="AU311" s="87"/>
      <c r="AV311" s="816">
        <f t="shared" si="204"/>
        <v>0</v>
      </c>
      <c r="AW311" s="816">
        <f t="shared" si="205"/>
        <v>0</v>
      </c>
      <c r="AX311" s="816">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8"/>
      <c r="C312" s="1179"/>
      <c r="D312" s="2300"/>
      <c r="E312" s="81">
        <f t="shared" si="203"/>
        <v>0</v>
      </c>
      <c r="F312" s="82"/>
      <c r="G312" s="83">
        <f t="shared" si="178"/>
        <v>0</v>
      </c>
      <c r="H312" s="84">
        <f t="shared" si="179"/>
        <v>0</v>
      </c>
      <c r="I312" s="1179"/>
      <c r="J312" s="85"/>
      <c r="K312" s="1179"/>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9"/>
      <c r="AG312" s="86"/>
      <c r="AH312" s="86"/>
      <c r="AI312" s="86"/>
      <c r="AJ312" s="86"/>
      <c r="AK312" s="86"/>
      <c r="AL312" s="86"/>
      <c r="AM312" s="86"/>
      <c r="AN312" s="86"/>
      <c r="AO312" s="86"/>
      <c r="AP312" s="86"/>
      <c r="AQ312" s="86"/>
      <c r="AR312" s="86"/>
      <c r="AS312" s="86"/>
      <c r="AT312" s="82"/>
      <c r="AU312" s="87"/>
      <c r="AV312" s="816">
        <f t="shared" si="204"/>
        <v>0</v>
      </c>
      <c r="AW312" s="816">
        <f t="shared" si="205"/>
        <v>0</v>
      </c>
      <c r="AX312" s="816">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8"/>
      <c r="C313" s="1179"/>
      <c r="D313" s="2300"/>
      <c r="E313" s="81">
        <f t="shared" si="203"/>
        <v>0</v>
      </c>
      <c r="F313" s="82"/>
      <c r="G313" s="83">
        <f t="shared" si="178"/>
        <v>0</v>
      </c>
      <c r="H313" s="84">
        <f t="shared" si="179"/>
        <v>0</v>
      </c>
      <c r="I313" s="1179"/>
      <c r="J313" s="85"/>
      <c r="K313" s="1179"/>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9"/>
      <c r="AG313" s="86"/>
      <c r="AH313" s="86"/>
      <c r="AI313" s="86"/>
      <c r="AJ313" s="86"/>
      <c r="AK313" s="86"/>
      <c r="AL313" s="86"/>
      <c r="AM313" s="86"/>
      <c r="AN313" s="86"/>
      <c r="AO313" s="86"/>
      <c r="AP313" s="86"/>
      <c r="AQ313" s="86"/>
      <c r="AR313" s="86"/>
      <c r="AS313" s="86"/>
      <c r="AT313" s="82"/>
      <c r="AU313" s="87"/>
      <c r="AV313" s="816">
        <f t="shared" si="204"/>
        <v>0</v>
      </c>
      <c r="AW313" s="816">
        <f t="shared" si="205"/>
        <v>0</v>
      </c>
      <c r="AX313" s="816">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8"/>
      <c r="C314" s="1179"/>
      <c r="D314" s="2300"/>
      <c r="E314" s="81">
        <f t="shared" si="203"/>
        <v>0</v>
      </c>
      <c r="F314" s="82"/>
      <c r="G314" s="83">
        <f t="shared" si="178"/>
        <v>0</v>
      </c>
      <c r="H314" s="84">
        <f t="shared" si="179"/>
        <v>0</v>
      </c>
      <c r="I314" s="1179"/>
      <c r="J314" s="85"/>
      <c r="K314" s="1179"/>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9"/>
      <c r="AG314" s="86"/>
      <c r="AH314" s="86"/>
      <c r="AI314" s="86"/>
      <c r="AJ314" s="86"/>
      <c r="AK314" s="86"/>
      <c r="AL314" s="86"/>
      <c r="AM314" s="86"/>
      <c r="AN314" s="86"/>
      <c r="AO314" s="86"/>
      <c r="AP314" s="86"/>
      <c r="AQ314" s="86"/>
      <c r="AR314" s="86"/>
      <c r="AS314" s="86"/>
      <c r="AT314" s="82"/>
      <c r="AU314" s="87"/>
      <c r="AV314" s="816">
        <f t="shared" si="204"/>
        <v>0</v>
      </c>
      <c r="AW314" s="816">
        <f t="shared" si="205"/>
        <v>0</v>
      </c>
      <c r="AX314" s="816">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8"/>
      <c r="C315" s="1179"/>
      <c r="D315" s="2300"/>
      <c r="E315" s="81">
        <f t="shared" si="203"/>
        <v>0</v>
      </c>
      <c r="F315" s="82"/>
      <c r="G315" s="83">
        <f t="shared" si="178"/>
        <v>0</v>
      </c>
      <c r="H315" s="84">
        <f t="shared" si="179"/>
        <v>0</v>
      </c>
      <c r="I315" s="1179"/>
      <c r="J315" s="85"/>
      <c r="K315" s="1179"/>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9"/>
      <c r="AG315" s="86"/>
      <c r="AH315" s="86"/>
      <c r="AI315" s="86"/>
      <c r="AJ315" s="86"/>
      <c r="AK315" s="86"/>
      <c r="AL315" s="86"/>
      <c r="AM315" s="86"/>
      <c r="AN315" s="86"/>
      <c r="AO315" s="86"/>
      <c r="AP315" s="86"/>
      <c r="AQ315" s="86"/>
      <c r="AR315" s="86"/>
      <c r="AS315" s="86"/>
      <c r="AT315" s="82"/>
      <c r="AU315" s="87"/>
      <c r="AV315" s="816">
        <f t="shared" si="204"/>
        <v>0</v>
      </c>
      <c r="AW315" s="816">
        <f t="shared" si="205"/>
        <v>0</v>
      </c>
      <c r="AX315" s="816">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8"/>
      <c r="C316" s="1179"/>
      <c r="D316" s="2300"/>
      <c r="E316" s="81">
        <f t="shared" si="203"/>
        <v>0</v>
      </c>
      <c r="F316" s="82"/>
      <c r="G316" s="83">
        <f t="shared" si="178"/>
        <v>0</v>
      </c>
      <c r="H316" s="84">
        <f t="shared" si="179"/>
        <v>0</v>
      </c>
      <c r="I316" s="1179"/>
      <c r="J316" s="85"/>
      <c r="K316" s="1179"/>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9"/>
      <c r="AG316" s="86"/>
      <c r="AH316" s="86"/>
      <c r="AI316" s="86"/>
      <c r="AJ316" s="86"/>
      <c r="AK316" s="86"/>
      <c r="AL316" s="86"/>
      <c r="AM316" s="86"/>
      <c r="AN316" s="86"/>
      <c r="AO316" s="86"/>
      <c r="AP316" s="86"/>
      <c r="AQ316" s="86"/>
      <c r="AR316" s="86"/>
      <c r="AS316" s="86"/>
      <c r="AT316" s="82"/>
      <c r="AU316" s="87"/>
      <c r="AV316" s="816">
        <f t="shared" si="204"/>
        <v>0</v>
      </c>
      <c r="AW316" s="816">
        <f t="shared" si="205"/>
        <v>0</v>
      </c>
      <c r="AX316" s="816">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8"/>
      <c r="C317" s="1179"/>
      <c r="D317" s="2300"/>
      <c r="E317" s="81">
        <f t="shared" si="203"/>
        <v>0</v>
      </c>
      <c r="F317" s="82"/>
      <c r="G317" s="83">
        <f t="shared" si="178"/>
        <v>0</v>
      </c>
      <c r="H317" s="84">
        <f t="shared" si="179"/>
        <v>0</v>
      </c>
      <c r="I317" s="1179"/>
      <c r="J317" s="85"/>
      <c r="K317" s="1179"/>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9"/>
      <c r="AG317" s="86"/>
      <c r="AH317" s="86"/>
      <c r="AI317" s="86"/>
      <c r="AJ317" s="86"/>
      <c r="AK317" s="86"/>
      <c r="AL317" s="86"/>
      <c r="AM317" s="86"/>
      <c r="AN317" s="86"/>
      <c r="AO317" s="86"/>
      <c r="AP317" s="86"/>
      <c r="AQ317" s="86"/>
      <c r="AR317" s="86"/>
      <c r="AS317" s="86"/>
      <c r="AT317" s="82"/>
      <c r="AU317" s="87"/>
      <c r="AV317" s="816">
        <f t="shared" si="204"/>
        <v>0</v>
      </c>
      <c r="AW317" s="816">
        <f t="shared" si="205"/>
        <v>0</v>
      </c>
      <c r="AX317" s="816">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8"/>
      <c r="C318" s="1179"/>
      <c r="D318" s="2300"/>
      <c r="E318" s="81">
        <f t="shared" si="203"/>
        <v>0</v>
      </c>
      <c r="F318" s="82"/>
      <c r="G318" s="83">
        <f t="shared" si="178"/>
        <v>0</v>
      </c>
      <c r="H318" s="84">
        <f t="shared" si="179"/>
        <v>0</v>
      </c>
      <c r="I318" s="1179"/>
      <c r="J318" s="85"/>
      <c r="K318" s="1179"/>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9"/>
      <c r="AG318" s="86"/>
      <c r="AH318" s="86"/>
      <c r="AI318" s="86"/>
      <c r="AJ318" s="86"/>
      <c r="AK318" s="86"/>
      <c r="AL318" s="86"/>
      <c r="AM318" s="86"/>
      <c r="AN318" s="86"/>
      <c r="AO318" s="86"/>
      <c r="AP318" s="86"/>
      <c r="AQ318" s="86"/>
      <c r="AR318" s="86"/>
      <c r="AS318" s="86"/>
      <c r="AT318" s="82"/>
      <c r="AU318" s="87"/>
      <c r="AV318" s="816">
        <f t="shared" si="204"/>
        <v>0</v>
      </c>
      <c r="AW318" s="816">
        <f t="shared" si="205"/>
        <v>0</v>
      </c>
      <c r="AX318" s="816">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8"/>
      <c r="C319" s="1179"/>
      <c r="D319" s="2300"/>
      <c r="E319" s="81">
        <f t="shared" si="203"/>
        <v>0</v>
      </c>
      <c r="F319" s="82"/>
      <c r="G319" s="83">
        <f t="shared" si="178"/>
        <v>0</v>
      </c>
      <c r="H319" s="84">
        <f t="shared" si="179"/>
        <v>0</v>
      </c>
      <c r="I319" s="1179"/>
      <c r="J319" s="85"/>
      <c r="K319" s="1179"/>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9"/>
      <c r="AG319" s="86"/>
      <c r="AH319" s="86"/>
      <c r="AI319" s="86"/>
      <c r="AJ319" s="86"/>
      <c r="AK319" s="86"/>
      <c r="AL319" s="86"/>
      <c r="AM319" s="86"/>
      <c r="AN319" s="86"/>
      <c r="AO319" s="86"/>
      <c r="AP319" s="86"/>
      <c r="AQ319" s="86"/>
      <c r="AR319" s="86"/>
      <c r="AS319" s="86"/>
      <c r="AT319" s="82"/>
      <c r="AU319" s="87"/>
      <c r="AV319" s="816">
        <f t="shared" si="204"/>
        <v>0</v>
      </c>
      <c r="AW319" s="816">
        <f t="shared" si="205"/>
        <v>0</v>
      </c>
      <c r="AX319" s="816">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8"/>
      <c r="C320" s="1179"/>
      <c r="D320" s="2300"/>
      <c r="E320" s="81">
        <f t="shared" si="203"/>
        <v>0</v>
      </c>
      <c r="F320" s="82"/>
      <c r="G320" s="83">
        <f t="shared" si="178"/>
        <v>0</v>
      </c>
      <c r="H320" s="84">
        <f t="shared" si="179"/>
        <v>0</v>
      </c>
      <c r="I320" s="1179"/>
      <c r="J320" s="85"/>
      <c r="K320" s="1179"/>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9"/>
      <c r="AG320" s="86"/>
      <c r="AH320" s="86"/>
      <c r="AI320" s="86"/>
      <c r="AJ320" s="86"/>
      <c r="AK320" s="86"/>
      <c r="AL320" s="86"/>
      <c r="AM320" s="86"/>
      <c r="AN320" s="86"/>
      <c r="AO320" s="86"/>
      <c r="AP320" s="86"/>
      <c r="AQ320" s="86"/>
      <c r="AR320" s="86"/>
      <c r="AS320" s="86"/>
      <c r="AT320" s="82"/>
      <c r="AU320" s="87"/>
      <c r="AV320" s="816">
        <f t="shared" si="204"/>
        <v>0</v>
      </c>
      <c r="AW320" s="816">
        <f t="shared" si="205"/>
        <v>0</v>
      </c>
      <c r="AX320" s="816">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8"/>
      <c r="C321" s="1179"/>
      <c r="D321" s="2300"/>
      <c r="E321" s="81">
        <f t="shared" si="203"/>
        <v>0</v>
      </c>
      <c r="F321" s="82"/>
      <c r="G321" s="83">
        <f t="shared" si="178"/>
        <v>0</v>
      </c>
      <c r="H321" s="84">
        <f t="shared" si="179"/>
        <v>0</v>
      </c>
      <c r="I321" s="1179"/>
      <c r="J321" s="85"/>
      <c r="K321" s="1179"/>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9"/>
      <c r="AG321" s="86"/>
      <c r="AH321" s="86"/>
      <c r="AI321" s="86"/>
      <c r="AJ321" s="86"/>
      <c r="AK321" s="86"/>
      <c r="AL321" s="86"/>
      <c r="AM321" s="86"/>
      <c r="AN321" s="86"/>
      <c r="AO321" s="86"/>
      <c r="AP321" s="86"/>
      <c r="AQ321" s="86"/>
      <c r="AR321" s="86"/>
      <c r="AS321" s="86"/>
      <c r="AT321" s="82"/>
      <c r="AU321" s="87"/>
      <c r="AV321" s="816">
        <f t="shared" si="204"/>
        <v>0</v>
      </c>
      <c r="AW321" s="816">
        <f t="shared" si="205"/>
        <v>0</v>
      </c>
      <c r="AX321" s="816">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8"/>
      <c r="C322" s="1179"/>
      <c r="D322" s="2300"/>
      <c r="E322" s="81">
        <f t="shared" si="203"/>
        <v>0</v>
      </c>
      <c r="F322" s="82"/>
      <c r="G322" s="83">
        <f t="shared" si="178"/>
        <v>0</v>
      </c>
      <c r="H322" s="84">
        <f t="shared" si="179"/>
        <v>0</v>
      </c>
      <c r="I322" s="1179"/>
      <c r="J322" s="85"/>
      <c r="K322" s="1179"/>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9"/>
      <c r="AG322" s="86"/>
      <c r="AH322" s="86"/>
      <c r="AI322" s="86"/>
      <c r="AJ322" s="86"/>
      <c r="AK322" s="86"/>
      <c r="AL322" s="86"/>
      <c r="AM322" s="86"/>
      <c r="AN322" s="86"/>
      <c r="AO322" s="86"/>
      <c r="AP322" s="86"/>
      <c r="AQ322" s="86"/>
      <c r="AR322" s="86"/>
      <c r="AS322" s="86"/>
      <c r="AT322" s="82"/>
      <c r="AU322" s="87"/>
      <c r="AV322" s="816">
        <f t="shared" si="204"/>
        <v>0</v>
      </c>
      <c r="AW322" s="816">
        <f t="shared" si="205"/>
        <v>0</v>
      </c>
      <c r="AX322" s="816">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8"/>
      <c r="C323" s="1179"/>
      <c r="D323" s="2300"/>
      <c r="E323" s="81">
        <f t="shared" si="203"/>
        <v>0</v>
      </c>
      <c r="F323" s="82"/>
      <c r="G323" s="83">
        <f t="shared" si="178"/>
        <v>0</v>
      </c>
      <c r="H323" s="84">
        <f t="shared" si="179"/>
        <v>0</v>
      </c>
      <c r="I323" s="1179"/>
      <c r="J323" s="85"/>
      <c r="K323" s="1179"/>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9"/>
      <c r="AG323" s="86"/>
      <c r="AH323" s="86"/>
      <c r="AI323" s="86"/>
      <c r="AJ323" s="86"/>
      <c r="AK323" s="86"/>
      <c r="AL323" s="86"/>
      <c r="AM323" s="86"/>
      <c r="AN323" s="86"/>
      <c r="AO323" s="86"/>
      <c r="AP323" s="86"/>
      <c r="AQ323" s="86"/>
      <c r="AR323" s="86"/>
      <c r="AS323" s="86"/>
      <c r="AT323" s="82"/>
      <c r="AU323" s="87"/>
      <c r="AV323" s="816">
        <f t="shared" si="204"/>
        <v>0</v>
      </c>
      <c r="AW323" s="816">
        <f t="shared" si="205"/>
        <v>0</v>
      </c>
      <c r="AX323" s="816">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8"/>
      <c r="C324" s="1179"/>
      <c r="D324" s="2300"/>
      <c r="E324" s="81">
        <f t="shared" si="203"/>
        <v>0</v>
      </c>
      <c r="F324" s="82"/>
      <c r="G324" s="83">
        <f t="shared" si="178"/>
        <v>0</v>
      </c>
      <c r="H324" s="84">
        <f t="shared" si="179"/>
        <v>0</v>
      </c>
      <c r="I324" s="1179"/>
      <c r="J324" s="85"/>
      <c r="K324" s="1179"/>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9"/>
      <c r="AG324" s="86"/>
      <c r="AH324" s="86"/>
      <c r="AI324" s="86"/>
      <c r="AJ324" s="86"/>
      <c r="AK324" s="86"/>
      <c r="AL324" s="86"/>
      <c r="AM324" s="86"/>
      <c r="AN324" s="86"/>
      <c r="AO324" s="86"/>
      <c r="AP324" s="86"/>
      <c r="AQ324" s="86"/>
      <c r="AR324" s="86"/>
      <c r="AS324" s="86"/>
      <c r="AT324" s="82"/>
      <c r="AU324" s="87"/>
      <c r="AV324" s="816">
        <f t="shared" si="204"/>
        <v>0</v>
      </c>
      <c r="AW324" s="816">
        <f t="shared" si="205"/>
        <v>0</v>
      </c>
      <c r="AX324" s="816">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8"/>
      <c r="C325" s="1179"/>
      <c r="D325" s="2300"/>
      <c r="E325" s="81">
        <f t="shared" si="203"/>
        <v>0</v>
      </c>
      <c r="F325" s="82"/>
      <c r="G325" s="83">
        <f t="shared" si="178"/>
        <v>0</v>
      </c>
      <c r="H325" s="84">
        <f t="shared" si="179"/>
        <v>0</v>
      </c>
      <c r="I325" s="1179"/>
      <c r="J325" s="85"/>
      <c r="K325" s="1179"/>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9"/>
      <c r="AG325" s="86"/>
      <c r="AH325" s="86"/>
      <c r="AI325" s="86"/>
      <c r="AJ325" s="86"/>
      <c r="AK325" s="86"/>
      <c r="AL325" s="86"/>
      <c r="AM325" s="86"/>
      <c r="AN325" s="86"/>
      <c r="AO325" s="86"/>
      <c r="AP325" s="86"/>
      <c r="AQ325" s="86"/>
      <c r="AR325" s="86"/>
      <c r="AS325" s="86"/>
      <c r="AT325" s="82"/>
      <c r="AU325" s="87"/>
      <c r="AV325" s="816">
        <f t="shared" si="204"/>
        <v>0</v>
      </c>
      <c r="AW325" s="816">
        <f t="shared" si="205"/>
        <v>0</v>
      </c>
      <c r="AX325" s="816">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8"/>
      <c r="C326" s="1179"/>
      <c r="D326" s="2300"/>
      <c r="E326" s="81">
        <f t="shared" si="203"/>
        <v>0</v>
      </c>
      <c r="F326" s="82"/>
      <c r="G326" s="83">
        <f t="shared" ref="G326:G357" si="207">H326+AC326+AT326</f>
        <v>0</v>
      </c>
      <c r="H326" s="84">
        <f t="shared" ref="H326:H357" si="208">SUMIF(I$12:AB$12,"总值",I326:AB326)</f>
        <v>0</v>
      </c>
      <c r="I326" s="1179"/>
      <c r="J326" s="85"/>
      <c r="K326" s="1179"/>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9"/>
      <c r="AG326" s="86"/>
      <c r="AH326" s="86"/>
      <c r="AI326" s="86"/>
      <c r="AJ326" s="86"/>
      <c r="AK326" s="86"/>
      <c r="AL326" s="86"/>
      <c r="AM326" s="86"/>
      <c r="AN326" s="86"/>
      <c r="AO326" s="86"/>
      <c r="AP326" s="86"/>
      <c r="AQ326" s="86"/>
      <c r="AR326" s="86"/>
      <c r="AS326" s="86"/>
      <c r="AT326" s="82"/>
      <c r="AU326" s="87"/>
      <c r="AV326" s="816">
        <f t="shared" si="204"/>
        <v>0</v>
      </c>
      <c r="AW326" s="816">
        <f t="shared" si="205"/>
        <v>0</v>
      </c>
      <c r="AX326" s="816">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8"/>
      <c r="C327" s="1179"/>
      <c r="D327" s="2300"/>
      <c r="E327" s="81">
        <f t="shared" si="203"/>
        <v>0</v>
      </c>
      <c r="F327" s="82"/>
      <c r="G327" s="83">
        <f t="shared" si="207"/>
        <v>0</v>
      </c>
      <c r="H327" s="84">
        <f t="shared" si="208"/>
        <v>0</v>
      </c>
      <c r="I327" s="1179"/>
      <c r="J327" s="85"/>
      <c r="K327" s="1179"/>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9"/>
      <c r="AG327" s="86"/>
      <c r="AH327" s="86"/>
      <c r="AI327" s="86"/>
      <c r="AJ327" s="86"/>
      <c r="AK327" s="86"/>
      <c r="AL327" s="86"/>
      <c r="AM327" s="86"/>
      <c r="AN327" s="86"/>
      <c r="AO327" s="86"/>
      <c r="AP327" s="86"/>
      <c r="AQ327" s="86"/>
      <c r="AR327" s="86"/>
      <c r="AS327" s="86"/>
      <c r="AT327" s="82"/>
      <c r="AU327" s="87"/>
      <c r="AV327" s="816">
        <f t="shared" si="204"/>
        <v>0</v>
      </c>
      <c r="AW327" s="816">
        <f t="shared" si="205"/>
        <v>0</v>
      </c>
      <c r="AX327" s="816">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8"/>
      <c r="C328" s="1179"/>
      <c r="D328" s="2300"/>
      <c r="E328" s="81">
        <f t="shared" si="203"/>
        <v>0</v>
      </c>
      <c r="F328" s="82"/>
      <c r="G328" s="83">
        <f t="shared" si="207"/>
        <v>0</v>
      </c>
      <c r="H328" s="84">
        <f t="shared" si="208"/>
        <v>0</v>
      </c>
      <c r="I328" s="1179"/>
      <c r="J328" s="85"/>
      <c r="K328" s="1179"/>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9"/>
      <c r="AG328" s="86"/>
      <c r="AH328" s="86"/>
      <c r="AI328" s="86"/>
      <c r="AJ328" s="86"/>
      <c r="AK328" s="86"/>
      <c r="AL328" s="86"/>
      <c r="AM328" s="86"/>
      <c r="AN328" s="86"/>
      <c r="AO328" s="86"/>
      <c r="AP328" s="86"/>
      <c r="AQ328" s="86"/>
      <c r="AR328" s="86"/>
      <c r="AS328" s="86"/>
      <c r="AT328" s="82"/>
      <c r="AU328" s="87"/>
      <c r="AV328" s="816">
        <f t="shared" si="204"/>
        <v>0</v>
      </c>
      <c r="AW328" s="816">
        <f t="shared" si="205"/>
        <v>0</v>
      </c>
      <c r="AX328" s="816">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8"/>
      <c r="C329" s="1179"/>
      <c r="D329" s="2300"/>
      <c r="E329" s="81">
        <f t="shared" ref="E329:E360" si="232">IF($C$3="是",ROUND($A$3*G329/$B$3,2),ROUND($A$3*(G329-AT329)/$B$3,2))</f>
        <v>0</v>
      </c>
      <c r="F329" s="82"/>
      <c r="G329" s="83">
        <f t="shared" si="207"/>
        <v>0</v>
      </c>
      <c r="H329" s="84">
        <f t="shared" si="208"/>
        <v>0</v>
      </c>
      <c r="I329" s="1179"/>
      <c r="J329" s="85"/>
      <c r="K329" s="1179"/>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9"/>
      <c r="AG329" s="86"/>
      <c r="AH329" s="86"/>
      <c r="AI329" s="86"/>
      <c r="AJ329" s="86"/>
      <c r="AK329" s="86"/>
      <c r="AL329" s="86"/>
      <c r="AM329" s="86"/>
      <c r="AN329" s="86"/>
      <c r="AO329" s="86"/>
      <c r="AP329" s="86"/>
      <c r="AQ329" s="86"/>
      <c r="AR329" s="86"/>
      <c r="AS329" s="86"/>
      <c r="AT329" s="82"/>
      <c r="AU329" s="87"/>
      <c r="AV329" s="816">
        <f t="shared" ref="AV329:AV360" si="233">A329</f>
        <v>0</v>
      </c>
      <c r="AW329" s="816">
        <f t="shared" ref="AW329:AW360" si="234">B329</f>
        <v>0</v>
      </c>
      <c r="AX329" s="816">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8"/>
      <c r="C330" s="1179"/>
      <c r="D330" s="2300"/>
      <c r="E330" s="81">
        <f t="shared" si="232"/>
        <v>0</v>
      </c>
      <c r="F330" s="82"/>
      <c r="G330" s="83">
        <f t="shared" si="207"/>
        <v>0</v>
      </c>
      <c r="H330" s="84">
        <f t="shared" si="208"/>
        <v>0</v>
      </c>
      <c r="I330" s="1179"/>
      <c r="J330" s="85"/>
      <c r="K330" s="1179"/>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9"/>
      <c r="AG330" s="86"/>
      <c r="AH330" s="86"/>
      <c r="AI330" s="86"/>
      <c r="AJ330" s="86"/>
      <c r="AK330" s="86"/>
      <c r="AL330" s="86"/>
      <c r="AM330" s="86"/>
      <c r="AN330" s="86"/>
      <c r="AO330" s="86"/>
      <c r="AP330" s="86"/>
      <c r="AQ330" s="86"/>
      <c r="AR330" s="86"/>
      <c r="AS330" s="86"/>
      <c r="AT330" s="82"/>
      <c r="AU330" s="87"/>
      <c r="AV330" s="816">
        <f t="shared" si="233"/>
        <v>0</v>
      </c>
      <c r="AW330" s="816">
        <f t="shared" si="234"/>
        <v>0</v>
      </c>
      <c r="AX330" s="816">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8"/>
      <c r="C331" s="1179"/>
      <c r="D331" s="2300"/>
      <c r="E331" s="81">
        <f t="shared" si="232"/>
        <v>0</v>
      </c>
      <c r="F331" s="82"/>
      <c r="G331" s="83">
        <f t="shared" si="207"/>
        <v>0</v>
      </c>
      <c r="H331" s="84">
        <f t="shared" si="208"/>
        <v>0</v>
      </c>
      <c r="I331" s="1179"/>
      <c r="J331" s="85"/>
      <c r="K331" s="1179"/>
      <c r="L331" s="85"/>
      <c r="M331" s="1179"/>
      <c r="N331" s="85"/>
      <c r="O331" s="85"/>
      <c r="P331" s="85"/>
      <c r="Q331" s="85"/>
      <c r="R331" s="85"/>
      <c r="S331" s="85"/>
      <c r="T331" s="85"/>
      <c r="U331" s="85"/>
      <c r="V331" s="85"/>
      <c r="W331" s="85"/>
      <c r="X331" s="85"/>
      <c r="Y331" s="85"/>
      <c r="Z331" s="85"/>
      <c r="AA331" s="85"/>
      <c r="AB331" s="85"/>
      <c r="AC331" s="81">
        <f t="shared" si="209"/>
        <v>0</v>
      </c>
      <c r="AD331" s="86"/>
      <c r="AE331" s="86"/>
      <c r="AF331" s="1179"/>
      <c r="AG331" s="86"/>
      <c r="AH331" s="86"/>
      <c r="AI331" s="86"/>
      <c r="AJ331" s="86"/>
      <c r="AK331" s="86"/>
      <c r="AL331" s="86"/>
      <c r="AM331" s="86"/>
      <c r="AN331" s="86"/>
      <c r="AO331" s="86"/>
      <c r="AP331" s="86"/>
      <c r="AQ331" s="86"/>
      <c r="AR331" s="86"/>
      <c r="AS331" s="86"/>
      <c r="AT331" s="82"/>
      <c r="AU331" s="87"/>
      <c r="AV331" s="816">
        <f t="shared" si="233"/>
        <v>0</v>
      </c>
      <c r="AW331" s="816">
        <f t="shared" si="234"/>
        <v>0</v>
      </c>
      <c r="AX331" s="816">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6">
        <f t="shared" si="233"/>
        <v>0</v>
      </c>
      <c r="AW332" s="816">
        <f t="shared" si="234"/>
        <v>0</v>
      </c>
      <c r="AX332" s="816">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6">
        <f t="shared" si="233"/>
        <v>0</v>
      </c>
      <c r="AW333" s="816">
        <f t="shared" si="234"/>
        <v>0</v>
      </c>
      <c r="AX333" s="816">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6">
        <f t="shared" si="233"/>
        <v>0</v>
      </c>
      <c r="AW334" s="816">
        <f t="shared" si="234"/>
        <v>0</v>
      </c>
      <c r="AX334" s="816">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6">
        <f t="shared" si="233"/>
        <v>0</v>
      </c>
      <c r="AW335" s="816">
        <f t="shared" si="234"/>
        <v>0</v>
      </c>
      <c r="AX335" s="816">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6">
        <f t="shared" si="233"/>
        <v>0</v>
      </c>
      <c r="AW336" s="816">
        <f t="shared" si="234"/>
        <v>0</v>
      </c>
      <c r="AX336" s="816">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6">
        <f t="shared" si="233"/>
        <v>0</v>
      </c>
      <c r="AW337" s="816">
        <f t="shared" si="234"/>
        <v>0</v>
      </c>
      <c r="AX337" s="816">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6">
        <f t="shared" si="233"/>
        <v>0</v>
      </c>
      <c r="AW338" s="816">
        <f t="shared" si="234"/>
        <v>0</v>
      </c>
      <c r="AX338" s="816">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6">
        <f t="shared" si="233"/>
        <v>0</v>
      </c>
      <c r="AW339" s="816">
        <f t="shared" si="234"/>
        <v>0</v>
      </c>
      <c r="AX339" s="816">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6">
        <f t="shared" si="233"/>
        <v>0</v>
      </c>
      <c r="AW340" s="816">
        <f t="shared" si="234"/>
        <v>0</v>
      </c>
      <c r="AX340" s="816">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6">
        <f t="shared" si="233"/>
        <v>0</v>
      </c>
      <c r="AW341" s="816">
        <f t="shared" si="234"/>
        <v>0</v>
      </c>
      <c r="AX341" s="816">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6">
        <f t="shared" si="233"/>
        <v>0</v>
      </c>
      <c r="AW342" s="816">
        <f t="shared" si="234"/>
        <v>0</v>
      </c>
      <c r="AX342" s="816">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6">
        <f t="shared" si="233"/>
        <v>0</v>
      </c>
      <c r="AW343" s="816">
        <f t="shared" si="234"/>
        <v>0</v>
      </c>
      <c r="AX343" s="816">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6">
        <f t="shared" si="233"/>
        <v>0</v>
      </c>
      <c r="AW344" s="816">
        <f t="shared" si="234"/>
        <v>0</v>
      </c>
      <c r="AX344" s="816">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6">
        <f t="shared" si="233"/>
        <v>0</v>
      </c>
      <c r="AW345" s="816">
        <f t="shared" si="234"/>
        <v>0</v>
      </c>
      <c r="AX345" s="816">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6">
        <f t="shared" si="233"/>
        <v>0</v>
      </c>
      <c r="AW346" s="816">
        <f t="shared" si="234"/>
        <v>0</v>
      </c>
      <c r="AX346" s="816">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6">
        <f t="shared" si="233"/>
        <v>0</v>
      </c>
      <c r="AW347" s="816">
        <f t="shared" si="234"/>
        <v>0</v>
      </c>
      <c r="AX347" s="816">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6">
        <f t="shared" si="233"/>
        <v>0</v>
      </c>
      <c r="AW348" s="816">
        <f t="shared" si="234"/>
        <v>0</v>
      </c>
      <c r="AX348" s="816">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6">
        <f t="shared" si="233"/>
        <v>0</v>
      </c>
      <c r="AW349" s="816">
        <f t="shared" si="234"/>
        <v>0</v>
      </c>
      <c r="AX349" s="816">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6">
        <f t="shared" si="233"/>
        <v>0</v>
      </c>
      <c r="AW350" s="816">
        <f t="shared" si="234"/>
        <v>0</v>
      </c>
      <c r="AX350" s="816">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6">
        <f t="shared" si="233"/>
        <v>0</v>
      </c>
      <c r="AW351" s="816">
        <f t="shared" si="234"/>
        <v>0</v>
      </c>
      <c r="AX351" s="816">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6">
        <f t="shared" si="233"/>
        <v>0</v>
      </c>
      <c r="AW352" s="816">
        <f t="shared" si="234"/>
        <v>0</v>
      </c>
      <c r="AX352" s="816">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6">
        <f t="shared" si="233"/>
        <v>0</v>
      </c>
      <c r="AW353" s="816">
        <f t="shared" si="234"/>
        <v>0</v>
      </c>
      <c r="AX353" s="816">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6">
        <f t="shared" si="233"/>
        <v>0</v>
      </c>
      <c r="AW354" s="816">
        <f t="shared" si="234"/>
        <v>0</v>
      </c>
      <c r="AX354" s="816">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6">
        <f t="shared" si="233"/>
        <v>0</v>
      </c>
      <c r="AW355" s="816">
        <f t="shared" si="234"/>
        <v>0</v>
      </c>
      <c r="AX355" s="816">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6">
        <f t="shared" si="233"/>
        <v>0</v>
      </c>
      <c r="AW356" s="816">
        <f t="shared" si="234"/>
        <v>0</v>
      </c>
      <c r="AX356" s="816">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6">
        <f t="shared" si="233"/>
        <v>0</v>
      </c>
      <c r="AW357" s="816">
        <f t="shared" si="234"/>
        <v>0</v>
      </c>
      <c r="AX357" s="816">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6">
        <f t="shared" si="233"/>
        <v>0</v>
      </c>
      <c r="AW358" s="816">
        <f t="shared" si="234"/>
        <v>0</v>
      </c>
      <c r="AX358" s="816">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6">
        <f t="shared" si="233"/>
        <v>0</v>
      </c>
      <c r="AW359" s="816">
        <f t="shared" si="234"/>
        <v>0</v>
      </c>
      <c r="AX359" s="816">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6">
        <f t="shared" si="233"/>
        <v>0</v>
      </c>
      <c r="AW360" s="816">
        <f t="shared" si="234"/>
        <v>0</v>
      </c>
      <c r="AX360" s="816">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6">
        <f t="shared" ref="AV361:AV388" si="262">A361</f>
        <v>0</v>
      </c>
      <c r="AW361" s="816">
        <f t="shared" ref="AW361:AW388" si="263">B361</f>
        <v>0</v>
      </c>
      <c r="AX361" s="816">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6">
        <f t="shared" si="262"/>
        <v>0</v>
      </c>
      <c r="AW362" s="816">
        <f t="shared" si="263"/>
        <v>0</v>
      </c>
      <c r="AX362" s="816">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6">
        <f t="shared" si="262"/>
        <v>0</v>
      </c>
      <c r="AW363" s="816">
        <f t="shared" si="263"/>
        <v>0</v>
      </c>
      <c r="AX363" s="816">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6">
        <f t="shared" si="262"/>
        <v>0</v>
      </c>
      <c r="AW364" s="816">
        <f t="shared" si="263"/>
        <v>0</v>
      </c>
      <c r="AX364" s="816">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6">
        <f t="shared" si="262"/>
        <v>0</v>
      </c>
      <c r="AW365" s="816">
        <f t="shared" si="263"/>
        <v>0</v>
      </c>
      <c r="AX365" s="816">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6">
        <f t="shared" si="262"/>
        <v>0</v>
      </c>
      <c r="AW366" s="816">
        <f t="shared" si="263"/>
        <v>0</v>
      </c>
      <c r="AX366" s="816">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6">
        <f t="shared" si="262"/>
        <v>0</v>
      </c>
      <c r="AW367" s="816">
        <f t="shared" si="263"/>
        <v>0</v>
      </c>
      <c r="AX367" s="816">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6">
        <f t="shared" si="262"/>
        <v>0</v>
      </c>
      <c r="AW368" s="816">
        <f t="shared" si="263"/>
        <v>0</v>
      </c>
      <c r="AX368" s="816">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6">
        <f t="shared" si="262"/>
        <v>0</v>
      </c>
      <c r="AW369" s="816">
        <f t="shared" si="263"/>
        <v>0</v>
      </c>
      <c r="AX369" s="816">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6">
        <f t="shared" si="262"/>
        <v>0</v>
      </c>
      <c r="AW370" s="816">
        <f t="shared" si="263"/>
        <v>0</v>
      </c>
      <c r="AX370" s="816">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6">
        <f t="shared" si="262"/>
        <v>0</v>
      </c>
      <c r="AW371" s="816">
        <f t="shared" si="263"/>
        <v>0</v>
      </c>
      <c r="AX371" s="816">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6">
        <f t="shared" si="262"/>
        <v>0</v>
      </c>
      <c r="AW372" s="816">
        <f t="shared" si="263"/>
        <v>0</v>
      </c>
      <c r="AX372" s="816">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6">
        <f t="shared" si="262"/>
        <v>0</v>
      </c>
      <c r="AW373" s="816">
        <f t="shared" si="263"/>
        <v>0</v>
      </c>
      <c r="AX373" s="816">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6">
        <f t="shared" si="262"/>
        <v>0</v>
      </c>
      <c r="AW374" s="816">
        <f t="shared" si="263"/>
        <v>0</v>
      </c>
      <c r="AX374" s="816">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6">
        <f t="shared" si="262"/>
        <v>0</v>
      </c>
      <c r="AW375" s="816">
        <f t="shared" si="263"/>
        <v>0</v>
      </c>
      <c r="AX375" s="816">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6">
        <f t="shared" si="262"/>
        <v>0</v>
      </c>
      <c r="AW376" s="816">
        <f t="shared" si="263"/>
        <v>0</v>
      </c>
      <c r="AX376" s="816">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6">
        <f t="shared" si="262"/>
        <v>0</v>
      </c>
      <c r="AW377" s="816">
        <f t="shared" si="263"/>
        <v>0</v>
      </c>
      <c r="AX377" s="816">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6">
        <f t="shared" si="262"/>
        <v>0</v>
      </c>
      <c r="AW378" s="816">
        <f t="shared" si="263"/>
        <v>0</v>
      </c>
      <c r="AX378" s="816">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6">
        <f t="shared" si="262"/>
        <v>0</v>
      </c>
      <c r="AW379" s="816">
        <f t="shared" si="263"/>
        <v>0</v>
      </c>
      <c r="AX379" s="816">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6">
        <f t="shared" si="262"/>
        <v>0</v>
      </c>
      <c r="AW380" s="816">
        <f t="shared" si="263"/>
        <v>0</v>
      </c>
      <c r="AX380" s="816">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6">
        <f t="shared" si="262"/>
        <v>0</v>
      </c>
      <c r="AW381" s="816">
        <f t="shared" si="263"/>
        <v>0</v>
      </c>
      <c r="AX381" s="816">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6">
        <f t="shared" si="262"/>
        <v>0</v>
      </c>
      <c r="AW382" s="816">
        <f t="shared" si="263"/>
        <v>0</v>
      </c>
      <c r="AX382" s="816">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6">
        <f t="shared" si="262"/>
        <v>0</v>
      </c>
      <c r="AW383" s="816">
        <f t="shared" si="263"/>
        <v>0</v>
      </c>
      <c r="AX383" s="816">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6">
        <f t="shared" si="262"/>
        <v>0</v>
      </c>
      <c r="AW384" s="816">
        <f t="shared" si="263"/>
        <v>0</v>
      </c>
      <c r="AX384" s="816">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6">
        <f t="shared" si="262"/>
        <v>0</v>
      </c>
      <c r="AW385" s="816">
        <f t="shared" si="263"/>
        <v>0</v>
      </c>
      <c r="AX385" s="816">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6">
        <f t="shared" si="262"/>
        <v>0</v>
      </c>
      <c r="AW386" s="816">
        <f t="shared" si="263"/>
        <v>0</v>
      </c>
      <c r="AX386" s="816">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6">
        <f t="shared" si="262"/>
        <v>0</v>
      </c>
      <c r="AW387" s="816">
        <f t="shared" si="263"/>
        <v>0</v>
      </c>
      <c r="AX387" s="816">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6">
        <f t="shared" si="262"/>
        <v>0</v>
      </c>
      <c r="AW388" s="816">
        <f t="shared" si="263"/>
        <v>0</v>
      </c>
      <c r="AX388" s="816">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8"/>
      <c r="C389" s="1179"/>
      <c r="D389" s="2300"/>
      <c r="E389" s="81">
        <f t="shared" ref="E389:E480" si="265">IF($C$3="是",ROUND($A$3*G389/$B$3,2),ROUND($A$3*(G389-AT389)/$B$3,2))</f>
        <v>0</v>
      </c>
      <c r="F389" s="82"/>
      <c r="G389" s="83">
        <f t="shared" ref="G389:G477" si="266">H389+AC389+AT389</f>
        <v>0</v>
      </c>
      <c r="H389" s="84">
        <f t="shared" ref="H389:H477" si="267">SUMIF(I$12:AB$12,"总值",I389:AB389)</f>
        <v>0</v>
      </c>
      <c r="I389" s="1179"/>
      <c r="J389" s="85"/>
      <c r="K389" s="1179"/>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0"/>
      <c r="AG389" s="86"/>
      <c r="AH389" s="86"/>
      <c r="AI389" s="86"/>
      <c r="AJ389" s="86"/>
      <c r="AK389" s="86"/>
      <c r="AL389" s="86"/>
      <c r="AM389" s="86"/>
      <c r="AN389" s="1156"/>
      <c r="AO389" s="86"/>
      <c r="AP389" s="86"/>
      <c r="AQ389" s="86"/>
      <c r="AR389" s="86"/>
      <c r="AS389" s="86"/>
      <c r="AT389" s="82"/>
      <c r="AU389" s="87"/>
      <c r="AV389" s="816">
        <f t="shared" ref="AV389:AV480" si="269">A389</f>
        <v>0</v>
      </c>
      <c r="AW389" s="816">
        <f t="shared" ref="AW389:AW480" si="270">B389</f>
        <v>0</v>
      </c>
      <c r="AX389" s="816">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8"/>
      <c r="C390" s="1179"/>
      <c r="D390" s="2300"/>
      <c r="E390" s="81">
        <f t="shared" si="265"/>
        <v>0</v>
      </c>
      <c r="F390" s="82"/>
      <c r="G390" s="83">
        <f t="shared" si="266"/>
        <v>0</v>
      </c>
      <c r="H390" s="84">
        <f t="shared" si="267"/>
        <v>0</v>
      </c>
      <c r="I390" s="1179"/>
      <c r="J390" s="85"/>
      <c r="K390" s="1179"/>
      <c r="L390" s="85"/>
      <c r="M390" s="1156"/>
      <c r="N390" s="85"/>
      <c r="O390" s="85"/>
      <c r="P390" s="85"/>
      <c r="Q390" s="85"/>
      <c r="R390" s="85"/>
      <c r="S390" s="85"/>
      <c r="T390" s="85"/>
      <c r="U390" s="85"/>
      <c r="V390" s="85"/>
      <c r="W390" s="85"/>
      <c r="X390" s="85"/>
      <c r="Y390" s="85"/>
      <c r="Z390" s="85"/>
      <c r="AA390" s="85"/>
      <c r="AB390" s="85"/>
      <c r="AC390" s="81">
        <f t="shared" si="268"/>
        <v>0</v>
      </c>
      <c r="AD390" s="1156"/>
      <c r="AE390" s="86"/>
      <c r="AF390" s="1180"/>
      <c r="AG390" s="86"/>
      <c r="AH390" s="86"/>
      <c r="AI390" s="86"/>
      <c r="AJ390" s="86"/>
      <c r="AK390" s="86"/>
      <c r="AL390" s="1156"/>
      <c r="AM390" s="86"/>
      <c r="AN390" s="1156"/>
      <c r="AO390" s="86"/>
      <c r="AP390" s="86"/>
      <c r="AQ390" s="86"/>
      <c r="AR390" s="86"/>
      <c r="AS390" s="86"/>
      <c r="AT390" s="82"/>
      <c r="AU390" s="87"/>
      <c r="AV390" s="816">
        <f t="shared" si="269"/>
        <v>0</v>
      </c>
      <c r="AW390" s="816">
        <f t="shared" si="270"/>
        <v>0</v>
      </c>
      <c r="AX390" s="816">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8"/>
      <c r="C391" s="1179"/>
      <c r="D391" s="2300"/>
      <c r="E391" s="81">
        <f t="shared" si="265"/>
        <v>0</v>
      </c>
      <c r="F391" s="82"/>
      <c r="G391" s="83">
        <f t="shared" si="266"/>
        <v>0</v>
      </c>
      <c r="H391" s="84">
        <f t="shared" si="267"/>
        <v>0</v>
      </c>
      <c r="I391" s="1179"/>
      <c r="J391" s="85"/>
      <c r="K391" s="1179"/>
      <c r="L391" s="85"/>
      <c r="M391" s="1156"/>
      <c r="N391" s="85"/>
      <c r="O391" s="85"/>
      <c r="P391" s="85"/>
      <c r="Q391" s="85"/>
      <c r="R391" s="85"/>
      <c r="S391" s="85"/>
      <c r="T391" s="85"/>
      <c r="U391" s="85"/>
      <c r="V391" s="85"/>
      <c r="W391" s="85"/>
      <c r="X391" s="85"/>
      <c r="Y391" s="85"/>
      <c r="Z391" s="85"/>
      <c r="AA391" s="85"/>
      <c r="AB391" s="85"/>
      <c r="AC391" s="81">
        <f t="shared" si="268"/>
        <v>0</v>
      </c>
      <c r="AD391" s="86"/>
      <c r="AE391" s="86"/>
      <c r="AF391" s="1180"/>
      <c r="AG391" s="86"/>
      <c r="AH391" s="86"/>
      <c r="AI391" s="86"/>
      <c r="AJ391" s="86"/>
      <c r="AK391" s="86"/>
      <c r="AL391" s="1156"/>
      <c r="AM391" s="86"/>
      <c r="AN391" s="1156"/>
      <c r="AO391" s="86"/>
      <c r="AP391" s="86"/>
      <c r="AQ391" s="86"/>
      <c r="AR391" s="86"/>
      <c r="AS391" s="86"/>
      <c r="AT391" s="82"/>
      <c r="AU391" s="87"/>
      <c r="AV391" s="816">
        <f t="shared" si="269"/>
        <v>0</v>
      </c>
      <c r="AW391" s="816">
        <f t="shared" si="270"/>
        <v>0</v>
      </c>
      <c r="AX391" s="816">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8"/>
      <c r="C392" s="1179"/>
      <c r="D392" s="2300"/>
      <c r="E392" s="81">
        <f t="shared" si="265"/>
        <v>0</v>
      </c>
      <c r="F392" s="82"/>
      <c r="G392" s="83">
        <f t="shared" si="266"/>
        <v>0</v>
      </c>
      <c r="H392" s="84">
        <f t="shared" si="267"/>
        <v>0</v>
      </c>
      <c r="I392" s="1179"/>
      <c r="J392" s="85"/>
      <c r="K392" s="1179"/>
      <c r="L392" s="85"/>
      <c r="M392" s="85"/>
      <c r="N392" s="85"/>
      <c r="O392" s="1156"/>
      <c r="P392" s="85"/>
      <c r="Q392" s="85"/>
      <c r="R392" s="85"/>
      <c r="S392" s="85"/>
      <c r="T392" s="85"/>
      <c r="U392" s="85"/>
      <c r="V392" s="85"/>
      <c r="W392" s="85"/>
      <c r="X392" s="85"/>
      <c r="Y392" s="85"/>
      <c r="Z392" s="85"/>
      <c r="AA392" s="85"/>
      <c r="AB392" s="85"/>
      <c r="AC392" s="81">
        <f t="shared" si="268"/>
        <v>0</v>
      </c>
      <c r="AD392" s="86"/>
      <c r="AE392" s="86"/>
      <c r="AF392" s="1180"/>
      <c r="AG392" s="86"/>
      <c r="AH392" s="86"/>
      <c r="AI392" s="86"/>
      <c r="AJ392" s="86"/>
      <c r="AK392" s="86"/>
      <c r="AL392" s="86"/>
      <c r="AM392" s="86"/>
      <c r="AN392" s="1156"/>
      <c r="AO392" s="86"/>
      <c r="AP392" s="86"/>
      <c r="AQ392" s="86"/>
      <c r="AR392" s="86"/>
      <c r="AS392" s="86"/>
      <c r="AT392" s="82"/>
      <c r="AU392" s="87"/>
      <c r="AV392" s="816">
        <f t="shared" si="269"/>
        <v>0</v>
      </c>
      <c r="AW392" s="816">
        <f t="shared" si="270"/>
        <v>0</v>
      </c>
      <c r="AX392" s="816">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8"/>
      <c r="C393" s="1179"/>
      <c r="D393" s="2300"/>
      <c r="E393" s="81">
        <f t="shared" si="265"/>
        <v>0</v>
      </c>
      <c r="F393" s="82"/>
      <c r="G393" s="83">
        <f t="shared" si="266"/>
        <v>0</v>
      </c>
      <c r="H393" s="84">
        <f t="shared" si="267"/>
        <v>0</v>
      </c>
      <c r="I393" s="1179"/>
      <c r="J393" s="85"/>
      <c r="K393" s="1179"/>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0"/>
      <c r="AG393" s="86"/>
      <c r="AH393" s="86"/>
      <c r="AI393" s="86"/>
      <c r="AJ393" s="86"/>
      <c r="AK393" s="86"/>
      <c r="AL393" s="86"/>
      <c r="AM393" s="86"/>
      <c r="AN393" s="86"/>
      <c r="AO393" s="86"/>
      <c r="AP393" s="86"/>
      <c r="AQ393" s="86"/>
      <c r="AR393" s="86"/>
      <c r="AS393" s="86"/>
      <c r="AT393" s="82"/>
      <c r="AU393" s="87"/>
      <c r="AV393" s="816">
        <f t="shared" si="269"/>
        <v>0</v>
      </c>
      <c r="AW393" s="816">
        <f t="shared" si="270"/>
        <v>0</v>
      </c>
      <c r="AX393" s="816">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8"/>
      <c r="C394" s="1179"/>
      <c r="D394" s="2300"/>
      <c r="E394" s="81">
        <f t="shared" si="265"/>
        <v>0</v>
      </c>
      <c r="F394" s="82"/>
      <c r="G394" s="83">
        <f t="shared" si="266"/>
        <v>0</v>
      </c>
      <c r="H394" s="84">
        <f t="shared" si="267"/>
        <v>0</v>
      </c>
      <c r="I394" s="1179"/>
      <c r="J394" s="85"/>
      <c r="K394" s="1179"/>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0"/>
      <c r="AG394" s="86"/>
      <c r="AH394" s="86"/>
      <c r="AI394" s="86"/>
      <c r="AJ394" s="86"/>
      <c r="AK394" s="86"/>
      <c r="AL394" s="86"/>
      <c r="AM394" s="86"/>
      <c r="AN394" s="86"/>
      <c r="AO394" s="86"/>
      <c r="AP394" s="86"/>
      <c r="AQ394" s="86"/>
      <c r="AR394" s="86"/>
      <c r="AS394" s="86"/>
      <c r="AT394" s="82"/>
      <c r="AU394" s="87"/>
      <c r="AV394" s="816">
        <f t="shared" si="269"/>
        <v>0</v>
      </c>
      <c r="AW394" s="816">
        <f t="shared" si="270"/>
        <v>0</v>
      </c>
      <c r="AX394" s="816">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8"/>
      <c r="C395" s="1179"/>
      <c r="D395" s="2300"/>
      <c r="E395" s="81">
        <f t="shared" si="265"/>
        <v>0</v>
      </c>
      <c r="F395" s="82"/>
      <c r="G395" s="83">
        <f t="shared" si="266"/>
        <v>0</v>
      </c>
      <c r="H395" s="84">
        <f t="shared" si="267"/>
        <v>0</v>
      </c>
      <c r="I395" s="1179"/>
      <c r="J395" s="85"/>
      <c r="K395" s="1179"/>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0"/>
      <c r="AG395" s="86"/>
      <c r="AH395" s="86"/>
      <c r="AI395" s="86"/>
      <c r="AJ395" s="86"/>
      <c r="AK395" s="86"/>
      <c r="AL395" s="86"/>
      <c r="AM395" s="86"/>
      <c r="AN395" s="86"/>
      <c r="AO395" s="86"/>
      <c r="AP395" s="86"/>
      <c r="AQ395" s="86"/>
      <c r="AR395" s="86"/>
      <c r="AS395" s="86"/>
      <c r="AT395" s="82"/>
      <c r="AU395" s="87"/>
      <c r="AV395" s="816">
        <f t="shared" si="269"/>
        <v>0</v>
      </c>
      <c r="AW395" s="816">
        <f t="shared" si="270"/>
        <v>0</v>
      </c>
      <c r="AX395" s="816">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8"/>
      <c r="C396" s="1179"/>
      <c r="D396" s="2300"/>
      <c r="E396" s="81">
        <f t="shared" si="265"/>
        <v>0</v>
      </c>
      <c r="F396" s="82"/>
      <c r="G396" s="83">
        <f t="shared" si="266"/>
        <v>0</v>
      </c>
      <c r="H396" s="84">
        <f t="shared" si="267"/>
        <v>0</v>
      </c>
      <c r="I396" s="1179"/>
      <c r="J396" s="85"/>
      <c r="K396" s="1179"/>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9"/>
      <c r="AG396" s="86"/>
      <c r="AH396" s="86"/>
      <c r="AI396" s="86"/>
      <c r="AJ396" s="86"/>
      <c r="AK396" s="86"/>
      <c r="AL396" s="86"/>
      <c r="AM396" s="86"/>
      <c r="AN396" s="86"/>
      <c r="AO396" s="86"/>
      <c r="AP396" s="86"/>
      <c r="AQ396" s="86"/>
      <c r="AR396" s="86"/>
      <c r="AS396" s="86"/>
      <c r="AT396" s="82"/>
      <c r="AU396" s="87"/>
      <c r="AV396" s="816">
        <f t="shared" si="269"/>
        <v>0</v>
      </c>
      <c r="AW396" s="816">
        <f t="shared" si="270"/>
        <v>0</v>
      </c>
      <c r="AX396" s="816">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8"/>
      <c r="C397" s="1179"/>
      <c r="D397" s="2300"/>
      <c r="E397" s="81">
        <f t="shared" si="265"/>
        <v>0</v>
      </c>
      <c r="F397" s="82"/>
      <c r="G397" s="83">
        <f t="shared" si="266"/>
        <v>0</v>
      </c>
      <c r="H397" s="84">
        <f t="shared" si="267"/>
        <v>0</v>
      </c>
      <c r="I397" s="1179"/>
      <c r="J397" s="85"/>
      <c r="K397" s="1179"/>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9"/>
      <c r="AG397" s="86"/>
      <c r="AH397" s="86"/>
      <c r="AI397" s="86"/>
      <c r="AJ397" s="86"/>
      <c r="AK397" s="86"/>
      <c r="AL397" s="86"/>
      <c r="AM397" s="86"/>
      <c r="AN397" s="86"/>
      <c r="AO397" s="86"/>
      <c r="AP397" s="86"/>
      <c r="AQ397" s="86"/>
      <c r="AR397" s="86"/>
      <c r="AS397" s="86"/>
      <c r="AT397" s="82"/>
      <c r="AU397" s="87"/>
      <c r="AV397" s="816">
        <f t="shared" si="269"/>
        <v>0</v>
      </c>
      <c r="AW397" s="816">
        <f t="shared" si="270"/>
        <v>0</v>
      </c>
      <c r="AX397" s="816">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8"/>
      <c r="C398" s="1179"/>
      <c r="D398" s="2300"/>
      <c r="E398" s="81">
        <f t="shared" si="265"/>
        <v>0</v>
      </c>
      <c r="F398" s="82"/>
      <c r="G398" s="83">
        <f t="shared" si="266"/>
        <v>0</v>
      </c>
      <c r="H398" s="84">
        <f t="shared" si="267"/>
        <v>0</v>
      </c>
      <c r="I398" s="1179"/>
      <c r="J398" s="85"/>
      <c r="K398" s="1179"/>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9"/>
      <c r="AG398" s="86"/>
      <c r="AH398" s="86"/>
      <c r="AI398" s="86"/>
      <c r="AJ398" s="86"/>
      <c r="AK398" s="86"/>
      <c r="AL398" s="86"/>
      <c r="AM398" s="86"/>
      <c r="AN398" s="86"/>
      <c r="AO398" s="86"/>
      <c r="AP398" s="86"/>
      <c r="AQ398" s="86"/>
      <c r="AR398" s="86"/>
      <c r="AS398" s="86"/>
      <c r="AT398" s="82"/>
      <c r="AU398" s="87"/>
      <c r="AV398" s="816">
        <f t="shared" si="269"/>
        <v>0</v>
      </c>
      <c r="AW398" s="816">
        <f t="shared" si="270"/>
        <v>0</v>
      </c>
      <c r="AX398" s="816">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8"/>
      <c r="C399" s="1179"/>
      <c r="D399" s="2300"/>
      <c r="E399" s="81">
        <f t="shared" si="265"/>
        <v>0</v>
      </c>
      <c r="F399" s="82"/>
      <c r="G399" s="83">
        <f t="shared" si="266"/>
        <v>0</v>
      </c>
      <c r="H399" s="84">
        <f t="shared" si="267"/>
        <v>0</v>
      </c>
      <c r="I399" s="1179"/>
      <c r="J399" s="85"/>
      <c r="K399" s="1179"/>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9"/>
      <c r="AG399" s="86"/>
      <c r="AH399" s="86"/>
      <c r="AI399" s="86"/>
      <c r="AJ399" s="86"/>
      <c r="AK399" s="86"/>
      <c r="AL399" s="86"/>
      <c r="AM399" s="86"/>
      <c r="AN399" s="86"/>
      <c r="AO399" s="86"/>
      <c r="AP399" s="86"/>
      <c r="AQ399" s="86"/>
      <c r="AR399" s="86"/>
      <c r="AS399" s="86"/>
      <c r="AT399" s="82"/>
      <c r="AU399" s="87"/>
      <c r="AV399" s="816">
        <f t="shared" si="269"/>
        <v>0</v>
      </c>
      <c r="AW399" s="816">
        <f t="shared" si="270"/>
        <v>0</v>
      </c>
      <c r="AX399" s="816">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8"/>
      <c r="C400" s="1179"/>
      <c r="D400" s="2300"/>
      <c r="E400" s="81">
        <f t="shared" si="265"/>
        <v>0</v>
      </c>
      <c r="F400" s="82"/>
      <c r="G400" s="83">
        <f t="shared" si="266"/>
        <v>0</v>
      </c>
      <c r="H400" s="84">
        <f t="shared" si="267"/>
        <v>0</v>
      </c>
      <c r="I400" s="1179"/>
      <c r="J400" s="85"/>
      <c r="K400" s="1179"/>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9"/>
      <c r="AG400" s="86"/>
      <c r="AH400" s="86"/>
      <c r="AI400" s="86"/>
      <c r="AJ400" s="86"/>
      <c r="AK400" s="86"/>
      <c r="AL400" s="86"/>
      <c r="AM400" s="86"/>
      <c r="AN400" s="86"/>
      <c r="AO400" s="86"/>
      <c r="AP400" s="86"/>
      <c r="AQ400" s="86"/>
      <c r="AR400" s="86"/>
      <c r="AS400" s="86"/>
      <c r="AT400" s="82"/>
      <c r="AU400" s="87"/>
      <c r="AV400" s="816">
        <f t="shared" si="269"/>
        <v>0</v>
      </c>
      <c r="AW400" s="816">
        <f t="shared" si="270"/>
        <v>0</v>
      </c>
      <c r="AX400" s="816">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8"/>
      <c r="C401" s="1179"/>
      <c r="D401" s="2300"/>
      <c r="E401" s="81">
        <f t="shared" si="265"/>
        <v>0</v>
      </c>
      <c r="F401" s="82"/>
      <c r="G401" s="83">
        <f t="shared" si="266"/>
        <v>0</v>
      </c>
      <c r="H401" s="84">
        <f t="shared" si="267"/>
        <v>0</v>
      </c>
      <c r="I401" s="1179"/>
      <c r="J401" s="85"/>
      <c r="K401" s="1179"/>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9"/>
      <c r="AG401" s="86"/>
      <c r="AH401" s="86"/>
      <c r="AI401" s="86"/>
      <c r="AJ401" s="86"/>
      <c r="AK401" s="86"/>
      <c r="AL401" s="86"/>
      <c r="AM401" s="86"/>
      <c r="AN401" s="86"/>
      <c r="AO401" s="86"/>
      <c r="AP401" s="86"/>
      <c r="AQ401" s="86"/>
      <c r="AR401" s="86"/>
      <c r="AS401" s="86"/>
      <c r="AT401" s="82"/>
      <c r="AU401" s="87"/>
      <c r="AV401" s="816">
        <f t="shared" si="269"/>
        <v>0</v>
      </c>
      <c r="AW401" s="816">
        <f t="shared" si="270"/>
        <v>0</v>
      </c>
      <c r="AX401" s="816">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8"/>
      <c r="C402" s="1179"/>
      <c r="D402" s="2300"/>
      <c r="E402" s="81">
        <f t="shared" si="265"/>
        <v>0</v>
      </c>
      <c r="F402" s="82"/>
      <c r="G402" s="83">
        <f t="shared" si="266"/>
        <v>0</v>
      </c>
      <c r="H402" s="84">
        <f t="shared" si="267"/>
        <v>0</v>
      </c>
      <c r="I402" s="1179"/>
      <c r="J402" s="85"/>
      <c r="K402" s="1179"/>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9"/>
      <c r="AG402" s="86"/>
      <c r="AH402" s="86"/>
      <c r="AI402" s="86"/>
      <c r="AJ402" s="86"/>
      <c r="AK402" s="86"/>
      <c r="AL402" s="86"/>
      <c r="AM402" s="86"/>
      <c r="AN402" s="86"/>
      <c r="AO402" s="86"/>
      <c r="AP402" s="86"/>
      <c r="AQ402" s="86"/>
      <c r="AR402" s="86"/>
      <c r="AS402" s="86"/>
      <c r="AT402" s="82"/>
      <c r="AU402" s="87"/>
      <c r="AV402" s="816">
        <f t="shared" si="269"/>
        <v>0</v>
      </c>
      <c r="AW402" s="816">
        <f t="shared" si="270"/>
        <v>0</v>
      </c>
      <c r="AX402" s="816">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8"/>
      <c r="C403" s="1179"/>
      <c r="D403" s="2300"/>
      <c r="E403" s="81">
        <f t="shared" si="265"/>
        <v>0</v>
      </c>
      <c r="F403" s="82"/>
      <c r="G403" s="83">
        <f t="shared" si="266"/>
        <v>0</v>
      </c>
      <c r="H403" s="84">
        <f t="shared" si="267"/>
        <v>0</v>
      </c>
      <c r="I403" s="1179"/>
      <c r="J403" s="85"/>
      <c r="K403" s="1179"/>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9"/>
      <c r="AG403" s="86"/>
      <c r="AH403" s="86"/>
      <c r="AI403" s="86"/>
      <c r="AJ403" s="86"/>
      <c r="AK403" s="86"/>
      <c r="AL403" s="86"/>
      <c r="AM403" s="86"/>
      <c r="AN403" s="86"/>
      <c r="AO403" s="86"/>
      <c r="AP403" s="86"/>
      <c r="AQ403" s="86"/>
      <c r="AR403" s="86"/>
      <c r="AS403" s="86"/>
      <c r="AT403" s="82"/>
      <c r="AU403" s="87"/>
      <c r="AV403" s="816">
        <f t="shared" si="269"/>
        <v>0</v>
      </c>
      <c r="AW403" s="816">
        <f t="shared" si="270"/>
        <v>0</v>
      </c>
      <c r="AX403" s="816">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8"/>
      <c r="C404" s="1179"/>
      <c r="D404" s="2300"/>
      <c r="E404" s="81">
        <f t="shared" si="265"/>
        <v>0</v>
      </c>
      <c r="F404" s="82"/>
      <c r="G404" s="83">
        <f t="shared" si="266"/>
        <v>0</v>
      </c>
      <c r="H404" s="84">
        <f t="shared" si="267"/>
        <v>0</v>
      </c>
      <c r="I404" s="1179"/>
      <c r="J404" s="85"/>
      <c r="K404" s="1179"/>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9"/>
      <c r="AG404" s="86"/>
      <c r="AH404" s="86"/>
      <c r="AI404" s="86"/>
      <c r="AJ404" s="86"/>
      <c r="AK404" s="86"/>
      <c r="AL404" s="86"/>
      <c r="AM404" s="86"/>
      <c r="AN404" s="86"/>
      <c r="AO404" s="86"/>
      <c r="AP404" s="86"/>
      <c r="AQ404" s="86"/>
      <c r="AR404" s="86"/>
      <c r="AS404" s="86"/>
      <c r="AT404" s="82"/>
      <c r="AU404" s="87"/>
      <c r="AV404" s="816">
        <f t="shared" si="269"/>
        <v>0</v>
      </c>
      <c r="AW404" s="816">
        <f t="shared" si="270"/>
        <v>0</v>
      </c>
      <c r="AX404" s="816">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8"/>
      <c r="C405" s="1179"/>
      <c r="D405" s="2300"/>
      <c r="E405" s="81">
        <f t="shared" si="265"/>
        <v>0</v>
      </c>
      <c r="F405" s="82"/>
      <c r="G405" s="83">
        <f t="shared" si="266"/>
        <v>0</v>
      </c>
      <c r="H405" s="84">
        <f t="shared" si="267"/>
        <v>0</v>
      </c>
      <c r="I405" s="1179"/>
      <c r="J405" s="85"/>
      <c r="K405" s="1179"/>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9"/>
      <c r="AG405" s="86"/>
      <c r="AH405" s="86"/>
      <c r="AI405" s="86"/>
      <c r="AJ405" s="86"/>
      <c r="AK405" s="86"/>
      <c r="AL405" s="86"/>
      <c r="AM405" s="86"/>
      <c r="AN405" s="86"/>
      <c r="AO405" s="86"/>
      <c r="AP405" s="86"/>
      <c r="AQ405" s="86"/>
      <c r="AR405" s="86"/>
      <c r="AS405" s="86"/>
      <c r="AT405" s="82"/>
      <c r="AU405" s="87"/>
      <c r="AV405" s="816">
        <f t="shared" si="269"/>
        <v>0</v>
      </c>
      <c r="AW405" s="816">
        <f t="shared" si="270"/>
        <v>0</v>
      </c>
      <c r="AX405" s="816">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8"/>
      <c r="C406" s="1179"/>
      <c r="D406" s="2300"/>
      <c r="E406" s="81">
        <f t="shared" si="265"/>
        <v>0</v>
      </c>
      <c r="F406" s="82"/>
      <c r="G406" s="83">
        <f t="shared" si="266"/>
        <v>0</v>
      </c>
      <c r="H406" s="84">
        <f t="shared" si="267"/>
        <v>0</v>
      </c>
      <c r="I406" s="1179"/>
      <c r="J406" s="85"/>
      <c r="K406" s="1179"/>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9"/>
      <c r="AG406" s="86"/>
      <c r="AH406" s="86"/>
      <c r="AI406" s="86"/>
      <c r="AJ406" s="86"/>
      <c r="AK406" s="86"/>
      <c r="AL406" s="86"/>
      <c r="AM406" s="86"/>
      <c r="AN406" s="86"/>
      <c r="AO406" s="86"/>
      <c r="AP406" s="86"/>
      <c r="AQ406" s="86"/>
      <c r="AR406" s="86"/>
      <c r="AS406" s="86"/>
      <c r="AT406" s="82"/>
      <c r="AU406" s="87"/>
      <c r="AV406" s="816">
        <f t="shared" si="269"/>
        <v>0</v>
      </c>
      <c r="AW406" s="816">
        <f t="shared" si="270"/>
        <v>0</v>
      </c>
      <c r="AX406" s="816">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8"/>
      <c r="C407" s="1179"/>
      <c r="D407" s="2300"/>
      <c r="E407" s="81">
        <f t="shared" si="265"/>
        <v>0</v>
      </c>
      <c r="F407" s="82"/>
      <c r="G407" s="83">
        <f t="shared" si="266"/>
        <v>0</v>
      </c>
      <c r="H407" s="84">
        <f t="shared" si="267"/>
        <v>0</v>
      </c>
      <c r="I407" s="1179"/>
      <c r="J407" s="85"/>
      <c r="K407" s="1179"/>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9"/>
      <c r="AG407" s="86"/>
      <c r="AH407" s="86"/>
      <c r="AI407" s="86"/>
      <c r="AJ407" s="86"/>
      <c r="AK407" s="86"/>
      <c r="AL407" s="86"/>
      <c r="AM407" s="86"/>
      <c r="AN407" s="86"/>
      <c r="AO407" s="86"/>
      <c r="AP407" s="86"/>
      <c r="AQ407" s="86"/>
      <c r="AR407" s="86"/>
      <c r="AS407" s="86"/>
      <c r="AT407" s="82"/>
      <c r="AU407" s="87"/>
      <c r="AV407" s="816">
        <f t="shared" si="269"/>
        <v>0</v>
      </c>
      <c r="AW407" s="816">
        <f t="shared" si="270"/>
        <v>0</v>
      </c>
      <c r="AX407" s="816">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8"/>
      <c r="C408" s="1179"/>
      <c r="D408" s="2300"/>
      <c r="E408" s="81">
        <f t="shared" si="265"/>
        <v>0</v>
      </c>
      <c r="F408" s="82"/>
      <c r="G408" s="83">
        <f t="shared" si="266"/>
        <v>0</v>
      </c>
      <c r="H408" s="84">
        <f t="shared" si="267"/>
        <v>0</v>
      </c>
      <c r="I408" s="1179"/>
      <c r="J408" s="85"/>
      <c r="K408" s="1179"/>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9"/>
      <c r="AG408" s="86"/>
      <c r="AH408" s="86"/>
      <c r="AI408" s="86"/>
      <c r="AJ408" s="86"/>
      <c r="AK408" s="86"/>
      <c r="AL408" s="86"/>
      <c r="AM408" s="86"/>
      <c r="AN408" s="86"/>
      <c r="AO408" s="86"/>
      <c r="AP408" s="86"/>
      <c r="AQ408" s="86"/>
      <c r="AR408" s="86"/>
      <c r="AS408" s="86"/>
      <c r="AT408" s="82"/>
      <c r="AU408" s="87"/>
      <c r="AV408" s="816">
        <f t="shared" si="269"/>
        <v>0</v>
      </c>
      <c r="AW408" s="816">
        <f t="shared" si="270"/>
        <v>0</v>
      </c>
      <c r="AX408" s="816">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8"/>
      <c r="C409" s="1179"/>
      <c r="D409" s="2300"/>
      <c r="E409" s="81">
        <f t="shared" si="265"/>
        <v>0</v>
      </c>
      <c r="F409" s="82"/>
      <c r="G409" s="83">
        <f t="shared" si="266"/>
        <v>0</v>
      </c>
      <c r="H409" s="84">
        <f t="shared" si="267"/>
        <v>0</v>
      </c>
      <c r="I409" s="1179"/>
      <c r="J409" s="85"/>
      <c r="K409" s="1179"/>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9"/>
      <c r="AG409" s="86"/>
      <c r="AH409" s="86"/>
      <c r="AI409" s="86"/>
      <c r="AJ409" s="86"/>
      <c r="AK409" s="86"/>
      <c r="AL409" s="86"/>
      <c r="AM409" s="86"/>
      <c r="AN409" s="86"/>
      <c r="AO409" s="86"/>
      <c r="AP409" s="86"/>
      <c r="AQ409" s="86"/>
      <c r="AR409" s="86"/>
      <c r="AS409" s="86"/>
      <c r="AT409" s="82"/>
      <c r="AU409" s="87"/>
      <c r="AV409" s="816">
        <f t="shared" si="269"/>
        <v>0</v>
      </c>
      <c r="AW409" s="816">
        <f t="shared" si="270"/>
        <v>0</v>
      </c>
      <c r="AX409" s="816">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8"/>
      <c r="C410" s="1179"/>
      <c r="D410" s="2300"/>
      <c r="E410" s="81">
        <f t="shared" si="265"/>
        <v>0</v>
      </c>
      <c r="F410" s="82"/>
      <c r="G410" s="83">
        <f t="shared" si="266"/>
        <v>0</v>
      </c>
      <c r="H410" s="84">
        <f t="shared" si="267"/>
        <v>0</v>
      </c>
      <c r="I410" s="1179"/>
      <c r="J410" s="85"/>
      <c r="K410" s="1179"/>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9"/>
      <c r="AG410" s="86"/>
      <c r="AH410" s="86"/>
      <c r="AI410" s="86"/>
      <c r="AJ410" s="86"/>
      <c r="AK410" s="86"/>
      <c r="AL410" s="86"/>
      <c r="AM410" s="86"/>
      <c r="AN410" s="86"/>
      <c r="AO410" s="86"/>
      <c r="AP410" s="86"/>
      <c r="AQ410" s="86"/>
      <c r="AR410" s="86"/>
      <c r="AS410" s="86"/>
      <c r="AT410" s="82"/>
      <c r="AU410" s="87"/>
      <c r="AV410" s="816">
        <f t="shared" si="269"/>
        <v>0</v>
      </c>
      <c r="AW410" s="816">
        <f t="shared" si="270"/>
        <v>0</v>
      </c>
      <c r="AX410" s="816">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8"/>
      <c r="C411" s="1179"/>
      <c r="D411" s="2300"/>
      <c r="E411" s="81">
        <f t="shared" si="265"/>
        <v>0</v>
      </c>
      <c r="F411" s="82"/>
      <c r="G411" s="83">
        <f t="shared" si="266"/>
        <v>0</v>
      </c>
      <c r="H411" s="84">
        <f t="shared" si="267"/>
        <v>0</v>
      </c>
      <c r="I411" s="1179"/>
      <c r="J411" s="85"/>
      <c r="K411" s="1179"/>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9"/>
      <c r="AG411" s="86"/>
      <c r="AH411" s="86"/>
      <c r="AI411" s="86"/>
      <c r="AJ411" s="86"/>
      <c r="AK411" s="86"/>
      <c r="AL411" s="86"/>
      <c r="AM411" s="86"/>
      <c r="AN411" s="86"/>
      <c r="AO411" s="86"/>
      <c r="AP411" s="86"/>
      <c r="AQ411" s="86"/>
      <c r="AR411" s="86"/>
      <c r="AS411" s="86"/>
      <c r="AT411" s="82"/>
      <c r="AU411" s="87"/>
      <c r="AV411" s="816">
        <f t="shared" si="269"/>
        <v>0</v>
      </c>
      <c r="AW411" s="816">
        <f t="shared" si="270"/>
        <v>0</v>
      </c>
      <c r="AX411" s="816">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8"/>
      <c r="C412" s="1179"/>
      <c r="D412" s="2300"/>
      <c r="E412" s="81">
        <f t="shared" si="265"/>
        <v>0</v>
      </c>
      <c r="F412" s="82"/>
      <c r="G412" s="83">
        <f t="shared" si="266"/>
        <v>0</v>
      </c>
      <c r="H412" s="84">
        <f t="shared" si="267"/>
        <v>0</v>
      </c>
      <c r="I412" s="1179"/>
      <c r="J412" s="85"/>
      <c r="K412" s="1179"/>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9"/>
      <c r="AG412" s="86"/>
      <c r="AH412" s="86"/>
      <c r="AI412" s="86"/>
      <c r="AJ412" s="86"/>
      <c r="AK412" s="86"/>
      <c r="AL412" s="86"/>
      <c r="AM412" s="86"/>
      <c r="AN412" s="86"/>
      <c r="AO412" s="86"/>
      <c r="AP412" s="86"/>
      <c r="AQ412" s="86"/>
      <c r="AR412" s="86"/>
      <c r="AS412" s="86"/>
      <c r="AT412" s="82"/>
      <c r="AU412" s="87"/>
      <c r="AV412" s="816">
        <f t="shared" si="269"/>
        <v>0</v>
      </c>
      <c r="AW412" s="816">
        <f t="shared" si="270"/>
        <v>0</v>
      </c>
      <c r="AX412" s="816">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8"/>
      <c r="C413" s="1179"/>
      <c r="D413" s="2300"/>
      <c r="E413" s="81">
        <f t="shared" si="265"/>
        <v>0</v>
      </c>
      <c r="F413" s="82"/>
      <c r="G413" s="83">
        <f t="shared" si="266"/>
        <v>0</v>
      </c>
      <c r="H413" s="84">
        <f t="shared" si="267"/>
        <v>0</v>
      </c>
      <c r="I413" s="1179"/>
      <c r="J413" s="85"/>
      <c r="K413" s="1179"/>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9"/>
      <c r="AG413" s="86"/>
      <c r="AH413" s="86"/>
      <c r="AI413" s="86"/>
      <c r="AJ413" s="86"/>
      <c r="AK413" s="86"/>
      <c r="AL413" s="86"/>
      <c r="AM413" s="86"/>
      <c r="AN413" s="86"/>
      <c r="AO413" s="86"/>
      <c r="AP413" s="86"/>
      <c r="AQ413" s="86"/>
      <c r="AR413" s="86"/>
      <c r="AS413" s="86"/>
      <c r="AT413" s="82"/>
      <c r="AU413" s="87"/>
      <c r="AV413" s="816">
        <f t="shared" si="269"/>
        <v>0</v>
      </c>
      <c r="AW413" s="816">
        <f t="shared" si="270"/>
        <v>0</v>
      </c>
      <c r="AX413" s="816">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8"/>
      <c r="C414" s="1179"/>
      <c r="D414" s="2300"/>
      <c r="E414" s="81">
        <f t="shared" si="265"/>
        <v>0</v>
      </c>
      <c r="F414" s="82"/>
      <c r="G414" s="83">
        <f t="shared" si="266"/>
        <v>0</v>
      </c>
      <c r="H414" s="84">
        <f t="shared" si="267"/>
        <v>0</v>
      </c>
      <c r="I414" s="1179"/>
      <c r="J414" s="85"/>
      <c r="K414" s="1179"/>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9"/>
      <c r="AG414" s="86"/>
      <c r="AH414" s="86"/>
      <c r="AI414" s="86"/>
      <c r="AJ414" s="86"/>
      <c r="AK414" s="86"/>
      <c r="AL414" s="86"/>
      <c r="AM414" s="86"/>
      <c r="AN414" s="86"/>
      <c r="AO414" s="86"/>
      <c r="AP414" s="86"/>
      <c r="AQ414" s="86"/>
      <c r="AR414" s="86"/>
      <c r="AS414" s="86"/>
      <c r="AT414" s="82"/>
      <c r="AU414" s="87"/>
      <c r="AV414" s="816">
        <f t="shared" si="269"/>
        <v>0</v>
      </c>
      <c r="AW414" s="816">
        <f t="shared" si="270"/>
        <v>0</v>
      </c>
      <c r="AX414" s="816">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8"/>
      <c r="C415" s="1179"/>
      <c r="D415" s="2300"/>
      <c r="E415" s="81">
        <f t="shared" si="265"/>
        <v>0</v>
      </c>
      <c r="F415" s="82"/>
      <c r="G415" s="83">
        <f t="shared" si="266"/>
        <v>0</v>
      </c>
      <c r="H415" s="84">
        <f t="shared" si="267"/>
        <v>0</v>
      </c>
      <c r="I415" s="1179"/>
      <c r="J415" s="85"/>
      <c r="K415" s="1179"/>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9"/>
      <c r="AG415" s="86"/>
      <c r="AH415" s="86"/>
      <c r="AI415" s="86"/>
      <c r="AJ415" s="86"/>
      <c r="AK415" s="86"/>
      <c r="AL415" s="86"/>
      <c r="AM415" s="86"/>
      <c r="AN415" s="86"/>
      <c r="AO415" s="86"/>
      <c r="AP415" s="86"/>
      <c r="AQ415" s="86"/>
      <c r="AR415" s="86"/>
      <c r="AS415" s="86"/>
      <c r="AT415" s="82"/>
      <c r="AU415" s="87"/>
      <c r="AV415" s="816">
        <f t="shared" si="269"/>
        <v>0</v>
      </c>
      <c r="AW415" s="816">
        <f t="shared" si="270"/>
        <v>0</v>
      </c>
      <c r="AX415" s="816">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8"/>
      <c r="C416" s="1179"/>
      <c r="D416" s="2300"/>
      <c r="E416" s="81">
        <f t="shared" si="265"/>
        <v>0</v>
      </c>
      <c r="F416" s="82"/>
      <c r="G416" s="83">
        <f t="shared" si="266"/>
        <v>0</v>
      </c>
      <c r="H416" s="84">
        <f t="shared" si="267"/>
        <v>0</v>
      </c>
      <c r="I416" s="1179"/>
      <c r="J416" s="85"/>
      <c r="K416" s="1179"/>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9"/>
      <c r="AG416" s="86"/>
      <c r="AH416" s="86"/>
      <c r="AI416" s="86"/>
      <c r="AJ416" s="86"/>
      <c r="AK416" s="86"/>
      <c r="AL416" s="86"/>
      <c r="AM416" s="86"/>
      <c r="AN416" s="86"/>
      <c r="AO416" s="86"/>
      <c r="AP416" s="86"/>
      <c r="AQ416" s="86"/>
      <c r="AR416" s="86"/>
      <c r="AS416" s="86"/>
      <c r="AT416" s="82"/>
      <c r="AU416" s="87"/>
      <c r="AV416" s="816">
        <f t="shared" si="269"/>
        <v>0</v>
      </c>
      <c r="AW416" s="816">
        <f t="shared" si="270"/>
        <v>0</v>
      </c>
      <c r="AX416" s="816">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8"/>
      <c r="C417" s="1179"/>
      <c r="D417" s="2300"/>
      <c r="E417" s="81">
        <f t="shared" si="265"/>
        <v>0</v>
      </c>
      <c r="F417" s="82"/>
      <c r="G417" s="83">
        <f t="shared" si="266"/>
        <v>0</v>
      </c>
      <c r="H417" s="84">
        <f t="shared" si="267"/>
        <v>0</v>
      </c>
      <c r="I417" s="1179"/>
      <c r="J417" s="85"/>
      <c r="K417" s="1179"/>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9"/>
      <c r="AG417" s="86"/>
      <c r="AH417" s="86"/>
      <c r="AI417" s="86"/>
      <c r="AJ417" s="86"/>
      <c r="AK417" s="86"/>
      <c r="AL417" s="86"/>
      <c r="AM417" s="86"/>
      <c r="AN417" s="86"/>
      <c r="AO417" s="86"/>
      <c r="AP417" s="86"/>
      <c r="AQ417" s="86"/>
      <c r="AR417" s="86"/>
      <c r="AS417" s="86"/>
      <c r="AT417" s="82"/>
      <c r="AU417" s="87"/>
      <c r="AV417" s="816">
        <f t="shared" si="269"/>
        <v>0</v>
      </c>
      <c r="AW417" s="816">
        <f t="shared" si="270"/>
        <v>0</v>
      </c>
      <c r="AX417" s="816">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8"/>
      <c r="C418" s="1179"/>
      <c r="D418" s="2300"/>
      <c r="E418" s="81">
        <f t="shared" si="265"/>
        <v>0</v>
      </c>
      <c r="F418" s="82"/>
      <c r="G418" s="83">
        <f t="shared" si="266"/>
        <v>0</v>
      </c>
      <c r="H418" s="84">
        <f t="shared" si="267"/>
        <v>0</v>
      </c>
      <c r="I418" s="1179"/>
      <c r="J418" s="85"/>
      <c r="K418" s="1179"/>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9"/>
      <c r="AG418" s="86"/>
      <c r="AH418" s="86"/>
      <c r="AI418" s="86"/>
      <c r="AJ418" s="86"/>
      <c r="AK418" s="86"/>
      <c r="AL418" s="86"/>
      <c r="AM418" s="86"/>
      <c r="AN418" s="86"/>
      <c r="AO418" s="86"/>
      <c r="AP418" s="86"/>
      <c r="AQ418" s="86"/>
      <c r="AR418" s="86"/>
      <c r="AS418" s="86"/>
      <c r="AT418" s="82"/>
      <c r="AU418" s="87"/>
      <c r="AV418" s="816">
        <f t="shared" si="269"/>
        <v>0</v>
      </c>
      <c r="AW418" s="816">
        <f t="shared" si="270"/>
        <v>0</v>
      </c>
      <c r="AX418" s="816">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8"/>
      <c r="C419" s="1179"/>
      <c r="D419" s="2300"/>
      <c r="E419" s="81">
        <f t="shared" si="265"/>
        <v>0</v>
      </c>
      <c r="F419" s="82"/>
      <c r="G419" s="83">
        <f t="shared" si="266"/>
        <v>0</v>
      </c>
      <c r="H419" s="84">
        <f t="shared" si="267"/>
        <v>0</v>
      </c>
      <c r="I419" s="1179"/>
      <c r="J419" s="85"/>
      <c r="K419" s="1179"/>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9"/>
      <c r="AG419" s="86"/>
      <c r="AH419" s="86"/>
      <c r="AI419" s="86"/>
      <c r="AJ419" s="86"/>
      <c r="AK419" s="86"/>
      <c r="AL419" s="86"/>
      <c r="AM419" s="86"/>
      <c r="AN419" s="86"/>
      <c r="AO419" s="86"/>
      <c r="AP419" s="86"/>
      <c r="AQ419" s="86"/>
      <c r="AR419" s="86"/>
      <c r="AS419" s="86"/>
      <c r="AT419" s="82"/>
      <c r="AU419" s="87"/>
      <c r="AV419" s="816">
        <f t="shared" si="269"/>
        <v>0</v>
      </c>
      <c r="AW419" s="816">
        <f t="shared" si="270"/>
        <v>0</v>
      </c>
      <c r="AX419" s="816">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8"/>
      <c r="C420" s="1179"/>
      <c r="D420" s="2300"/>
      <c r="E420" s="81">
        <f t="shared" si="265"/>
        <v>0</v>
      </c>
      <c r="F420" s="82"/>
      <c r="G420" s="83">
        <f t="shared" si="266"/>
        <v>0</v>
      </c>
      <c r="H420" s="84">
        <f t="shared" si="267"/>
        <v>0</v>
      </c>
      <c r="I420" s="1179"/>
      <c r="J420" s="85"/>
      <c r="K420" s="1179"/>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9"/>
      <c r="AG420" s="86"/>
      <c r="AH420" s="86"/>
      <c r="AI420" s="86"/>
      <c r="AJ420" s="86"/>
      <c r="AK420" s="86"/>
      <c r="AL420" s="86"/>
      <c r="AM420" s="86"/>
      <c r="AN420" s="86"/>
      <c r="AO420" s="86"/>
      <c r="AP420" s="86"/>
      <c r="AQ420" s="86"/>
      <c r="AR420" s="86"/>
      <c r="AS420" s="86"/>
      <c r="AT420" s="82"/>
      <c r="AU420" s="87"/>
      <c r="AV420" s="816">
        <f t="shared" si="269"/>
        <v>0</v>
      </c>
      <c r="AW420" s="816">
        <f t="shared" si="270"/>
        <v>0</v>
      </c>
      <c r="AX420" s="816">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8"/>
      <c r="C421" s="1179"/>
      <c r="D421" s="2300"/>
      <c r="E421" s="81">
        <f t="shared" si="265"/>
        <v>0</v>
      </c>
      <c r="F421" s="82"/>
      <c r="G421" s="83">
        <f t="shared" si="266"/>
        <v>0</v>
      </c>
      <c r="H421" s="84">
        <f t="shared" si="267"/>
        <v>0</v>
      </c>
      <c r="I421" s="1179"/>
      <c r="J421" s="85"/>
      <c r="K421" s="1179"/>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9"/>
      <c r="AG421" s="86"/>
      <c r="AH421" s="86"/>
      <c r="AI421" s="86"/>
      <c r="AJ421" s="86"/>
      <c r="AK421" s="86"/>
      <c r="AL421" s="86"/>
      <c r="AM421" s="86"/>
      <c r="AN421" s="86"/>
      <c r="AO421" s="86"/>
      <c r="AP421" s="86"/>
      <c r="AQ421" s="86"/>
      <c r="AR421" s="86"/>
      <c r="AS421" s="86"/>
      <c r="AT421" s="82"/>
      <c r="AU421" s="87"/>
      <c r="AV421" s="816">
        <f t="shared" si="269"/>
        <v>0</v>
      </c>
      <c r="AW421" s="816">
        <f t="shared" si="270"/>
        <v>0</v>
      </c>
      <c r="AX421" s="816">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8"/>
      <c r="C422" s="1179"/>
      <c r="D422" s="2300"/>
      <c r="E422" s="81">
        <f t="shared" si="265"/>
        <v>0</v>
      </c>
      <c r="F422" s="82"/>
      <c r="G422" s="83">
        <f t="shared" si="266"/>
        <v>0</v>
      </c>
      <c r="H422" s="84">
        <f t="shared" si="267"/>
        <v>0</v>
      </c>
      <c r="I422" s="1179"/>
      <c r="J422" s="85"/>
      <c r="K422" s="1179"/>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9"/>
      <c r="AG422" s="86"/>
      <c r="AH422" s="86"/>
      <c r="AI422" s="86"/>
      <c r="AJ422" s="86"/>
      <c r="AK422" s="86"/>
      <c r="AL422" s="86"/>
      <c r="AM422" s="86"/>
      <c r="AN422" s="86"/>
      <c r="AO422" s="86"/>
      <c r="AP422" s="86"/>
      <c r="AQ422" s="86"/>
      <c r="AR422" s="86"/>
      <c r="AS422" s="86"/>
      <c r="AT422" s="82"/>
      <c r="AU422" s="87"/>
      <c r="AV422" s="816">
        <f t="shared" si="269"/>
        <v>0</v>
      </c>
      <c r="AW422" s="816">
        <f t="shared" si="270"/>
        <v>0</v>
      </c>
      <c r="AX422" s="816">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8"/>
      <c r="C423" s="1179"/>
      <c r="D423" s="2300"/>
      <c r="E423" s="81">
        <f t="shared" si="265"/>
        <v>0</v>
      </c>
      <c r="F423" s="82"/>
      <c r="G423" s="83">
        <f t="shared" si="266"/>
        <v>0</v>
      </c>
      <c r="H423" s="84">
        <f t="shared" si="267"/>
        <v>0</v>
      </c>
      <c r="I423" s="1179"/>
      <c r="J423" s="85"/>
      <c r="K423" s="1179"/>
      <c r="L423" s="85"/>
      <c r="M423" s="1179"/>
      <c r="N423" s="85"/>
      <c r="O423" s="85"/>
      <c r="P423" s="85"/>
      <c r="Q423" s="85"/>
      <c r="R423" s="85"/>
      <c r="S423" s="85"/>
      <c r="T423" s="85"/>
      <c r="U423" s="85"/>
      <c r="V423" s="85"/>
      <c r="W423" s="85"/>
      <c r="X423" s="85"/>
      <c r="Y423" s="85"/>
      <c r="Z423" s="85"/>
      <c r="AA423" s="85"/>
      <c r="AB423" s="85"/>
      <c r="AC423" s="81">
        <f t="shared" si="268"/>
        <v>0</v>
      </c>
      <c r="AD423" s="86"/>
      <c r="AE423" s="86"/>
      <c r="AF423" s="1179"/>
      <c r="AG423" s="86"/>
      <c r="AH423" s="86"/>
      <c r="AI423" s="86"/>
      <c r="AJ423" s="86"/>
      <c r="AK423" s="86"/>
      <c r="AL423" s="86"/>
      <c r="AM423" s="86"/>
      <c r="AN423" s="86"/>
      <c r="AO423" s="86"/>
      <c r="AP423" s="86"/>
      <c r="AQ423" s="86"/>
      <c r="AR423" s="86"/>
      <c r="AS423" s="86"/>
      <c r="AT423" s="82"/>
      <c r="AU423" s="87"/>
      <c r="AV423" s="816">
        <f t="shared" si="269"/>
        <v>0</v>
      </c>
      <c r="AW423" s="816">
        <f t="shared" si="270"/>
        <v>0</v>
      </c>
      <c r="AX423" s="816">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6">
        <f t="shared" si="269"/>
        <v>0</v>
      </c>
      <c r="AW424" s="816">
        <f t="shared" si="270"/>
        <v>0</v>
      </c>
      <c r="AX424" s="816">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6">
        <f t="shared" si="269"/>
        <v>0</v>
      </c>
      <c r="AW425" s="816">
        <f t="shared" si="270"/>
        <v>0</v>
      </c>
      <c r="AX425" s="816">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6">
        <f t="shared" si="269"/>
        <v>0</v>
      </c>
      <c r="AW426" s="816">
        <f t="shared" si="270"/>
        <v>0</v>
      </c>
      <c r="AX426" s="816">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6">
        <f t="shared" si="269"/>
        <v>0</v>
      </c>
      <c r="AW427" s="816">
        <f t="shared" si="270"/>
        <v>0</v>
      </c>
      <c r="AX427" s="816">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6">
        <f t="shared" si="269"/>
        <v>0</v>
      </c>
      <c r="AW428" s="816">
        <f t="shared" si="270"/>
        <v>0</v>
      </c>
      <c r="AX428" s="816">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6">
        <f t="shared" si="269"/>
        <v>0</v>
      </c>
      <c r="AW429" s="816">
        <f t="shared" si="270"/>
        <v>0</v>
      </c>
      <c r="AX429" s="816">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6">
        <f t="shared" si="269"/>
        <v>0</v>
      </c>
      <c r="AW430" s="816">
        <f t="shared" si="270"/>
        <v>0</v>
      </c>
      <c r="AX430" s="816">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6">
        <f t="shared" si="269"/>
        <v>0</v>
      </c>
      <c r="AW431" s="816">
        <f t="shared" si="270"/>
        <v>0</v>
      </c>
      <c r="AX431" s="816">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6">
        <f t="shared" si="269"/>
        <v>0</v>
      </c>
      <c r="AW432" s="816">
        <f t="shared" si="270"/>
        <v>0</v>
      </c>
      <c r="AX432" s="816">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6">
        <f t="shared" si="269"/>
        <v>0</v>
      </c>
      <c r="AW433" s="816">
        <f t="shared" si="270"/>
        <v>0</v>
      </c>
      <c r="AX433" s="816">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6">
        <f t="shared" si="269"/>
        <v>0</v>
      </c>
      <c r="AW434" s="816">
        <f t="shared" si="270"/>
        <v>0</v>
      </c>
      <c r="AX434" s="816">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6">
        <f t="shared" si="269"/>
        <v>0</v>
      </c>
      <c r="AW435" s="816">
        <f t="shared" si="270"/>
        <v>0</v>
      </c>
      <c r="AX435" s="816">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6">
        <f t="shared" si="269"/>
        <v>0</v>
      </c>
      <c r="AW436" s="816">
        <f t="shared" si="270"/>
        <v>0</v>
      </c>
      <c r="AX436" s="816">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6">
        <f t="shared" si="269"/>
        <v>0</v>
      </c>
      <c r="AW437" s="816">
        <f t="shared" si="270"/>
        <v>0</v>
      </c>
      <c r="AX437" s="816">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6">
        <f t="shared" si="269"/>
        <v>0</v>
      </c>
      <c r="AW438" s="816">
        <f t="shared" si="270"/>
        <v>0</v>
      </c>
      <c r="AX438" s="816">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6">
        <f t="shared" si="269"/>
        <v>0</v>
      </c>
      <c r="AW439" s="816">
        <f t="shared" si="270"/>
        <v>0</v>
      </c>
      <c r="AX439" s="816">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6">
        <f t="shared" si="269"/>
        <v>0</v>
      </c>
      <c r="AW440" s="816">
        <f t="shared" si="270"/>
        <v>0</v>
      </c>
      <c r="AX440" s="816">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6">
        <f t="shared" si="269"/>
        <v>0</v>
      </c>
      <c r="AW441" s="816">
        <f t="shared" si="270"/>
        <v>0</v>
      </c>
      <c r="AX441" s="816">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6">
        <f t="shared" si="269"/>
        <v>0</v>
      </c>
      <c r="AW442" s="816">
        <f t="shared" si="270"/>
        <v>0</v>
      </c>
      <c r="AX442" s="816">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6">
        <f t="shared" si="269"/>
        <v>0</v>
      </c>
      <c r="AW443" s="816">
        <f t="shared" si="270"/>
        <v>0</v>
      </c>
      <c r="AX443" s="816">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6">
        <f t="shared" si="269"/>
        <v>0</v>
      </c>
      <c r="AW444" s="816">
        <f t="shared" si="270"/>
        <v>0</v>
      </c>
      <c r="AX444" s="816">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6">
        <f t="shared" si="269"/>
        <v>0</v>
      </c>
      <c r="AW445" s="816">
        <f t="shared" si="270"/>
        <v>0</v>
      </c>
      <c r="AX445" s="816">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6">
        <f t="shared" si="269"/>
        <v>0</v>
      </c>
      <c r="AW446" s="816">
        <f t="shared" si="270"/>
        <v>0</v>
      </c>
      <c r="AX446" s="816">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6">
        <f t="shared" si="269"/>
        <v>0</v>
      </c>
      <c r="AW447" s="816">
        <f t="shared" si="270"/>
        <v>0</v>
      </c>
      <c r="AX447" s="816">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6">
        <f t="shared" si="269"/>
        <v>0</v>
      </c>
      <c r="AW448" s="816">
        <f t="shared" si="270"/>
        <v>0</v>
      </c>
      <c r="AX448" s="816">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6">
        <f t="shared" si="269"/>
        <v>0</v>
      </c>
      <c r="AW449" s="816">
        <f t="shared" si="270"/>
        <v>0</v>
      </c>
      <c r="AX449" s="816">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6">
        <f t="shared" si="269"/>
        <v>0</v>
      </c>
      <c r="AW450" s="816">
        <f t="shared" si="270"/>
        <v>0</v>
      </c>
      <c r="AX450" s="816">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6">
        <f t="shared" si="269"/>
        <v>0</v>
      </c>
      <c r="AW451" s="816">
        <f t="shared" si="270"/>
        <v>0</v>
      </c>
      <c r="AX451" s="816">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6">
        <f t="shared" si="269"/>
        <v>0</v>
      </c>
      <c r="AW452" s="816">
        <f t="shared" si="270"/>
        <v>0</v>
      </c>
      <c r="AX452" s="816">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6">
        <f t="shared" si="269"/>
        <v>0</v>
      </c>
      <c r="AW453" s="816">
        <f t="shared" si="270"/>
        <v>0</v>
      </c>
      <c r="AX453" s="816">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6">
        <f t="shared" si="269"/>
        <v>0</v>
      </c>
      <c r="AW454" s="816">
        <f t="shared" si="270"/>
        <v>0</v>
      </c>
      <c r="AX454" s="816">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6">
        <f t="shared" si="269"/>
        <v>0</v>
      </c>
      <c r="AW455" s="816">
        <f t="shared" si="270"/>
        <v>0</v>
      </c>
      <c r="AX455" s="816">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6">
        <f t="shared" si="269"/>
        <v>0</v>
      </c>
      <c r="AW456" s="816">
        <f t="shared" si="270"/>
        <v>0</v>
      </c>
      <c r="AX456" s="816">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6">
        <f t="shared" si="269"/>
        <v>0</v>
      </c>
      <c r="AW457" s="816">
        <f t="shared" si="270"/>
        <v>0</v>
      </c>
      <c r="AX457" s="816">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6">
        <f t="shared" si="269"/>
        <v>0</v>
      </c>
      <c r="AW458" s="816">
        <f t="shared" si="270"/>
        <v>0</v>
      </c>
      <c r="AX458" s="816">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6">
        <f t="shared" si="269"/>
        <v>0</v>
      </c>
      <c r="AW459" s="816">
        <f t="shared" si="270"/>
        <v>0</v>
      </c>
      <c r="AX459" s="816">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6">
        <f t="shared" si="269"/>
        <v>0</v>
      </c>
      <c r="AW460" s="816">
        <f t="shared" si="270"/>
        <v>0</v>
      </c>
      <c r="AX460" s="816">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6">
        <f t="shared" si="269"/>
        <v>0</v>
      </c>
      <c r="AW461" s="816">
        <f t="shared" si="270"/>
        <v>0</v>
      </c>
      <c r="AX461" s="816">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6">
        <f t="shared" si="269"/>
        <v>0</v>
      </c>
      <c r="AW462" s="816">
        <f t="shared" si="270"/>
        <v>0</v>
      </c>
      <c r="AX462" s="816">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6">
        <f t="shared" si="269"/>
        <v>0</v>
      </c>
      <c r="AW463" s="816">
        <f t="shared" si="270"/>
        <v>0</v>
      </c>
      <c r="AX463" s="816">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6">
        <f t="shared" si="269"/>
        <v>0</v>
      </c>
      <c r="AW464" s="816">
        <f t="shared" si="270"/>
        <v>0</v>
      </c>
      <c r="AX464" s="816">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6">
        <f t="shared" si="269"/>
        <v>0</v>
      </c>
      <c r="AW465" s="816">
        <f t="shared" si="270"/>
        <v>0</v>
      </c>
      <c r="AX465" s="816">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6">
        <f t="shared" si="269"/>
        <v>0</v>
      </c>
      <c r="AW466" s="816">
        <f t="shared" si="270"/>
        <v>0</v>
      </c>
      <c r="AX466" s="816">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6">
        <f t="shared" si="269"/>
        <v>0</v>
      </c>
      <c r="AW467" s="816">
        <f t="shared" si="270"/>
        <v>0</v>
      </c>
      <c r="AX467" s="816">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6">
        <f t="shared" si="269"/>
        <v>0</v>
      </c>
      <c r="AW468" s="816">
        <f t="shared" si="270"/>
        <v>0</v>
      </c>
      <c r="AX468" s="816">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6">
        <f t="shared" si="269"/>
        <v>0</v>
      </c>
      <c r="AW469" s="816">
        <f t="shared" si="270"/>
        <v>0</v>
      </c>
      <c r="AX469" s="816">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6">
        <f t="shared" si="269"/>
        <v>0</v>
      </c>
      <c r="AW470" s="816">
        <f t="shared" si="270"/>
        <v>0</v>
      </c>
      <c r="AX470" s="816">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6">
        <f t="shared" si="269"/>
        <v>0</v>
      </c>
      <c r="AW471" s="816">
        <f t="shared" si="270"/>
        <v>0</v>
      </c>
      <c r="AX471" s="816">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6">
        <f t="shared" si="269"/>
        <v>0</v>
      </c>
      <c r="AW472" s="816">
        <f t="shared" si="270"/>
        <v>0</v>
      </c>
      <c r="AX472" s="816">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6">
        <f t="shared" si="269"/>
        <v>0</v>
      </c>
      <c r="AW473" s="816">
        <f t="shared" si="270"/>
        <v>0</v>
      </c>
      <c r="AX473" s="816">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6">
        <f t="shared" si="269"/>
        <v>0</v>
      </c>
      <c r="AW474" s="816">
        <f t="shared" si="270"/>
        <v>0</v>
      </c>
      <c r="AX474" s="816">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6">
        <f t="shared" si="269"/>
        <v>0</v>
      </c>
      <c r="AW475" s="816">
        <f t="shared" si="270"/>
        <v>0</v>
      </c>
      <c r="AX475" s="816">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6">
        <f t="shared" si="269"/>
        <v>0</v>
      </c>
      <c r="AW476" s="816">
        <f t="shared" si="270"/>
        <v>0</v>
      </c>
      <c r="AX476" s="816">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6">
        <f t="shared" si="269"/>
        <v>0</v>
      </c>
      <c r="AW477" s="816">
        <f t="shared" si="270"/>
        <v>0</v>
      </c>
      <c r="AX477" s="816">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6">
        <f t="shared" si="269"/>
        <v>0</v>
      </c>
      <c r="AW478" s="816">
        <f t="shared" si="270"/>
        <v>0</v>
      </c>
      <c r="AX478" s="816">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6">
        <f t="shared" si="269"/>
        <v>0</v>
      </c>
      <c r="AW479" s="816">
        <f t="shared" si="270"/>
        <v>0</v>
      </c>
      <c r="AX479" s="816">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6">
        <f t="shared" si="269"/>
        <v>0</v>
      </c>
      <c r="AW480" s="816">
        <f t="shared" si="270"/>
        <v>0</v>
      </c>
      <c r="AX480" s="816">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8"/>
      <c r="C481" s="1179"/>
      <c r="D481" s="2300"/>
      <c r="E481" s="81">
        <f t="shared" ref="E481:E504" si="319">IF($C$3="是",ROUND($A$3*G481/$B$3,2),ROUND($A$3*(G481-AT481)/$B$3,2))</f>
        <v>0</v>
      </c>
      <c r="F481" s="82"/>
      <c r="G481" s="83">
        <f t="shared" si="294"/>
        <v>0</v>
      </c>
      <c r="H481" s="84">
        <f t="shared" si="295"/>
        <v>0</v>
      </c>
      <c r="I481" s="1179"/>
      <c r="J481" s="85"/>
      <c r="K481" s="1179"/>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0"/>
      <c r="AG481" s="86"/>
      <c r="AH481" s="86"/>
      <c r="AI481" s="86"/>
      <c r="AJ481" s="86"/>
      <c r="AK481" s="86"/>
      <c r="AL481" s="86"/>
      <c r="AM481" s="86"/>
      <c r="AN481" s="1156"/>
      <c r="AO481" s="86"/>
      <c r="AP481" s="86"/>
      <c r="AQ481" s="86"/>
      <c r="AR481" s="86"/>
      <c r="AS481" s="86"/>
      <c r="AT481" s="82"/>
      <c r="AU481" s="87"/>
      <c r="AV481" s="816">
        <f t="shared" ref="AV481:AV505" si="320">A481</f>
        <v>0</v>
      </c>
      <c r="AW481" s="816">
        <f t="shared" ref="AW481:AW505" si="321">B481</f>
        <v>0</v>
      </c>
      <c r="AX481" s="816">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8"/>
      <c r="C482" s="1179"/>
      <c r="D482" s="2300"/>
      <c r="E482" s="81">
        <f t="shared" si="319"/>
        <v>0</v>
      </c>
      <c r="F482" s="82"/>
      <c r="G482" s="83">
        <f t="shared" si="294"/>
        <v>0</v>
      </c>
      <c r="H482" s="84">
        <f t="shared" si="295"/>
        <v>0</v>
      </c>
      <c r="I482" s="1179"/>
      <c r="J482" s="85"/>
      <c r="K482" s="1179"/>
      <c r="L482" s="85"/>
      <c r="M482" s="1156"/>
      <c r="N482" s="85"/>
      <c r="O482" s="85"/>
      <c r="P482" s="85"/>
      <c r="Q482" s="85"/>
      <c r="R482" s="85"/>
      <c r="S482" s="85"/>
      <c r="T482" s="85"/>
      <c r="U482" s="85"/>
      <c r="V482" s="85"/>
      <c r="W482" s="85"/>
      <c r="X482" s="85"/>
      <c r="Y482" s="85"/>
      <c r="Z482" s="85"/>
      <c r="AA482" s="85"/>
      <c r="AB482" s="85"/>
      <c r="AC482" s="81">
        <f t="shared" si="296"/>
        <v>0</v>
      </c>
      <c r="AD482" s="1156"/>
      <c r="AE482" s="86"/>
      <c r="AF482" s="1180"/>
      <c r="AG482" s="86"/>
      <c r="AH482" s="86"/>
      <c r="AI482" s="86"/>
      <c r="AJ482" s="86"/>
      <c r="AK482" s="86"/>
      <c r="AL482" s="1156"/>
      <c r="AM482" s="86"/>
      <c r="AN482" s="1156"/>
      <c r="AO482" s="86"/>
      <c r="AP482" s="86"/>
      <c r="AQ482" s="86"/>
      <c r="AR482" s="86"/>
      <c r="AS482" s="86"/>
      <c r="AT482" s="82"/>
      <c r="AU482" s="87"/>
      <c r="AV482" s="816">
        <f t="shared" si="320"/>
        <v>0</v>
      </c>
      <c r="AW482" s="816">
        <f t="shared" si="321"/>
        <v>0</v>
      </c>
      <c r="AX482" s="816">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8"/>
      <c r="C483" s="1179"/>
      <c r="D483" s="2300"/>
      <c r="E483" s="81">
        <f t="shared" si="319"/>
        <v>0</v>
      </c>
      <c r="F483" s="82"/>
      <c r="G483" s="83">
        <f t="shared" si="294"/>
        <v>0</v>
      </c>
      <c r="H483" s="84">
        <f t="shared" si="295"/>
        <v>0</v>
      </c>
      <c r="I483" s="1179"/>
      <c r="J483" s="85"/>
      <c r="K483" s="1179"/>
      <c r="L483" s="85"/>
      <c r="M483" s="1156"/>
      <c r="N483" s="85"/>
      <c r="O483" s="85"/>
      <c r="P483" s="85"/>
      <c r="Q483" s="85"/>
      <c r="R483" s="85"/>
      <c r="S483" s="85"/>
      <c r="T483" s="85"/>
      <c r="U483" s="85"/>
      <c r="V483" s="85"/>
      <c r="W483" s="85"/>
      <c r="X483" s="85"/>
      <c r="Y483" s="85"/>
      <c r="Z483" s="85"/>
      <c r="AA483" s="85"/>
      <c r="AB483" s="85"/>
      <c r="AC483" s="81">
        <f t="shared" si="296"/>
        <v>0</v>
      </c>
      <c r="AD483" s="86"/>
      <c r="AE483" s="86"/>
      <c r="AF483" s="1180"/>
      <c r="AG483" s="86"/>
      <c r="AH483" s="86"/>
      <c r="AI483" s="86"/>
      <c r="AJ483" s="86"/>
      <c r="AK483" s="86"/>
      <c r="AL483" s="1156"/>
      <c r="AM483" s="86"/>
      <c r="AN483" s="1156"/>
      <c r="AO483" s="86"/>
      <c r="AP483" s="86"/>
      <c r="AQ483" s="86"/>
      <c r="AR483" s="86"/>
      <c r="AS483" s="86"/>
      <c r="AT483" s="82"/>
      <c r="AU483" s="87"/>
      <c r="AV483" s="816">
        <f t="shared" si="320"/>
        <v>0</v>
      </c>
      <c r="AW483" s="816">
        <f t="shared" si="321"/>
        <v>0</v>
      </c>
      <c r="AX483" s="816">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8"/>
      <c r="C484" s="1179"/>
      <c r="D484" s="2300"/>
      <c r="E484" s="81">
        <f t="shared" si="319"/>
        <v>0</v>
      </c>
      <c r="F484" s="82"/>
      <c r="G484" s="83">
        <f t="shared" si="294"/>
        <v>0</v>
      </c>
      <c r="H484" s="84">
        <f t="shared" si="295"/>
        <v>0</v>
      </c>
      <c r="I484" s="1179"/>
      <c r="J484" s="85"/>
      <c r="K484" s="1179"/>
      <c r="L484" s="85"/>
      <c r="M484" s="85"/>
      <c r="N484" s="85"/>
      <c r="O484" s="1156"/>
      <c r="P484" s="85"/>
      <c r="Q484" s="85"/>
      <c r="R484" s="85"/>
      <c r="S484" s="85"/>
      <c r="T484" s="85"/>
      <c r="U484" s="85"/>
      <c r="V484" s="85"/>
      <c r="W484" s="85"/>
      <c r="X484" s="85"/>
      <c r="Y484" s="85"/>
      <c r="Z484" s="85"/>
      <c r="AA484" s="85"/>
      <c r="AB484" s="85"/>
      <c r="AC484" s="81">
        <f t="shared" si="296"/>
        <v>0</v>
      </c>
      <c r="AD484" s="86"/>
      <c r="AE484" s="86"/>
      <c r="AF484" s="1180"/>
      <c r="AG484" s="86"/>
      <c r="AH484" s="86"/>
      <c r="AI484" s="86"/>
      <c r="AJ484" s="86"/>
      <c r="AK484" s="86"/>
      <c r="AL484" s="86"/>
      <c r="AM484" s="86"/>
      <c r="AN484" s="1156"/>
      <c r="AO484" s="86"/>
      <c r="AP484" s="86"/>
      <c r="AQ484" s="86"/>
      <c r="AR484" s="86"/>
      <c r="AS484" s="86"/>
      <c r="AT484" s="82"/>
      <c r="AU484" s="87"/>
      <c r="AV484" s="816">
        <f t="shared" si="320"/>
        <v>0</v>
      </c>
      <c r="AW484" s="816">
        <f t="shared" si="321"/>
        <v>0</v>
      </c>
      <c r="AX484" s="816">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8"/>
      <c r="C485" s="1179"/>
      <c r="D485" s="2300"/>
      <c r="E485" s="81">
        <f t="shared" si="319"/>
        <v>0</v>
      </c>
      <c r="F485" s="82"/>
      <c r="G485" s="83">
        <f t="shared" si="294"/>
        <v>0</v>
      </c>
      <c r="H485" s="84">
        <f t="shared" si="295"/>
        <v>0</v>
      </c>
      <c r="I485" s="1179"/>
      <c r="J485" s="85"/>
      <c r="K485" s="1179"/>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0"/>
      <c r="AG485" s="86"/>
      <c r="AH485" s="86"/>
      <c r="AI485" s="86"/>
      <c r="AJ485" s="86"/>
      <c r="AK485" s="86"/>
      <c r="AL485" s="86"/>
      <c r="AM485" s="86"/>
      <c r="AN485" s="86"/>
      <c r="AO485" s="86"/>
      <c r="AP485" s="86"/>
      <c r="AQ485" s="86"/>
      <c r="AR485" s="86"/>
      <c r="AS485" s="86"/>
      <c r="AT485" s="82"/>
      <c r="AU485" s="87"/>
      <c r="AV485" s="816">
        <f t="shared" si="320"/>
        <v>0</v>
      </c>
      <c r="AW485" s="816">
        <f t="shared" si="321"/>
        <v>0</v>
      </c>
      <c r="AX485" s="816">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8"/>
      <c r="C486" s="1179"/>
      <c r="D486" s="2300"/>
      <c r="E486" s="81">
        <f t="shared" si="319"/>
        <v>0</v>
      </c>
      <c r="F486" s="82"/>
      <c r="G486" s="83">
        <f t="shared" si="294"/>
        <v>0</v>
      </c>
      <c r="H486" s="84">
        <f t="shared" si="295"/>
        <v>0</v>
      </c>
      <c r="I486" s="1179"/>
      <c r="J486" s="85"/>
      <c r="K486" s="1179"/>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0"/>
      <c r="AG486" s="86"/>
      <c r="AH486" s="86"/>
      <c r="AI486" s="86"/>
      <c r="AJ486" s="86"/>
      <c r="AK486" s="86"/>
      <c r="AL486" s="86"/>
      <c r="AM486" s="86"/>
      <c r="AN486" s="86"/>
      <c r="AO486" s="86"/>
      <c r="AP486" s="86"/>
      <c r="AQ486" s="86"/>
      <c r="AR486" s="86"/>
      <c r="AS486" s="86"/>
      <c r="AT486" s="82"/>
      <c r="AU486" s="87"/>
      <c r="AV486" s="816">
        <f t="shared" si="320"/>
        <v>0</v>
      </c>
      <c r="AW486" s="816">
        <f t="shared" si="321"/>
        <v>0</v>
      </c>
      <c r="AX486" s="816">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8"/>
      <c r="C487" s="1179"/>
      <c r="D487" s="2300"/>
      <c r="E487" s="81">
        <f t="shared" si="319"/>
        <v>0</v>
      </c>
      <c r="F487" s="82"/>
      <c r="G487" s="83">
        <f t="shared" si="294"/>
        <v>0</v>
      </c>
      <c r="H487" s="84">
        <f t="shared" si="295"/>
        <v>0</v>
      </c>
      <c r="I487" s="1179"/>
      <c r="J487" s="85"/>
      <c r="K487" s="1179"/>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0"/>
      <c r="AG487" s="86"/>
      <c r="AH487" s="86"/>
      <c r="AI487" s="86"/>
      <c r="AJ487" s="86"/>
      <c r="AK487" s="86"/>
      <c r="AL487" s="86"/>
      <c r="AM487" s="86"/>
      <c r="AN487" s="86"/>
      <c r="AO487" s="86"/>
      <c r="AP487" s="86"/>
      <c r="AQ487" s="86"/>
      <c r="AR487" s="86"/>
      <c r="AS487" s="86"/>
      <c r="AT487" s="82"/>
      <c r="AU487" s="87"/>
      <c r="AV487" s="816">
        <f t="shared" si="320"/>
        <v>0</v>
      </c>
      <c r="AW487" s="816">
        <f t="shared" si="321"/>
        <v>0</v>
      </c>
      <c r="AX487" s="816">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8"/>
      <c r="C488" s="1179"/>
      <c r="D488" s="2300"/>
      <c r="E488" s="81">
        <f t="shared" si="319"/>
        <v>0</v>
      </c>
      <c r="F488" s="82"/>
      <c r="G488" s="83">
        <f t="shared" si="294"/>
        <v>0</v>
      </c>
      <c r="H488" s="84">
        <f t="shared" si="295"/>
        <v>0</v>
      </c>
      <c r="I488" s="1179"/>
      <c r="J488" s="85"/>
      <c r="K488" s="1179"/>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9"/>
      <c r="AG488" s="86"/>
      <c r="AH488" s="86"/>
      <c r="AI488" s="86"/>
      <c r="AJ488" s="86"/>
      <c r="AK488" s="86"/>
      <c r="AL488" s="86"/>
      <c r="AM488" s="86"/>
      <c r="AN488" s="86"/>
      <c r="AO488" s="86"/>
      <c r="AP488" s="86"/>
      <c r="AQ488" s="86"/>
      <c r="AR488" s="86"/>
      <c r="AS488" s="86"/>
      <c r="AT488" s="82"/>
      <c r="AU488" s="87"/>
      <c r="AV488" s="816">
        <f t="shared" si="320"/>
        <v>0</v>
      </c>
      <c r="AW488" s="816">
        <f t="shared" si="321"/>
        <v>0</v>
      </c>
      <c r="AX488" s="816">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8"/>
      <c r="C489" s="1179"/>
      <c r="D489" s="2300"/>
      <c r="E489" s="81">
        <f t="shared" si="319"/>
        <v>0</v>
      </c>
      <c r="F489" s="82"/>
      <c r="G489" s="83">
        <f t="shared" si="294"/>
        <v>0</v>
      </c>
      <c r="H489" s="84">
        <f t="shared" si="295"/>
        <v>0</v>
      </c>
      <c r="I489" s="1179"/>
      <c r="J489" s="85"/>
      <c r="K489" s="1179"/>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9"/>
      <c r="AG489" s="86"/>
      <c r="AH489" s="86"/>
      <c r="AI489" s="86"/>
      <c r="AJ489" s="86"/>
      <c r="AK489" s="86"/>
      <c r="AL489" s="86"/>
      <c r="AM489" s="86"/>
      <c r="AN489" s="86"/>
      <c r="AO489" s="86"/>
      <c r="AP489" s="86"/>
      <c r="AQ489" s="86"/>
      <c r="AR489" s="86"/>
      <c r="AS489" s="86"/>
      <c r="AT489" s="82"/>
      <c r="AU489" s="87"/>
      <c r="AV489" s="816">
        <f t="shared" si="320"/>
        <v>0</v>
      </c>
      <c r="AW489" s="816">
        <f t="shared" si="321"/>
        <v>0</v>
      </c>
      <c r="AX489" s="816">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8"/>
      <c r="C490" s="1179"/>
      <c r="D490" s="2300"/>
      <c r="E490" s="81">
        <f t="shared" si="319"/>
        <v>0</v>
      </c>
      <c r="F490" s="82"/>
      <c r="G490" s="83">
        <f t="shared" si="294"/>
        <v>0</v>
      </c>
      <c r="H490" s="84">
        <f t="shared" si="295"/>
        <v>0</v>
      </c>
      <c r="I490" s="1179"/>
      <c r="J490" s="85"/>
      <c r="K490" s="1179"/>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9"/>
      <c r="AG490" s="86"/>
      <c r="AH490" s="86"/>
      <c r="AI490" s="86"/>
      <c r="AJ490" s="86"/>
      <c r="AK490" s="86"/>
      <c r="AL490" s="86"/>
      <c r="AM490" s="86"/>
      <c r="AN490" s="86"/>
      <c r="AO490" s="86"/>
      <c r="AP490" s="86"/>
      <c r="AQ490" s="86"/>
      <c r="AR490" s="86"/>
      <c r="AS490" s="86"/>
      <c r="AT490" s="82"/>
      <c r="AU490" s="87"/>
      <c r="AV490" s="816">
        <f t="shared" si="320"/>
        <v>0</v>
      </c>
      <c r="AW490" s="816">
        <f t="shared" si="321"/>
        <v>0</v>
      </c>
      <c r="AX490" s="816">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8"/>
      <c r="C491" s="1179"/>
      <c r="D491" s="2300"/>
      <c r="E491" s="81">
        <f t="shared" si="319"/>
        <v>0</v>
      </c>
      <c r="F491" s="82"/>
      <c r="G491" s="83">
        <f t="shared" si="294"/>
        <v>0</v>
      </c>
      <c r="H491" s="84">
        <f t="shared" si="295"/>
        <v>0</v>
      </c>
      <c r="I491" s="1179"/>
      <c r="J491" s="85"/>
      <c r="K491" s="1179"/>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9"/>
      <c r="AG491" s="86"/>
      <c r="AH491" s="86"/>
      <c r="AI491" s="86"/>
      <c r="AJ491" s="86"/>
      <c r="AK491" s="86"/>
      <c r="AL491" s="86"/>
      <c r="AM491" s="86"/>
      <c r="AN491" s="86"/>
      <c r="AO491" s="86"/>
      <c r="AP491" s="86"/>
      <c r="AQ491" s="86"/>
      <c r="AR491" s="86"/>
      <c r="AS491" s="86"/>
      <c r="AT491" s="82"/>
      <c r="AU491" s="87"/>
      <c r="AV491" s="816">
        <f t="shared" si="320"/>
        <v>0</v>
      </c>
      <c r="AW491" s="816">
        <f t="shared" si="321"/>
        <v>0</v>
      </c>
      <c r="AX491" s="816">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8"/>
      <c r="C492" s="1179"/>
      <c r="D492" s="2300"/>
      <c r="E492" s="81">
        <f t="shared" si="319"/>
        <v>0</v>
      </c>
      <c r="F492" s="82"/>
      <c r="G492" s="83">
        <f t="shared" si="294"/>
        <v>0</v>
      </c>
      <c r="H492" s="84">
        <f t="shared" si="295"/>
        <v>0</v>
      </c>
      <c r="I492" s="1179"/>
      <c r="J492" s="85"/>
      <c r="K492" s="1179"/>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9"/>
      <c r="AG492" s="86"/>
      <c r="AH492" s="86"/>
      <c r="AI492" s="86"/>
      <c r="AJ492" s="86"/>
      <c r="AK492" s="86"/>
      <c r="AL492" s="86"/>
      <c r="AM492" s="86"/>
      <c r="AN492" s="86"/>
      <c r="AO492" s="86"/>
      <c r="AP492" s="86"/>
      <c r="AQ492" s="86"/>
      <c r="AR492" s="86"/>
      <c r="AS492" s="86"/>
      <c r="AT492" s="82"/>
      <c r="AU492" s="87"/>
      <c r="AV492" s="816">
        <f t="shared" si="320"/>
        <v>0</v>
      </c>
      <c r="AW492" s="816">
        <f t="shared" si="321"/>
        <v>0</v>
      </c>
      <c r="AX492" s="816">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8"/>
      <c r="C493" s="1179"/>
      <c r="D493" s="2300"/>
      <c r="E493" s="81">
        <f t="shared" si="319"/>
        <v>0</v>
      </c>
      <c r="F493" s="82"/>
      <c r="G493" s="83">
        <f t="shared" si="294"/>
        <v>0</v>
      </c>
      <c r="H493" s="84">
        <f t="shared" si="295"/>
        <v>0</v>
      </c>
      <c r="I493" s="1179"/>
      <c r="J493" s="85"/>
      <c r="K493" s="1179"/>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9"/>
      <c r="AG493" s="86"/>
      <c r="AH493" s="86"/>
      <c r="AI493" s="86"/>
      <c r="AJ493" s="86"/>
      <c r="AK493" s="86"/>
      <c r="AL493" s="86"/>
      <c r="AM493" s="86"/>
      <c r="AN493" s="86"/>
      <c r="AO493" s="86"/>
      <c r="AP493" s="86"/>
      <c r="AQ493" s="86"/>
      <c r="AR493" s="86"/>
      <c r="AS493" s="86"/>
      <c r="AT493" s="82"/>
      <c r="AU493" s="87"/>
      <c r="AV493" s="816">
        <f t="shared" si="320"/>
        <v>0</v>
      </c>
      <c r="AW493" s="816">
        <f t="shared" si="321"/>
        <v>0</v>
      </c>
      <c r="AX493" s="816">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8"/>
      <c r="C494" s="1179"/>
      <c r="D494" s="2300"/>
      <c r="E494" s="81">
        <f t="shared" si="319"/>
        <v>0</v>
      </c>
      <c r="F494" s="82"/>
      <c r="G494" s="83">
        <f t="shared" si="294"/>
        <v>0</v>
      </c>
      <c r="H494" s="84">
        <f t="shared" si="295"/>
        <v>0</v>
      </c>
      <c r="I494" s="1179"/>
      <c r="J494" s="85"/>
      <c r="K494" s="1179"/>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9"/>
      <c r="AG494" s="86"/>
      <c r="AH494" s="86"/>
      <c r="AI494" s="86"/>
      <c r="AJ494" s="86"/>
      <c r="AK494" s="86"/>
      <c r="AL494" s="86"/>
      <c r="AM494" s="86"/>
      <c r="AN494" s="86"/>
      <c r="AO494" s="86"/>
      <c r="AP494" s="86"/>
      <c r="AQ494" s="86"/>
      <c r="AR494" s="86"/>
      <c r="AS494" s="86"/>
      <c r="AT494" s="82"/>
      <c r="AU494" s="87"/>
      <c r="AV494" s="816">
        <f t="shared" si="320"/>
        <v>0</v>
      </c>
      <c r="AW494" s="816">
        <f t="shared" si="321"/>
        <v>0</v>
      </c>
      <c r="AX494" s="816">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8"/>
      <c r="C495" s="1179"/>
      <c r="D495" s="2300"/>
      <c r="E495" s="81">
        <f t="shared" si="319"/>
        <v>0</v>
      </c>
      <c r="F495" s="82"/>
      <c r="G495" s="83">
        <f t="shared" si="294"/>
        <v>0</v>
      </c>
      <c r="H495" s="84">
        <f t="shared" si="295"/>
        <v>0</v>
      </c>
      <c r="I495" s="1179"/>
      <c r="J495" s="85"/>
      <c r="K495" s="1179"/>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9"/>
      <c r="AG495" s="86"/>
      <c r="AH495" s="86"/>
      <c r="AI495" s="86"/>
      <c r="AJ495" s="86"/>
      <c r="AK495" s="86"/>
      <c r="AL495" s="86"/>
      <c r="AM495" s="86"/>
      <c r="AN495" s="86"/>
      <c r="AO495" s="86"/>
      <c r="AP495" s="86"/>
      <c r="AQ495" s="86"/>
      <c r="AR495" s="86"/>
      <c r="AS495" s="86"/>
      <c r="AT495" s="82"/>
      <c r="AU495" s="87"/>
      <c r="AV495" s="816">
        <f t="shared" si="320"/>
        <v>0</v>
      </c>
      <c r="AW495" s="816">
        <f t="shared" si="321"/>
        <v>0</v>
      </c>
      <c r="AX495" s="816">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8"/>
      <c r="C496" s="1179"/>
      <c r="D496" s="2300"/>
      <c r="E496" s="81">
        <f t="shared" si="319"/>
        <v>0</v>
      </c>
      <c r="F496" s="82"/>
      <c r="G496" s="83">
        <f t="shared" si="294"/>
        <v>0</v>
      </c>
      <c r="H496" s="84">
        <f t="shared" si="295"/>
        <v>0</v>
      </c>
      <c r="I496" s="1179"/>
      <c r="J496" s="85"/>
      <c r="K496" s="1179"/>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9"/>
      <c r="AG496" s="86"/>
      <c r="AH496" s="86"/>
      <c r="AI496" s="86"/>
      <c r="AJ496" s="86"/>
      <c r="AK496" s="86"/>
      <c r="AL496" s="86"/>
      <c r="AM496" s="86"/>
      <c r="AN496" s="86"/>
      <c r="AO496" s="86"/>
      <c r="AP496" s="86"/>
      <c r="AQ496" s="86"/>
      <c r="AR496" s="86"/>
      <c r="AS496" s="86"/>
      <c r="AT496" s="82"/>
      <c r="AU496" s="87"/>
      <c r="AV496" s="816">
        <f t="shared" si="320"/>
        <v>0</v>
      </c>
      <c r="AW496" s="816">
        <f t="shared" si="321"/>
        <v>0</v>
      </c>
      <c r="AX496" s="816">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8"/>
      <c r="C497" s="1179"/>
      <c r="D497" s="2300"/>
      <c r="E497" s="81">
        <f t="shared" si="319"/>
        <v>0</v>
      </c>
      <c r="F497" s="82"/>
      <c r="G497" s="83">
        <f t="shared" si="294"/>
        <v>0</v>
      </c>
      <c r="H497" s="84">
        <f t="shared" si="295"/>
        <v>0</v>
      </c>
      <c r="I497" s="1179"/>
      <c r="J497" s="85"/>
      <c r="K497" s="1179"/>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9"/>
      <c r="AG497" s="86"/>
      <c r="AH497" s="86"/>
      <c r="AI497" s="86"/>
      <c r="AJ497" s="86"/>
      <c r="AK497" s="86"/>
      <c r="AL497" s="86"/>
      <c r="AM497" s="86"/>
      <c r="AN497" s="86"/>
      <c r="AO497" s="86"/>
      <c r="AP497" s="86"/>
      <c r="AQ497" s="86"/>
      <c r="AR497" s="86"/>
      <c r="AS497" s="86"/>
      <c r="AT497" s="82"/>
      <c r="AU497" s="87"/>
      <c r="AV497" s="816">
        <f t="shared" si="320"/>
        <v>0</v>
      </c>
      <c r="AW497" s="816">
        <f t="shared" si="321"/>
        <v>0</v>
      </c>
      <c r="AX497" s="816">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8"/>
      <c r="C498" s="1179"/>
      <c r="D498" s="2300"/>
      <c r="E498" s="81">
        <f t="shared" si="319"/>
        <v>0</v>
      </c>
      <c r="F498" s="82"/>
      <c r="G498" s="83">
        <f t="shared" si="294"/>
        <v>0</v>
      </c>
      <c r="H498" s="84">
        <f t="shared" si="295"/>
        <v>0</v>
      </c>
      <c r="I498" s="1179"/>
      <c r="J498" s="85"/>
      <c r="K498" s="1179"/>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9"/>
      <c r="AG498" s="86"/>
      <c r="AH498" s="86"/>
      <c r="AI498" s="86"/>
      <c r="AJ498" s="86"/>
      <c r="AK498" s="86"/>
      <c r="AL498" s="86"/>
      <c r="AM498" s="86"/>
      <c r="AN498" s="86"/>
      <c r="AO498" s="86"/>
      <c r="AP498" s="86"/>
      <c r="AQ498" s="86"/>
      <c r="AR498" s="86"/>
      <c r="AS498" s="86"/>
      <c r="AT498" s="82"/>
      <c r="AU498" s="87"/>
      <c r="AV498" s="816">
        <f t="shared" si="320"/>
        <v>0</v>
      </c>
      <c r="AW498" s="816">
        <f t="shared" si="321"/>
        <v>0</v>
      </c>
      <c r="AX498" s="816">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8"/>
      <c r="C499" s="1179"/>
      <c r="D499" s="2300"/>
      <c r="E499" s="81">
        <f t="shared" si="319"/>
        <v>0</v>
      </c>
      <c r="F499" s="82"/>
      <c r="G499" s="83">
        <f t="shared" si="294"/>
        <v>0</v>
      </c>
      <c r="H499" s="84">
        <f t="shared" si="295"/>
        <v>0</v>
      </c>
      <c r="I499" s="1179"/>
      <c r="J499" s="85"/>
      <c r="K499" s="1179"/>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9"/>
      <c r="AG499" s="86"/>
      <c r="AH499" s="86"/>
      <c r="AI499" s="86"/>
      <c r="AJ499" s="86"/>
      <c r="AK499" s="86"/>
      <c r="AL499" s="86"/>
      <c r="AM499" s="86"/>
      <c r="AN499" s="86"/>
      <c r="AO499" s="86"/>
      <c r="AP499" s="86"/>
      <c r="AQ499" s="86"/>
      <c r="AR499" s="86"/>
      <c r="AS499" s="86"/>
      <c r="AT499" s="82"/>
      <c r="AU499" s="87"/>
      <c r="AV499" s="816">
        <f t="shared" si="320"/>
        <v>0</v>
      </c>
      <c r="AW499" s="816">
        <f t="shared" si="321"/>
        <v>0</v>
      </c>
      <c r="AX499" s="816">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8"/>
      <c r="C500" s="1179"/>
      <c r="D500" s="2300"/>
      <c r="E500" s="81">
        <f t="shared" si="319"/>
        <v>0</v>
      </c>
      <c r="F500" s="82"/>
      <c r="G500" s="83">
        <f t="shared" si="294"/>
        <v>0</v>
      </c>
      <c r="H500" s="84">
        <f t="shared" si="295"/>
        <v>0</v>
      </c>
      <c r="I500" s="1179"/>
      <c r="J500" s="85"/>
      <c r="K500" s="1179"/>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9"/>
      <c r="AG500" s="86"/>
      <c r="AH500" s="86"/>
      <c r="AI500" s="86"/>
      <c r="AJ500" s="86"/>
      <c r="AK500" s="86"/>
      <c r="AL500" s="86"/>
      <c r="AM500" s="86"/>
      <c r="AN500" s="86"/>
      <c r="AO500" s="86"/>
      <c r="AP500" s="86"/>
      <c r="AQ500" s="86"/>
      <c r="AR500" s="86"/>
      <c r="AS500" s="86"/>
      <c r="AT500" s="82"/>
      <c r="AU500" s="87"/>
      <c r="AV500" s="816">
        <f t="shared" si="320"/>
        <v>0</v>
      </c>
      <c r="AW500" s="816">
        <f t="shared" si="321"/>
        <v>0</v>
      </c>
      <c r="AX500" s="816">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8"/>
      <c r="C501" s="1179"/>
      <c r="D501" s="2300"/>
      <c r="E501" s="81">
        <f t="shared" si="319"/>
        <v>0</v>
      </c>
      <c r="F501" s="82"/>
      <c r="G501" s="83">
        <f t="shared" si="294"/>
        <v>0</v>
      </c>
      <c r="H501" s="84">
        <f t="shared" si="295"/>
        <v>0</v>
      </c>
      <c r="I501" s="1179"/>
      <c r="J501" s="85"/>
      <c r="K501" s="1179"/>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9"/>
      <c r="AG501" s="86"/>
      <c r="AH501" s="86"/>
      <c r="AI501" s="86"/>
      <c r="AJ501" s="86"/>
      <c r="AK501" s="86"/>
      <c r="AL501" s="86"/>
      <c r="AM501" s="86"/>
      <c r="AN501" s="86"/>
      <c r="AO501" s="86"/>
      <c r="AP501" s="86"/>
      <c r="AQ501" s="86"/>
      <c r="AR501" s="86"/>
      <c r="AS501" s="86"/>
      <c r="AT501" s="82"/>
      <c r="AU501" s="87"/>
      <c r="AV501" s="816">
        <f t="shared" si="320"/>
        <v>0</v>
      </c>
      <c r="AW501" s="816">
        <f t="shared" si="321"/>
        <v>0</v>
      </c>
      <c r="AX501" s="816">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8"/>
      <c r="C502" s="1179"/>
      <c r="D502" s="2300"/>
      <c r="E502" s="81">
        <f t="shared" si="319"/>
        <v>0</v>
      </c>
      <c r="F502" s="82"/>
      <c r="G502" s="83">
        <f t="shared" si="294"/>
        <v>0</v>
      </c>
      <c r="H502" s="84">
        <f t="shared" si="295"/>
        <v>0</v>
      </c>
      <c r="I502" s="1179"/>
      <c r="J502" s="85"/>
      <c r="K502" s="1179"/>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9"/>
      <c r="AG502" s="86"/>
      <c r="AH502" s="86"/>
      <c r="AI502" s="86"/>
      <c r="AJ502" s="86"/>
      <c r="AK502" s="86"/>
      <c r="AL502" s="86"/>
      <c r="AM502" s="86"/>
      <c r="AN502" s="86"/>
      <c r="AO502" s="86"/>
      <c r="AP502" s="86"/>
      <c r="AQ502" s="86"/>
      <c r="AR502" s="86"/>
      <c r="AS502" s="86"/>
      <c r="AT502" s="82"/>
      <c r="AU502" s="87"/>
      <c r="AV502" s="816">
        <f t="shared" si="320"/>
        <v>0</v>
      </c>
      <c r="AW502" s="816">
        <f t="shared" si="321"/>
        <v>0</v>
      </c>
      <c r="AX502" s="816">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8"/>
      <c r="C503" s="1179"/>
      <c r="D503" s="2300"/>
      <c r="E503" s="81">
        <f t="shared" si="319"/>
        <v>0</v>
      </c>
      <c r="F503" s="82"/>
      <c r="G503" s="83">
        <f t="shared" si="294"/>
        <v>0</v>
      </c>
      <c r="H503" s="84">
        <f t="shared" si="295"/>
        <v>0</v>
      </c>
      <c r="I503" s="1179"/>
      <c r="J503" s="85"/>
      <c r="K503" s="1179"/>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9"/>
      <c r="AG503" s="86"/>
      <c r="AH503" s="86"/>
      <c r="AI503" s="86"/>
      <c r="AJ503" s="86"/>
      <c r="AK503" s="86"/>
      <c r="AL503" s="86"/>
      <c r="AM503" s="86"/>
      <c r="AN503" s="86"/>
      <c r="AO503" s="86"/>
      <c r="AP503" s="86"/>
      <c r="AQ503" s="86"/>
      <c r="AR503" s="86"/>
      <c r="AS503" s="86"/>
      <c r="AT503" s="82"/>
      <c r="AU503" s="87"/>
      <c r="AV503" s="816">
        <f t="shared" si="320"/>
        <v>0</v>
      </c>
      <c r="AW503" s="816">
        <f t="shared" si="321"/>
        <v>0</v>
      </c>
      <c r="AX503" s="816">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8"/>
      <c r="C504" s="1179"/>
      <c r="D504" s="2300"/>
      <c r="E504" s="81">
        <f t="shared" si="319"/>
        <v>0</v>
      </c>
      <c r="F504" s="82"/>
      <c r="G504" s="83">
        <f t="shared" si="294"/>
        <v>0</v>
      </c>
      <c r="H504" s="84">
        <f t="shared" si="295"/>
        <v>0</v>
      </c>
      <c r="I504" s="1179"/>
      <c r="J504" s="85"/>
      <c r="K504" s="1179"/>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9"/>
      <c r="AG504" s="86"/>
      <c r="AH504" s="86"/>
      <c r="AI504" s="86"/>
      <c r="AJ504" s="86"/>
      <c r="AK504" s="86"/>
      <c r="AL504" s="86"/>
      <c r="AM504" s="86"/>
      <c r="AN504" s="86"/>
      <c r="AO504" s="86"/>
      <c r="AP504" s="86"/>
      <c r="AQ504" s="86"/>
      <c r="AR504" s="86"/>
      <c r="AS504" s="86"/>
      <c r="AT504" s="82"/>
      <c r="AU504" s="87"/>
      <c r="AV504" s="816">
        <f t="shared" si="320"/>
        <v>0</v>
      </c>
      <c r="AW504" s="816">
        <f t="shared" si="321"/>
        <v>0</v>
      </c>
      <c r="AX504" s="816">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8"/>
      <c r="C505" s="1179"/>
      <c r="D505" s="2300"/>
      <c r="E505" s="81">
        <f t="shared" ref="E505:E536" si="323">IF($C$3="是",ROUND($A$3*G505/$B$3,2),ROUND($A$3*(G505-AT505)/$B$3,2))</f>
        <v>0</v>
      </c>
      <c r="F505" s="82"/>
      <c r="G505" s="83">
        <f t="shared" si="294"/>
        <v>0</v>
      </c>
      <c r="H505" s="84">
        <f t="shared" si="295"/>
        <v>0</v>
      </c>
      <c r="I505" s="1179"/>
      <c r="J505" s="85"/>
      <c r="K505" s="1179"/>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9"/>
      <c r="AG505" s="86"/>
      <c r="AH505" s="86"/>
      <c r="AI505" s="86"/>
      <c r="AJ505" s="86"/>
      <c r="AK505" s="86"/>
      <c r="AL505" s="86"/>
      <c r="AM505" s="86"/>
      <c r="AN505" s="86"/>
      <c r="AO505" s="86"/>
      <c r="AP505" s="86"/>
      <c r="AQ505" s="86"/>
      <c r="AR505" s="86"/>
      <c r="AS505" s="86"/>
      <c r="AT505" s="82"/>
      <c r="AU505" s="87"/>
      <c r="AV505" s="816">
        <f t="shared" si="320"/>
        <v>0</v>
      </c>
      <c r="AW505" s="816">
        <f t="shared" si="321"/>
        <v>0</v>
      </c>
      <c r="AX505" s="816">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8"/>
      <c r="C506" s="1179"/>
      <c r="D506" s="2300"/>
      <c r="E506" s="81">
        <f t="shared" si="323"/>
        <v>0</v>
      </c>
      <c r="F506" s="82"/>
      <c r="G506" s="83">
        <f t="shared" si="294"/>
        <v>0</v>
      </c>
      <c r="H506" s="84">
        <f t="shared" si="295"/>
        <v>0</v>
      </c>
      <c r="I506" s="1179"/>
      <c r="J506" s="85"/>
      <c r="K506" s="1179"/>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9"/>
      <c r="AG506" s="86"/>
      <c r="AH506" s="86"/>
      <c r="AI506" s="86"/>
      <c r="AJ506" s="86"/>
      <c r="AK506" s="86"/>
      <c r="AL506" s="86"/>
      <c r="AM506" s="86"/>
      <c r="AN506" s="86"/>
      <c r="AO506" s="86"/>
      <c r="AP506" s="86"/>
      <c r="AQ506" s="86"/>
      <c r="AR506" s="86"/>
      <c r="AS506" s="86"/>
      <c r="AT506" s="82"/>
      <c r="AU506" s="87"/>
      <c r="AV506" s="816">
        <f t="shared" ref="AV506:AV537" si="324">A506</f>
        <v>0</v>
      </c>
      <c r="AW506" s="816">
        <f t="shared" ref="AW506:AW537" si="325">B506</f>
        <v>0</v>
      </c>
      <c r="AX506" s="816">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8"/>
      <c r="C507" s="1179"/>
      <c r="D507" s="2300"/>
      <c r="E507" s="81">
        <f t="shared" si="323"/>
        <v>0</v>
      </c>
      <c r="F507" s="82"/>
      <c r="G507" s="83">
        <f t="shared" si="294"/>
        <v>0</v>
      </c>
      <c r="H507" s="84">
        <f t="shared" si="295"/>
        <v>0</v>
      </c>
      <c r="I507" s="1179"/>
      <c r="J507" s="85"/>
      <c r="K507" s="1179"/>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9"/>
      <c r="AG507" s="86"/>
      <c r="AH507" s="86"/>
      <c r="AI507" s="86"/>
      <c r="AJ507" s="86"/>
      <c r="AK507" s="86"/>
      <c r="AL507" s="86"/>
      <c r="AM507" s="86"/>
      <c r="AN507" s="86"/>
      <c r="AO507" s="86"/>
      <c r="AP507" s="86"/>
      <c r="AQ507" s="86"/>
      <c r="AR507" s="86"/>
      <c r="AS507" s="86"/>
      <c r="AT507" s="82"/>
      <c r="AU507" s="87"/>
      <c r="AV507" s="816">
        <f t="shared" si="324"/>
        <v>0</v>
      </c>
      <c r="AW507" s="816">
        <f t="shared" si="325"/>
        <v>0</v>
      </c>
      <c r="AX507" s="816">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8"/>
      <c r="C508" s="1179"/>
      <c r="D508" s="2300"/>
      <c r="E508" s="81">
        <f t="shared" si="323"/>
        <v>0</v>
      </c>
      <c r="F508" s="82"/>
      <c r="G508" s="83">
        <f t="shared" si="294"/>
        <v>0</v>
      </c>
      <c r="H508" s="84">
        <f t="shared" si="295"/>
        <v>0</v>
      </c>
      <c r="I508" s="1179"/>
      <c r="J508" s="85"/>
      <c r="K508" s="1179"/>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9"/>
      <c r="AG508" s="86"/>
      <c r="AH508" s="86"/>
      <c r="AI508" s="86"/>
      <c r="AJ508" s="86"/>
      <c r="AK508" s="86"/>
      <c r="AL508" s="86"/>
      <c r="AM508" s="86"/>
      <c r="AN508" s="86"/>
      <c r="AO508" s="86"/>
      <c r="AP508" s="86"/>
      <c r="AQ508" s="86"/>
      <c r="AR508" s="86"/>
      <c r="AS508" s="86"/>
      <c r="AT508" s="82"/>
      <c r="AU508" s="87"/>
      <c r="AV508" s="816">
        <f t="shared" si="324"/>
        <v>0</v>
      </c>
      <c r="AW508" s="816">
        <f t="shared" si="325"/>
        <v>0</v>
      </c>
      <c r="AX508" s="816">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8"/>
      <c r="C509" s="1179"/>
      <c r="D509" s="2300"/>
      <c r="E509" s="81">
        <f t="shared" si="323"/>
        <v>0</v>
      </c>
      <c r="F509" s="82"/>
      <c r="G509" s="83">
        <f t="shared" si="294"/>
        <v>0</v>
      </c>
      <c r="H509" s="84">
        <f t="shared" si="295"/>
        <v>0</v>
      </c>
      <c r="I509" s="1179"/>
      <c r="J509" s="85"/>
      <c r="K509" s="1179"/>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9"/>
      <c r="AG509" s="86"/>
      <c r="AH509" s="86"/>
      <c r="AI509" s="86"/>
      <c r="AJ509" s="86"/>
      <c r="AK509" s="86"/>
      <c r="AL509" s="86"/>
      <c r="AM509" s="86"/>
      <c r="AN509" s="86"/>
      <c r="AO509" s="86"/>
      <c r="AP509" s="86"/>
      <c r="AQ509" s="86"/>
      <c r="AR509" s="86"/>
      <c r="AS509" s="86"/>
      <c r="AT509" s="82"/>
      <c r="AU509" s="87"/>
      <c r="AV509" s="816">
        <f t="shared" si="324"/>
        <v>0</v>
      </c>
      <c r="AW509" s="816">
        <f t="shared" si="325"/>
        <v>0</v>
      </c>
      <c r="AX509" s="816">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8"/>
      <c r="C510" s="1179"/>
      <c r="D510" s="2300"/>
      <c r="E510" s="81">
        <f t="shared" si="323"/>
        <v>0</v>
      </c>
      <c r="F510" s="82"/>
      <c r="G510" s="83">
        <f t="shared" ref="G510:G537" si="327">H510+AC510+AT510</f>
        <v>0</v>
      </c>
      <c r="H510" s="84">
        <f t="shared" ref="H510:H537" si="328">SUMIF(I$12:AB$12,"总值",I510:AB510)</f>
        <v>0</v>
      </c>
      <c r="I510" s="1179"/>
      <c r="J510" s="85"/>
      <c r="K510" s="1179"/>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9"/>
      <c r="AG510" s="86"/>
      <c r="AH510" s="86"/>
      <c r="AI510" s="86"/>
      <c r="AJ510" s="86"/>
      <c r="AK510" s="86"/>
      <c r="AL510" s="86"/>
      <c r="AM510" s="86"/>
      <c r="AN510" s="86"/>
      <c r="AO510" s="86"/>
      <c r="AP510" s="86"/>
      <c r="AQ510" s="86"/>
      <c r="AR510" s="86"/>
      <c r="AS510" s="86"/>
      <c r="AT510" s="82"/>
      <c r="AU510" s="87"/>
      <c r="AV510" s="816">
        <f t="shared" si="324"/>
        <v>0</v>
      </c>
      <c r="AW510" s="816">
        <f t="shared" si="325"/>
        <v>0</v>
      </c>
      <c r="AX510" s="816">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8"/>
      <c r="C511" s="1179"/>
      <c r="D511" s="2300"/>
      <c r="E511" s="81">
        <f t="shared" si="323"/>
        <v>0</v>
      </c>
      <c r="F511" s="82"/>
      <c r="G511" s="83">
        <f t="shared" si="327"/>
        <v>0</v>
      </c>
      <c r="H511" s="84">
        <f t="shared" si="328"/>
        <v>0</v>
      </c>
      <c r="I511" s="1179"/>
      <c r="J511" s="85"/>
      <c r="K511" s="1179"/>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9"/>
      <c r="AG511" s="86"/>
      <c r="AH511" s="86"/>
      <c r="AI511" s="86"/>
      <c r="AJ511" s="86"/>
      <c r="AK511" s="86"/>
      <c r="AL511" s="86"/>
      <c r="AM511" s="86"/>
      <c r="AN511" s="86"/>
      <c r="AO511" s="86"/>
      <c r="AP511" s="86"/>
      <c r="AQ511" s="86"/>
      <c r="AR511" s="86"/>
      <c r="AS511" s="86"/>
      <c r="AT511" s="82"/>
      <c r="AU511" s="87"/>
      <c r="AV511" s="816">
        <f t="shared" si="324"/>
        <v>0</v>
      </c>
      <c r="AW511" s="816">
        <f t="shared" si="325"/>
        <v>0</v>
      </c>
      <c r="AX511" s="816">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8"/>
      <c r="C512" s="1179"/>
      <c r="D512" s="2300"/>
      <c r="E512" s="81">
        <f t="shared" si="323"/>
        <v>0</v>
      </c>
      <c r="F512" s="82"/>
      <c r="G512" s="83">
        <f t="shared" si="327"/>
        <v>0</v>
      </c>
      <c r="H512" s="84">
        <f t="shared" si="328"/>
        <v>0</v>
      </c>
      <c r="I512" s="1179"/>
      <c r="J512" s="85"/>
      <c r="K512" s="1179"/>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9"/>
      <c r="AG512" s="86"/>
      <c r="AH512" s="86"/>
      <c r="AI512" s="86"/>
      <c r="AJ512" s="86"/>
      <c r="AK512" s="86"/>
      <c r="AL512" s="86"/>
      <c r="AM512" s="86"/>
      <c r="AN512" s="86"/>
      <c r="AO512" s="86"/>
      <c r="AP512" s="86"/>
      <c r="AQ512" s="86"/>
      <c r="AR512" s="86"/>
      <c r="AS512" s="86"/>
      <c r="AT512" s="82"/>
      <c r="AU512" s="87"/>
      <c r="AV512" s="816">
        <f t="shared" si="324"/>
        <v>0</v>
      </c>
      <c r="AW512" s="816">
        <f t="shared" si="325"/>
        <v>0</v>
      </c>
      <c r="AX512" s="816">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8"/>
      <c r="C513" s="1179"/>
      <c r="D513" s="2300"/>
      <c r="E513" s="81">
        <f t="shared" si="323"/>
        <v>0</v>
      </c>
      <c r="F513" s="82"/>
      <c r="G513" s="83">
        <f t="shared" si="327"/>
        <v>0</v>
      </c>
      <c r="H513" s="84">
        <f t="shared" si="328"/>
        <v>0</v>
      </c>
      <c r="I513" s="1179"/>
      <c r="J513" s="85"/>
      <c r="K513" s="1179"/>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9"/>
      <c r="AG513" s="86"/>
      <c r="AH513" s="86"/>
      <c r="AI513" s="86"/>
      <c r="AJ513" s="86"/>
      <c r="AK513" s="86"/>
      <c r="AL513" s="86"/>
      <c r="AM513" s="86"/>
      <c r="AN513" s="86"/>
      <c r="AO513" s="86"/>
      <c r="AP513" s="86"/>
      <c r="AQ513" s="86"/>
      <c r="AR513" s="86"/>
      <c r="AS513" s="86"/>
      <c r="AT513" s="82"/>
      <c r="AU513" s="87"/>
      <c r="AV513" s="816">
        <f t="shared" si="324"/>
        <v>0</v>
      </c>
      <c r="AW513" s="816">
        <f t="shared" si="325"/>
        <v>0</v>
      </c>
      <c r="AX513" s="816">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8"/>
      <c r="C514" s="1179"/>
      <c r="D514" s="2300"/>
      <c r="E514" s="81">
        <f t="shared" si="323"/>
        <v>0</v>
      </c>
      <c r="F514" s="82"/>
      <c r="G514" s="83">
        <f t="shared" si="327"/>
        <v>0</v>
      </c>
      <c r="H514" s="84">
        <f t="shared" si="328"/>
        <v>0</v>
      </c>
      <c r="I514" s="1179"/>
      <c r="J514" s="85"/>
      <c r="K514" s="1179"/>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9"/>
      <c r="AG514" s="86"/>
      <c r="AH514" s="86"/>
      <c r="AI514" s="86"/>
      <c r="AJ514" s="86"/>
      <c r="AK514" s="86"/>
      <c r="AL514" s="86"/>
      <c r="AM514" s="86"/>
      <c r="AN514" s="86"/>
      <c r="AO514" s="86"/>
      <c r="AP514" s="86"/>
      <c r="AQ514" s="86"/>
      <c r="AR514" s="86"/>
      <c r="AS514" s="86"/>
      <c r="AT514" s="82"/>
      <c r="AU514" s="87"/>
      <c r="AV514" s="816">
        <f t="shared" si="324"/>
        <v>0</v>
      </c>
      <c r="AW514" s="816">
        <f t="shared" si="325"/>
        <v>0</v>
      </c>
      <c r="AX514" s="816">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8"/>
      <c r="C515" s="1179"/>
      <c r="D515" s="2300"/>
      <c r="E515" s="81">
        <f t="shared" si="323"/>
        <v>0</v>
      </c>
      <c r="F515" s="82"/>
      <c r="G515" s="83">
        <f t="shared" si="327"/>
        <v>0</v>
      </c>
      <c r="H515" s="84">
        <f t="shared" si="328"/>
        <v>0</v>
      </c>
      <c r="I515" s="1179"/>
      <c r="J515" s="85"/>
      <c r="K515" s="1179"/>
      <c r="L515" s="85"/>
      <c r="M515" s="1179"/>
      <c r="N515" s="85"/>
      <c r="O515" s="85"/>
      <c r="P515" s="85"/>
      <c r="Q515" s="85"/>
      <c r="R515" s="85"/>
      <c r="S515" s="85"/>
      <c r="T515" s="85"/>
      <c r="U515" s="85"/>
      <c r="V515" s="85"/>
      <c r="W515" s="85"/>
      <c r="X515" s="85"/>
      <c r="Y515" s="85"/>
      <c r="Z515" s="85"/>
      <c r="AA515" s="85"/>
      <c r="AB515" s="85"/>
      <c r="AC515" s="81">
        <f t="shared" si="329"/>
        <v>0</v>
      </c>
      <c r="AD515" s="86"/>
      <c r="AE515" s="86"/>
      <c r="AF515" s="1179"/>
      <c r="AG515" s="86"/>
      <c r="AH515" s="86"/>
      <c r="AI515" s="86"/>
      <c r="AJ515" s="86"/>
      <c r="AK515" s="86"/>
      <c r="AL515" s="86"/>
      <c r="AM515" s="86"/>
      <c r="AN515" s="86"/>
      <c r="AO515" s="86"/>
      <c r="AP515" s="86"/>
      <c r="AQ515" s="86"/>
      <c r="AR515" s="86"/>
      <c r="AS515" s="86"/>
      <c r="AT515" s="82"/>
      <c r="AU515" s="87"/>
      <c r="AV515" s="816">
        <f t="shared" si="324"/>
        <v>0</v>
      </c>
      <c r="AW515" s="816">
        <f t="shared" si="325"/>
        <v>0</v>
      </c>
      <c r="AX515" s="816">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6">
        <f t="shared" si="324"/>
        <v>0</v>
      </c>
      <c r="AW516" s="816">
        <f t="shared" si="325"/>
        <v>0</v>
      </c>
      <c r="AX516" s="816">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6">
        <f t="shared" si="324"/>
        <v>0</v>
      </c>
      <c r="AW517" s="816">
        <f t="shared" si="325"/>
        <v>0</v>
      </c>
      <c r="AX517" s="816">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6">
        <f t="shared" si="324"/>
        <v>0</v>
      </c>
      <c r="AW518" s="816">
        <f t="shared" si="325"/>
        <v>0</v>
      </c>
      <c r="AX518" s="816">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6">
        <f t="shared" si="324"/>
        <v>0</v>
      </c>
      <c r="AW519" s="816">
        <f t="shared" si="325"/>
        <v>0</v>
      </c>
      <c r="AX519" s="816">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6">
        <f t="shared" si="324"/>
        <v>0</v>
      </c>
      <c r="AW520" s="816">
        <f t="shared" si="325"/>
        <v>0</v>
      </c>
      <c r="AX520" s="816">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6">
        <f t="shared" si="324"/>
        <v>0</v>
      </c>
      <c r="AW521" s="816">
        <f t="shared" si="325"/>
        <v>0</v>
      </c>
      <c r="AX521" s="816">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6">
        <f t="shared" si="324"/>
        <v>0</v>
      </c>
      <c r="AW522" s="816">
        <f t="shared" si="325"/>
        <v>0</v>
      </c>
      <c r="AX522" s="816">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6">
        <f t="shared" si="324"/>
        <v>0</v>
      </c>
      <c r="AW523" s="816">
        <f t="shared" si="325"/>
        <v>0</v>
      </c>
      <c r="AX523" s="816">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6">
        <f t="shared" si="324"/>
        <v>0</v>
      </c>
      <c r="AW524" s="816">
        <f t="shared" si="325"/>
        <v>0</v>
      </c>
      <c r="AX524" s="816">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6">
        <f t="shared" si="324"/>
        <v>0</v>
      </c>
      <c r="AW525" s="816">
        <f t="shared" si="325"/>
        <v>0</v>
      </c>
      <c r="AX525" s="816">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6">
        <f t="shared" si="324"/>
        <v>0</v>
      </c>
      <c r="AW526" s="816">
        <f t="shared" si="325"/>
        <v>0</v>
      </c>
      <c r="AX526" s="816">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6">
        <f t="shared" si="324"/>
        <v>0</v>
      </c>
      <c r="AW527" s="816">
        <f t="shared" si="325"/>
        <v>0</v>
      </c>
      <c r="AX527" s="816">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6">
        <f t="shared" si="324"/>
        <v>0</v>
      </c>
      <c r="AW528" s="816">
        <f t="shared" si="325"/>
        <v>0</v>
      </c>
      <c r="AX528" s="816">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6">
        <f t="shared" si="324"/>
        <v>0</v>
      </c>
      <c r="AW529" s="816">
        <f t="shared" si="325"/>
        <v>0</v>
      </c>
      <c r="AX529" s="816">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6">
        <f t="shared" si="324"/>
        <v>0</v>
      </c>
      <c r="AW530" s="816">
        <f t="shared" si="325"/>
        <v>0</v>
      </c>
      <c r="AX530" s="816">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6">
        <f t="shared" si="324"/>
        <v>0</v>
      </c>
      <c r="AW531" s="816">
        <f t="shared" si="325"/>
        <v>0</v>
      </c>
      <c r="AX531" s="816">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6">
        <f t="shared" si="324"/>
        <v>0</v>
      </c>
      <c r="AW532" s="816">
        <f t="shared" si="325"/>
        <v>0</v>
      </c>
      <c r="AX532" s="816">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6">
        <f t="shared" si="324"/>
        <v>0</v>
      </c>
      <c r="AW533" s="816">
        <f t="shared" si="325"/>
        <v>0</v>
      </c>
      <c r="AX533" s="816">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6">
        <f t="shared" si="324"/>
        <v>0</v>
      </c>
      <c r="AW534" s="816">
        <f t="shared" si="325"/>
        <v>0</v>
      </c>
      <c r="AX534" s="816">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6">
        <f t="shared" si="324"/>
        <v>0</v>
      </c>
      <c r="AW535" s="816">
        <f t="shared" si="325"/>
        <v>0</v>
      </c>
      <c r="AX535" s="816">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6">
        <f t="shared" si="324"/>
        <v>0</v>
      </c>
      <c r="AW536" s="816">
        <f t="shared" si="325"/>
        <v>0</v>
      </c>
      <c r="AX536" s="816">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6">
        <f t="shared" si="324"/>
        <v>0</v>
      </c>
      <c r="AW537" s="816">
        <f t="shared" si="325"/>
        <v>0</v>
      </c>
      <c r="AX537" s="816">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6">
        <f t="shared" ref="AV538:AV572" si="356">A538</f>
        <v>0</v>
      </c>
      <c r="AW538" s="816">
        <f t="shared" ref="AW538:AW572" si="357">B538</f>
        <v>0</v>
      </c>
      <c r="AX538" s="816">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6">
        <f t="shared" si="356"/>
        <v>0</v>
      </c>
      <c r="AW539" s="816">
        <f t="shared" si="357"/>
        <v>0</v>
      </c>
      <c r="AX539" s="816">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6">
        <f t="shared" si="356"/>
        <v>0</v>
      </c>
      <c r="AW540" s="816">
        <f t="shared" si="357"/>
        <v>0</v>
      </c>
      <c r="AX540" s="816">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6">
        <f t="shared" si="356"/>
        <v>0</v>
      </c>
      <c r="AW541" s="816">
        <f t="shared" si="357"/>
        <v>0</v>
      </c>
      <c r="AX541" s="816">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6">
        <f t="shared" si="356"/>
        <v>0</v>
      </c>
      <c r="AW542" s="816">
        <f t="shared" si="357"/>
        <v>0</v>
      </c>
      <c r="AX542" s="816">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6">
        <f t="shared" si="356"/>
        <v>0</v>
      </c>
      <c r="AW543" s="816">
        <f t="shared" si="357"/>
        <v>0</v>
      </c>
      <c r="AX543" s="816">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6">
        <f t="shared" si="356"/>
        <v>0</v>
      </c>
      <c r="AW544" s="816">
        <f t="shared" si="357"/>
        <v>0</v>
      </c>
      <c r="AX544" s="816">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6">
        <f t="shared" si="356"/>
        <v>0</v>
      </c>
      <c r="AW545" s="816">
        <f t="shared" si="357"/>
        <v>0</v>
      </c>
      <c r="AX545" s="816">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6">
        <f t="shared" si="356"/>
        <v>0</v>
      </c>
      <c r="AW546" s="816">
        <f t="shared" si="357"/>
        <v>0</v>
      </c>
      <c r="AX546" s="816">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6">
        <f t="shared" si="356"/>
        <v>0</v>
      </c>
      <c r="AW547" s="816">
        <f t="shared" si="357"/>
        <v>0</v>
      </c>
      <c r="AX547" s="816">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6">
        <f t="shared" si="356"/>
        <v>0</v>
      </c>
      <c r="AW548" s="816">
        <f t="shared" si="357"/>
        <v>0</v>
      </c>
      <c r="AX548" s="816">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6">
        <f t="shared" si="356"/>
        <v>0</v>
      </c>
      <c r="AW549" s="816">
        <f t="shared" si="357"/>
        <v>0</v>
      </c>
      <c r="AX549" s="816">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6">
        <f t="shared" si="356"/>
        <v>0</v>
      </c>
      <c r="AW550" s="816">
        <f t="shared" si="357"/>
        <v>0</v>
      </c>
      <c r="AX550" s="816">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6">
        <f t="shared" si="356"/>
        <v>0</v>
      </c>
      <c r="AW551" s="816">
        <f t="shared" si="357"/>
        <v>0</v>
      </c>
      <c r="AX551" s="816">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6">
        <f t="shared" si="356"/>
        <v>0</v>
      </c>
      <c r="AW552" s="816">
        <f t="shared" si="357"/>
        <v>0</v>
      </c>
      <c r="AX552" s="816">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6">
        <f t="shared" si="356"/>
        <v>0</v>
      </c>
      <c r="AW553" s="816">
        <f t="shared" si="357"/>
        <v>0</v>
      </c>
      <c r="AX553" s="816">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6">
        <f t="shared" si="356"/>
        <v>0</v>
      </c>
      <c r="AW554" s="816">
        <f t="shared" si="357"/>
        <v>0</v>
      </c>
      <c r="AX554" s="816">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6">
        <f t="shared" si="356"/>
        <v>0</v>
      </c>
      <c r="AW555" s="816">
        <f t="shared" si="357"/>
        <v>0</v>
      </c>
      <c r="AX555" s="816">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6">
        <f t="shared" si="356"/>
        <v>0</v>
      </c>
      <c r="AW556" s="816">
        <f t="shared" si="357"/>
        <v>0</v>
      </c>
      <c r="AX556" s="816">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6">
        <f t="shared" si="356"/>
        <v>0</v>
      </c>
      <c r="AW557" s="816">
        <f t="shared" si="357"/>
        <v>0</v>
      </c>
      <c r="AX557" s="816">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6">
        <f t="shared" si="356"/>
        <v>0</v>
      </c>
      <c r="AW558" s="816">
        <f t="shared" si="357"/>
        <v>0</v>
      </c>
      <c r="AX558" s="816">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6">
        <f t="shared" si="356"/>
        <v>0</v>
      </c>
      <c r="AW559" s="816">
        <f t="shared" si="357"/>
        <v>0</v>
      </c>
      <c r="AX559" s="816">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6">
        <f t="shared" si="356"/>
        <v>0</v>
      </c>
      <c r="AW560" s="816">
        <f t="shared" si="357"/>
        <v>0</v>
      </c>
      <c r="AX560" s="816">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6">
        <f t="shared" si="356"/>
        <v>0</v>
      </c>
      <c r="AW561" s="816">
        <f t="shared" si="357"/>
        <v>0</v>
      </c>
      <c r="AX561" s="816">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6">
        <f t="shared" si="356"/>
        <v>0</v>
      </c>
      <c r="AW562" s="816">
        <f t="shared" si="357"/>
        <v>0</v>
      </c>
      <c r="AX562" s="816">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6">
        <f t="shared" si="356"/>
        <v>0</v>
      </c>
      <c r="AW563" s="816">
        <f t="shared" si="357"/>
        <v>0</v>
      </c>
      <c r="AX563" s="816">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6">
        <f t="shared" si="356"/>
        <v>0</v>
      </c>
      <c r="AW564" s="816">
        <f t="shared" si="357"/>
        <v>0</v>
      </c>
      <c r="AX564" s="816">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6">
        <f t="shared" si="356"/>
        <v>0</v>
      </c>
      <c r="AW565" s="816">
        <f t="shared" si="357"/>
        <v>0</v>
      </c>
      <c r="AX565" s="816">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6">
        <f t="shared" si="356"/>
        <v>0</v>
      </c>
      <c r="AW566" s="816">
        <f t="shared" si="357"/>
        <v>0</v>
      </c>
      <c r="AX566" s="816">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6">
        <f t="shared" si="356"/>
        <v>0</v>
      </c>
      <c r="AW567" s="816">
        <f t="shared" si="357"/>
        <v>0</v>
      </c>
      <c r="AX567" s="816">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6">
        <f t="shared" si="356"/>
        <v>0</v>
      </c>
      <c r="AW568" s="816">
        <f t="shared" si="357"/>
        <v>0</v>
      </c>
      <c r="AX568" s="816">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6">
        <f t="shared" si="356"/>
        <v>0</v>
      </c>
      <c r="AW569" s="816">
        <f t="shared" si="357"/>
        <v>0</v>
      </c>
      <c r="AX569" s="816">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6">
        <f t="shared" si="356"/>
        <v>0</v>
      </c>
      <c r="AW570" s="816">
        <f t="shared" si="357"/>
        <v>0</v>
      </c>
      <c r="AX570" s="816">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6">
        <f t="shared" si="356"/>
        <v>0</v>
      </c>
      <c r="AW571" s="816">
        <f t="shared" si="357"/>
        <v>0</v>
      </c>
      <c r="AX571" s="816">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6">
        <f t="shared" si="356"/>
        <v>0</v>
      </c>
      <c r="AW572" s="816">
        <f t="shared" si="357"/>
        <v>0</v>
      </c>
      <c r="AX572" s="816">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D3" sqref="D3"/>
    </sheetView>
  </sheetViews>
  <sheetFormatPr defaultColWidth="9.125" defaultRowHeight="14.25"/>
  <cols>
    <col min="1" max="1" width="8.125" style="1633" customWidth="1"/>
    <col min="2" max="2" width="10.125" style="1633" customWidth="1"/>
    <col min="3" max="3" width="18.5" style="1633" customWidth="1"/>
    <col min="4" max="4" width="11.125" style="1633" customWidth="1"/>
    <col min="5" max="5" width="13.375" style="1633" customWidth="1"/>
    <col min="6" max="8" width="11.5" style="1633" customWidth="1"/>
    <col min="9" max="9" width="10.375" style="1633" customWidth="1"/>
    <col min="10" max="10" width="3.125" style="1633" customWidth="1"/>
    <col min="11" max="16" width="11.625" style="1633" customWidth="1"/>
    <col min="17" max="17" width="3.375" style="1633" customWidth="1"/>
    <col min="18" max="16384" width="9.125" style="1633"/>
  </cols>
  <sheetData>
    <row r="1" spans="1:16" ht="18.75">
      <c r="A1" s="95" t="s">
        <v>168</v>
      </c>
      <c r="B1" s="1632"/>
      <c r="C1" s="1632"/>
      <c r="D1" s="1632"/>
      <c r="E1" s="1632"/>
      <c r="F1" s="1632"/>
      <c r="G1" s="1632"/>
      <c r="H1" s="1632"/>
      <c r="I1" s="1632"/>
      <c r="J1" s="1632"/>
      <c r="K1" s="1632"/>
      <c r="L1" s="1632"/>
      <c r="M1" s="1632"/>
      <c r="N1" s="1632"/>
      <c r="O1" s="1632"/>
      <c r="P1" s="1632"/>
    </row>
    <row r="2" spans="1:16" ht="15">
      <c r="A2" s="3615" t="s">
        <v>169</v>
      </c>
      <c r="B2" s="3615"/>
      <c r="C2" s="3615"/>
      <c r="D2" s="1630" t="s">
        <v>170</v>
      </c>
      <c r="E2" s="97" t="s">
        <v>171</v>
      </c>
      <c r="F2" s="2609"/>
      <c r="G2" s="1040"/>
      <c r="H2" s="1041"/>
      <c r="I2" s="1042" t="s">
        <v>795</v>
      </c>
      <c r="J2" s="2609"/>
      <c r="K2" s="2609"/>
      <c r="L2" s="2609"/>
      <c r="M2" s="2609"/>
      <c r="N2" s="2609"/>
      <c r="O2" s="2609"/>
      <c r="P2" s="2609"/>
    </row>
    <row r="3" spans="1:16" ht="15.75" thickBot="1">
      <c r="A3" s="3616" t="s">
        <v>172</v>
      </c>
      <c r="B3" s="3616"/>
      <c r="C3" s="3616"/>
      <c r="D3" s="98">
        <f>'数据-基础表'!AY6</f>
        <v>17556.580000000002</v>
      </c>
      <c r="E3" s="98">
        <f>'数据-基础表'!AZ5</f>
        <v>5006.88</v>
      </c>
      <c r="F3" s="2609"/>
      <c r="G3" s="106" t="s">
        <v>796</v>
      </c>
      <c r="H3" s="102" t="s">
        <v>797</v>
      </c>
      <c r="I3" s="995">
        <f>ROUND('数据-基础表'!B3/'数据-基础表'!A3,2)</f>
        <v>0.28999999999999998</v>
      </c>
      <c r="J3" s="2609"/>
      <c r="K3" s="2609"/>
      <c r="L3" s="2609"/>
      <c r="M3" s="2609"/>
      <c r="N3" s="2609"/>
      <c r="O3" s="2609"/>
      <c r="P3" s="2609"/>
    </row>
    <row r="4" spans="1:16" ht="15">
      <c r="A4" s="3617"/>
      <c r="B4" s="3618"/>
      <c r="C4" s="3619"/>
      <c r="D4" s="99" t="s">
        <v>170</v>
      </c>
      <c r="E4" s="100" t="s">
        <v>171</v>
      </c>
      <c r="F4" s="2609"/>
      <c r="G4" s="119"/>
      <c r="H4" s="102" t="s">
        <v>798</v>
      </c>
      <c r="I4" s="995">
        <f>ROUND(SUMIF('数据-基础表'!I9:AS9,"地上",'数据-基础表'!I5:AS5)/'数据-基础表'!A3,2)</f>
        <v>0.28999999999999998</v>
      </c>
      <c r="J4" s="2609"/>
      <c r="K4" s="2609"/>
      <c r="L4" s="2609"/>
      <c r="M4" s="2609"/>
      <c r="N4" s="2609"/>
      <c r="O4" s="2609"/>
      <c r="P4" s="2609"/>
    </row>
    <row r="5" spans="1:16">
      <c r="A5" s="101" t="s">
        <v>173</v>
      </c>
      <c r="B5" s="3620" t="s">
        <v>196</v>
      </c>
      <c r="C5" s="3620"/>
      <c r="D5" s="102">
        <f>ROUND($D$3*E5/$E$3,2)</f>
        <v>0</v>
      </c>
      <c r="E5" s="103">
        <f>SUMIF('数据-基础表'!$11:$11,"住宅",'数据-基础表'!$5:$5)</f>
        <v>0</v>
      </c>
      <c r="F5" s="2609"/>
      <c r="G5" s="106" t="s">
        <v>799</v>
      </c>
      <c r="H5" s="102" t="s">
        <v>797</v>
      </c>
      <c r="I5" s="995">
        <f>ROUND(E31/D31,2)</f>
        <v>0.28999999999999998</v>
      </c>
      <c r="J5" s="2609"/>
      <c r="K5" s="2609"/>
      <c r="L5" s="2609"/>
      <c r="M5" s="2609"/>
      <c r="N5" s="2609"/>
      <c r="O5" s="2609"/>
      <c r="P5" s="2609"/>
    </row>
    <row r="6" spans="1:16" ht="15" thickBot="1">
      <c r="A6" s="104"/>
      <c r="B6" s="3620" t="s">
        <v>174</v>
      </c>
      <c r="C6" s="3620"/>
      <c r="D6" s="102">
        <f>ROUND($D$3*E6/$E$3,2)</f>
        <v>17556.580000000002</v>
      </c>
      <c r="E6" s="103">
        <f>E3-E5</f>
        <v>5006.88</v>
      </c>
      <c r="F6" s="2609"/>
      <c r="G6" s="119"/>
      <c r="H6" s="102" t="s">
        <v>798</v>
      </c>
      <c r="I6" s="995">
        <f>ROUND(F31/D31,2)</f>
        <v>0.28999999999999998</v>
      </c>
      <c r="J6" s="2609"/>
      <c r="K6" s="2609"/>
      <c r="L6" s="2609"/>
      <c r="M6" s="2609"/>
      <c r="N6" s="2609"/>
      <c r="O6" s="2609"/>
      <c r="P6" s="2609"/>
    </row>
    <row r="7" spans="1:16" ht="15">
      <c r="A7" s="3612"/>
      <c r="B7" s="3613"/>
      <c r="C7" s="3614"/>
      <c r="D7" s="99" t="s">
        <v>170</v>
      </c>
      <c r="E7" s="105" t="s">
        <v>197</v>
      </c>
      <c r="F7" s="2609"/>
      <c r="G7" s="1000" t="s">
        <v>1180</v>
      </c>
      <c r="H7" s="1001"/>
      <c r="I7" s="127">
        <v>1</v>
      </c>
      <c r="J7" s="2609"/>
      <c r="K7" s="2609"/>
      <c r="L7" s="2609"/>
      <c r="M7" s="2609"/>
      <c r="N7" s="2609"/>
      <c r="O7" s="2609"/>
      <c r="P7" s="2609"/>
    </row>
    <row r="8" spans="1:16">
      <c r="A8" s="101" t="s">
        <v>175</v>
      </c>
      <c r="B8" s="106" t="s">
        <v>176</v>
      </c>
      <c r="C8" s="102" t="s">
        <v>177</v>
      </c>
      <c r="D8" s="102">
        <f t="shared" ref="D8:D15" si="0">ROUND($D$3*E8/$E$3,2)</f>
        <v>17556.580000000002</v>
      </c>
      <c r="E8" s="107">
        <f>SUMIF('数据-基础表'!BB10:BK10,"地上",'数据-基础表'!BB5:BK5)</f>
        <v>5006.88</v>
      </c>
      <c r="F8" s="2609"/>
      <c r="G8" s="2609"/>
      <c r="H8" s="2609"/>
      <c r="I8" s="2609"/>
      <c r="J8" s="2609"/>
      <c r="K8" s="2609"/>
      <c r="L8" s="2609"/>
      <c r="M8" s="2609"/>
      <c r="N8" s="2609"/>
      <c r="O8" s="2609"/>
      <c r="P8" s="2609"/>
    </row>
    <row r="9" spans="1:16">
      <c r="A9" s="108"/>
      <c r="B9" s="109"/>
      <c r="C9" s="102" t="s">
        <v>178</v>
      </c>
      <c r="D9" s="102">
        <f t="shared" si="0"/>
        <v>0</v>
      </c>
      <c r="E9" s="110">
        <v>0</v>
      </c>
      <c r="F9" s="2609"/>
      <c r="G9" s="2609"/>
      <c r="H9" s="2609"/>
      <c r="I9" s="2609"/>
      <c r="J9" s="2609"/>
      <c r="K9" s="2609"/>
      <c r="L9" s="2609"/>
      <c r="M9" s="2609"/>
      <c r="N9" s="2609"/>
      <c r="O9" s="2609"/>
      <c r="P9" s="2609"/>
    </row>
    <row r="10" spans="1:16">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c r="A11" s="108"/>
      <c r="B11" s="109"/>
      <c r="C11" s="1917" t="s">
        <v>1681</v>
      </c>
      <c r="D11" s="102">
        <f t="shared" si="0"/>
        <v>0</v>
      </c>
      <c r="E11" s="107">
        <f>SUMPRODUCT(('数据-基础表'!BB10:BK10="地下")*('数据-基础表'!BB11:BK11="办公")*('数据-基础表'!BB5:BK5))+'数据-基础表'!AJ5</f>
        <v>0</v>
      </c>
      <c r="F11" s="2609"/>
      <c r="G11" s="2609"/>
      <c r="H11" s="2609"/>
      <c r="I11" s="2609"/>
      <c r="J11" s="2609"/>
      <c r="K11" s="2609"/>
      <c r="L11" s="2609"/>
      <c r="M11" s="2609"/>
      <c r="N11" s="2609"/>
      <c r="O11" s="2609"/>
      <c r="P11" s="2609"/>
    </row>
    <row r="12" spans="1:16">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c r="A13" s="108"/>
      <c r="B13" s="109"/>
      <c r="C13" s="1917" t="s">
        <v>1688</v>
      </c>
      <c r="D13" s="102">
        <f t="shared" si="0"/>
        <v>0</v>
      </c>
      <c r="E13" s="107">
        <f>SUMPRODUCT(('数据-基础表'!BB10:BK10="地下")*('数据-基础表'!BB11:BK11="车库")*('数据-基础表'!BB5:BK5))</f>
        <v>0</v>
      </c>
      <c r="F13" s="2609"/>
      <c r="G13" s="2609"/>
      <c r="H13" s="2609"/>
      <c r="I13" s="2609"/>
      <c r="J13" s="2609"/>
      <c r="K13" s="2609"/>
      <c r="L13" s="2609"/>
      <c r="M13" s="2609"/>
      <c r="N13" s="2609"/>
      <c r="O13" s="2609"/>
      <c r="P13" s="2609"/>
    </row>
    <row r="14" spans="1:16">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4"/>
      <c r="B16" s="109"/>
      <c r="C16" s="106" t="s">
        <v>181</v>
      </c>
      <c r="D16" s="106">
        <f>SUM(D8:D15)</f>
        <v>17556.580000000002</v>
      </c>
      <c r="E16" s="111">
        <f>SUM(E8:E15)</f>
        <v>5006.88</v>
      </c>
      <c r="F16" s="2609"/>
      <c r="G16" s="2609"/>
      <c r="H16" s="881" t="s">
        <v>185</v>
      </c>
      <c r="I16" s="882"/>
      <c r="J16" s="1632"/>
      <c r="K16" s="3606" t="s">
        <v>1846</v>
      </c>
      <c r="L16" s="3607"/>
      <c r="M16" s="3607"/>
      <c r="N16" s="3607"/>
      <c r="O16" s="3607"/>
      <c r="P16" s="3608"/>
    </row>
    <row r="17" spans="1:19" ht="15">
      <c r="A17" s="112" t="s">
        <v>182</v>
      </c>
      <c r="B17" s="113" t="s">
        <v>183</v>
      </c>
      <c r="C17" s="1885" t="s">
        <v>1668</v>
      </c>
      <c r="D17" s="99" t="s">
        <v>170</v>
      </c>
      <c r="E17" s="115" t="s">
        <v>171</v>
      </c>
      <c r="F17" s="116"/>
      <c r="G17" s="1157"/>
      <c r="H17" s="883" t="s">
        <v>184</v>
      </c>
      <c r="I17" s="884" t="s">
        <v>1667</v>
      </c>
      <c r="J17" s="1632"/>
      <c r="K17" s="3609" t="s">
        <v>1847</v>
      </c>
      <c r="L17" s="3610"/>
      <c r="M17" s="3611"/>
      <c r="N17" s="3609" t="s">
        <v>1848</v>
      </c>
      <c r="O17" s="3610"/>
      <c r="P17" s="3611"/>
      <c r="R17" s="1886" t="s">
        <v>1666</v>
      </c>
      <c r="S17" s="125"/>
    </row>
    <row r="18" spans="1:19" ht="15">
      <c r="A18" s="108"/>
      <c r="B18" s="119"/>
      <c r="C18" s="96"/>
      <c r="D18" s="1630"/>
      <c r="E18" s="120" t="s">
        <v>186</v>
      </c>
      <c r="F18" s="121" t="s">
        <v>187</v>
      </c>
      <c r="G18" s="1158" t="s">
        <v>188</v>
      </c>
      <c r="H18" s="885" t="s">
        <v>189</v>
      </c>
      <c r="I18" s="886" t="s">
        <v>190</v>
      </c>
      <c r="J18" s="1632"/>
      <c r="K18" s="2062" t="s">
        <v>1849</v>
      </c>
      <c r="L18" s="2063" t="s">
        <v>1850</v>
      </c>
      <c r="M18" s="2064" t="s">
        <v>1851</v>
      </c>
      <c r="N18" s="2062" t="s">
        <v>1849</v>
      </c>
      <c r="O18" s="2063" t="s">
        <v>1850</v>
      </c>
      <c r="P18" s="2064" t="s">
        <v>1851</v>
      </c>
      <c r="R18" s="1887" t="s">
        <v>1664</v>
      </c>
      <c r="S18" s="1887" t="s">
        <v>1665</v>
      </c>
    </row>
    <row r="19" spans="1:19">
      <c r="A19" s="123"/>
      <c r="B19" s="106" t="s">
        <v>191</v>
      </c>
      <c r="C19" s="2309" t="s">
        <v>3273</v>
      </c>
      <c r="D19" s="102">
        <f t="shared" ref="D19:D26" si="1">ROUND($D$3*E19/$E$3,2)</f>
        <v>17556.580000000002</v>
      </c>
      <c r="E19" s="124">
        <f t="shared" ref="E19:E26" si="2">SUM(F19:G19)</f>
        <v>5006.88</v>
      </c>
      <c r="F19" s="2610">
        <f>'数据-基础表'!I13</f>
        <v>5006.88</v>
      </c>
      <c r="G19" s="2611"/>
      <c r="H19" s="887">
        <f>ROUND($D$3*I19/$E$3,2)</f>
        <v>0</v>
      </c>
      <c r="I19" s="107">
        <f>IF($I$17="自定义",P19,M19)</f>
        <v>0</v>
      </c>
      <c r="J19" s="1632"/>
      <c r="K19" s="887">
        <f t="shared" ref="K19:K26" si="3">ROUND(E$28*E19/E$27,2)</f>
        <v>0</v>
      </c>
      <c r="L19" s="102">
        <f t="shared" ref="L19:L26" si="4">ROUND(IF(COUNTIF(C19,"*住宅*")&gt;0,E$29*E19/E$32,0),2)</f>
        <v>0</v>
      </c>
      <c r="M19" s="107">
        <f>K19+L19</f>
        <v>0</v>
      </c>
      <c r="N19" s="2065"/>
      <c r="O19" s="2066"/>
      <c r="P19" s="2067">
        <f>N19+O19</f>
        <v>0</v>
      </c>
      <c r="R19" s="102">
        <f t="shared" ref="R19:S26" si="5">D19+H19</f>
        <v>17556.580000000002</v>
      </c>
      <c r="S19" s="124">
        <f t="shared" si="5"/>
        <v>5006.88</v>
      </c>
    </row>
    <row r="20" spans="1:19">
      <c r="A20" s="123"/>
      <c r="B20" s="106" t="s">
        <v>192</v>
      </c>
      <c r="C20" s="2309"/>
      <c r="D20" s="102">
        <f t="shared" si="1"/>
        <v>0</v>
      </c>
      <c r="E20" s="124">
        <f t="shared" si="2"/>
        <v>0</v>
      </c>
      <c r="F20" s="2610"/>
      <c r="G20" s="2611"/>
      <c r="H20" s="887">
        <f t="shared" ref="H20:H26" si="6">ROUND($D$3*I20/$E$3,2)</f>
        <v>0</v>
      </c>
      <c r="I20" s="107">
        <f t="shared" ref="I20:I26" si="7">IF($I$17="自定义",P20,M20)</f>
        <v>0</v>
      </c>
      <c r="J20" s="1632"/>
      <c r="K20" s="887">
        <f t="shared" si="3"/>
        <v>0</v>
      </c>
      <c r="L20" s="102">
        <f t="shared" si="4"/>
        <v>0</v>
      </c>
      <c r="M20" s="107">
        <f t="shared" ref="M20:M26" si="8">K20+L20</f>
        <v>0</v>
      </c>
      <c r="N20" s="2065"/>
      <c r="O20" s="2066"/>
      <c r="P20" s="2067">
        <f t="shared" ref="P20:P26" si="9">N20+O20</f>
        <v>0</v>
      </c>
      <c r="R20" s="102">
        <f t="shared" si="5"/>
        <v>0</v>
      </c>
      <c r="S20" s="124">
        <f t="shared" si="5"/>
        <v>0</v>
      </c>
    </row>
    <row r="21" spans="1:19">
      <c r="A21" s="123"/>
      <c r="B21" s="106" t="s">
        <v>192</v>
      </c>
      <c r="C21" s="2309"/>
      <c r="D21" s="102">
        <f t="shared" si="1"/>
        <v>0</v>
      </c>
      <c r="E21" s="124">
        <f t="shared" si="2"/>
        <v>0</v>
      </c>
      <c r="F21" s="2610"/>
      <c r="G21" s="2611"/>
      <c r="H21" s="887">
        <f t="shared" si="6"/>
        <v>0</v>
      </c>
      <c r="I21" s="107">
        <f t="shared" si="7"/>
        <v>0</v>
      </c>
      <c r="J21" s="1632"/>
      <c r="K21" s="887">
        <f t="shared" si="3"/>
        <v>0</v>
      </c>
      <c r="L21" s="102">
        <f t="shared" si="4"/>
        <v>0</v>
      </c>
      <c r="M21" s="107">
        <f t="shared" si="8"/>
        <v>0</v>
      </c>
      <c r="N21" s="2065"/>
      <c r="O21" s="2066"/>
      <c r="P21" s="2067">
        <f t="shared" si="9"/>
        <v>0</v>
      </c>
      <c r="R21" s="102">
        <f t="shared" si="5"/>
        <v>0</v>
      </c>
      <c r="S21" s="124">
        <f t="shared" si="5"/>
        <v>0</v>
      </c>
    </row>
    <row r="22" spans="1:19">
      <c r="A22" s="123"/>
      <c r="B22" s="106" t="s">
        <v>192</v>
      </c>
      <c r="C22" s="3083"/>
      <c r="D22" s="102">
        <f t="shared" si="1"/>
        <v>0</v>
      </c>
      <c r="E22" s="124">
        <f t="shared" si="2"/>
        <v>0</v>
      </c>
      <c r="F22" s="2612"/>
      <c r="G22" s="2613"/>
      <c r="H22" s="887">
        <f t="shared" si="6"/>
        <v>0</v>
      </c>
      <c r="I22" s="107">
        <f t="shared" si="7"/>
        <v>0</v>
      </c>
      <c r="J22" s="1632"/>
      <c r="K22" s="887">
        <f t="shared" si="3"/>
        <v>0</v>
      </c>
      <c r="L22" s="102">
        <f t="shared" si="4"/>
        <v>0</v>
      </c>
      <c r="M22" s="107">
        <f t="shared" si="8"/>
        <v>0</v>
      </c>
      <c r="N22" s="2065"/>
      <c r="O22" s="2066"/>
      <c r="P22" s="2067">
        <f t="shared" si="9"/>
        <v>0</v>
      </c>
      <c r="R22" s="102">
        <f t="shared" si="5"/>
        <v>0</v>
      </c>
      <c r="S22" s="124">
        <f t="shared" si="5"/>
        <v>0</v>
      </c>
    </row>
    <row r="23" spans="1:19">
      <c r="A23" s="123"/>
      <c r="B23" s="106" t="s">
        <v>192</v>
      </c>
      <c r="C23" s="3083"/>
      <c r="D23" s="102">
        <f>ROUND($D$3*E23/$E$3,2)</f>
        <v>0</v>
      </c>
      <c r="E23" s="124">
        <f>SUM(F23:G23)</f>
        <v>0</v>
      </c>
      <c r="F23" s="2612"/>
      <c r="G23" s="2613"/>
      <c r="H23" s="887">
        <f>ROUND($D$3*I23/$E$3,2)</f>
        <v>0</v>
      </c>
      <c r="I23" s="107">
        <f t="shared" si="7"/>
        <v>0</v>
      </c>
      <c r="J23" s="1632"/>
      <c r="K23" s="887">
        <f t="shared" si="3"/>
        <v>0</v>
      </c>
      <c r="L23" s="102">
        <f t="shared" si="4"/>
        <v>0</v>
      </c>
      <c r="M23" s="107">
        <f t="shared" si="8"/>
        <v>0</v>
      </c>
      <c r="N23" s="2065"/>
      <c r="O23" s="2066"/>
      <c r="P23" s="2067">
        <f t="shared" si="9"/>
        <v>0</v>
      </c>
      <c r="R23" s="102">
        <f t="shared" si="5"/>
        <v>0</v>
      </c>
      <c r="S23" s="124">
        <f t="shared" si="5"/>
        <v>0</v>
      </c>
    </row>
    <row r="24" spans="1:19">
      <c r="A24" s="123"/>
      <c r="B24" s="106" t="s">
        <v>192</v>
      </c>
      <c r="C24" s="3083"/>
      <c r="D24" s="102">
        <f>ROUND($D$3*E24/$E$3,2)</f>
        <v>0</v>
      </c>
      <c r="E24" s="124">
        <f>SUM(F24:G24)</f>
        <v>0</v>
      </c>
      <c r="F24" s="2612"/>
      <c r="G24" s="2613"/>
      <c r="H24" s="887">
        <f>ROUND($D$3*I24/$E$3,2)</f>
        <v>0</v>
      </c>
      <c r="I24" s="107">
        <f t="shared" si="7"/>
        <v>0</v>
      </c>
      <c r="J24" s="1632"/>
      <c r="K24" s="887">
        <f t="shared" si="3"/>
        <v>0</v>
      </c>
      <c r="L24" s="102">
        <f t="shared" si="4"/>
        <v>0</v>
      </c>
      <c r="M24" s="107">
        <f t="shared" si="8"/>
        <v>0</v>
      </c>
      <c r="N24" s="2065"/>
      <c r="O24" s="2066"/>
      <c r="P24" s="2067">
        <f t="shared" si="9"/>
        <v>0</v>
      </c>
      <c r="R24" s="102">
        <f t="shared" si="5"/>
        <v>0</v>
      </c>
      <c r="S24" s="124">
        <f t="shared" si="5"/>
        <v>0</v>
      </c>
    </row>
    <row r="25" spans="1:19">
      <c r="A25" s="123"/>
      <c r="B25" s="106" t="s">
        <v>192</v>
      </c>
      <c r="C25" s="3083"/>
      <c r="D25" s="102">
        <f t="shared" si="1"/>
        <v>0</v>
      </c>
      <c r="E25" s="124">
        <f t="shared" si="2"/>
        <v>0</v>
      </c>
      <c r="F25" s="2612"/>
      <c r="G25" s="2613"/>
      <c r="H25" s="101">
        <f t="shared" si="6"/>
        <v>0</v>
      </c>
      <c r="I25" s="107">
        <f t="shared" si="7"/>
        <v>0</v>
      </c>
      <c r="J25" s="1632"/>
      <c r="K25" s="887">
        <f t="shared" si="3"/>
        <v>0</v>
      </c>
      <c r="L25" s="102">
        <f t="shared" si="4"/>
        <v>0</v>
      </c>
      <c r="M25" s="107">
        <f t="shared" si="8"/>
        <v>0</v>
      </c>
      <c r="N25" s="2065"/>
      <c r="O25" s="2066"/>
      <c r="P25" s="2067">
        <f t="shared" si="9"/>
        <v>0</v>
      </c>
      <c r="R25" s="102">
        <f t="shared" si="5"/>
        <v>0</v>
      </c>
      <c r="S25" s="124">
        <f t="shared" si="5"/>
        <v>0</v>
      </c>
    </row>
    <row r="26" spans="1:19">
      <c r="A26" s="123"/>
      <c r="B26" s="106" t="s">
        <v>192</v>
      </c>
      <c r="C26" s="128"/>
      <c r="D26" s="102">
        <f t="shared" si="1"/>
        <v>0</v>
      </c>
      <c r="E26" s="124">
        <f t="shared" si="2"/>
        <v>0</v>
      </c>
      <c r="F26" s="2612"/>
      <c r="G26" s="2613"/>
      <c r="H26" s="101">
        <f t="shared" si="6"/>
        <v>0</v>
      </c>
      <c r="I26" s="107">
        <f t="shared" si="7"/>
        <v>0</v>
      </c>
      <c r="J26" s="1632"/>
      <c r="K26" s="101">
        <f t="shared" si="3"/>
        <v>0</v>
      </c>
      <c r="L26" s="106">
        <f t="shared" si="4"/>
        <v>0</v>
      </c>
      <c r="M26" s="111">
        <f t="shared" si="8"/>
        <v>0</v>
      </c>
      <c r="N26" s="2068"/>
      <c r="O26" s="2069"/>
      <c r="P26" s="2070">
        <f t="shared" si="9"/>
        <v>0</v>
      </c>
      <c r="R26" s="102">
        <f t="shared" si="5"/>
        <v>0</v>
      </c>
      <c r="S26" s="124">
        <f t="shared" si="5"/>
        <v>0</v>
      </c>
    </row>
    <row r="27" spans="1:19" ht="15.75" thickBot="1">
      <c r="A27" s="123"/>
      <c r="B27" s="102"/>
      <c r="C27" s="118" t="s">
        <v>181</v>
      </c>
      <c r="D27" s="124">
        <f>SUM(D19:D26)</f>
        <v>17556.580000000002</v>
      </c>
      <c r="E27" s="129">
        <f>IF(SUM(E19:E26)='数据-基础表'!BA5,SUM(E19:E26),IF(F27="地上面积有误","面积有误","地下面积有误"))</f>
        <v>5006.88</v>
      </c>
      <c r="F27" s="124">
        <f>IF(SUM(F19:F26)=E8,SUM(F19:F26),"地上面积有误")</f>
        <v>5006.88</v>
      </c>
      <c r="G27" s="103">
        <f>SUM(G19:G26)</f>
        <v>0</v>
      </c>
      <c r="H27" s="888">
        <f>SUM(H19:H26)</f>
        <v>0</v>
      </c>
      <c r="I27" s="889">
        <f>SUM(I19:I26)</f>
        <v>0</v>
      </c>
      <c r="J27" s="1632"/>
      <c r="K27" s="2071">
        <f t="shared" ref="K27:P27" si="10">SUM(K19:K26)</f>
        <v>0</v>
      </c>
      <c r="L27" s="2072">
        <f t="shared" si="10"/>
        <v>0</v>
      </c>
      <c r="M27" s="2073">
        <f t="shared" si="10"/>
        <v>0</v>
      </c>
      <c r="N27" s="2071">
        <f t="shared" si="10"/>
        <v>0</v>
      </c>
      <c r="O27" s="2072">
        <f t="shared" si="10"/>
        <v>0</v>
      </c>
      <c r="P27" s="194">
        <f t="shared" si="10"/>
        <v>0</v>
      </c>
      <c r="R27" s="1891">
        <f>IF(SUM(R19:R26)=$D$3,SUM(R19:R26),SUM(R19:R26)&amp;"误差"&amp;ROUND(SUM(R19:R26)-$D$3,2))</f>
        <v>17556.580000000002</v>
      </c>
      <c r="S27" s="102">
        <f>IF(SUM(S19:S26)=$E$3,SUM(S19:S26),SUM(S19:S26)&amp;"误差"&amp;ROUND(SUM(S19:S26)-E3,2))</f>
        <v>5006.88</v>
      </c>
    </row>
    <row r="28" spans="1:19">
      <c r="A28" s="123"/>
      <c r="B28" s="106" t="s">
        <v>193</v>
      </c>
      <c r="C28" s="125" t="s">
        <v>194</v>
      </c>
      <c r="D28" s="102">
        <f>ROUND($D$3*E28/$E$3,2)</f>
        <v>0</v>
      </c>
      <c r="E28" s="124">
        <f>SUM(F28:G28)</f>
        <v>0</v>
      </c>
      <c r="F28" s="125">
        <f>'数据-基础表'!BQ5+'数据-基础表'!BS5</f>
        <v>0</v>
      </c>
      <c r="G28" s="130">
        <f>'数据-基础表'!BR5+'数据-基础表'!BT5</f>
        <v>0</v>
      </c>
      <c r="H28" s="2609"/>
      <c r="I28" s="2609"/>
      <c r="J28" s="2609"/>
      <c r="K28" s="2609"/>
      <c r="L28" s="2609"/>
      <c r="M28" s="2609"/>
      <c r="N28" s="2609"/>
      <c r="O28" s="2609"/>
      <c r="P28" s="2609"/>
    </row>
    <row r="29" spans="1:19">
      <c r="A29" s="123"/>
      <c r="B29" s="106" t="s">
        <v>193</v>
      </c>
      <c r="C29" s="1899" t="s">
        <v>1675</v>
      </c>
      <c r="D29" s="102">
        <f>ROUND($D$3*E29/$E$3,2)</f>
        <v>0</v>
      </c>
      <c r="E29" s="124">
        <f>SUM(F29:G29)</f>
        <v>0</v>
      </c>
      <c r="F29" s="125">
        <f>'数据-基础表'!BM5+'数据-基础表'!BO5</f>
        <v>0</v>
      </c>
      <c r="G29" s="111">
        <f>'数据-基础表'!BN5+'数据-基础表'!BP5</f>
        <v>0</v>
      </c>
      <c r="H29" s="2609"/>
      <c r="I29" s="2609"/>
      <c r="J29" s="2609"/>
      <c r="K29" s="2609"/>
      <c r="L29" s="2609"/>
      <c r="M29" s="2609"/>
      <c r="N29" s="2609"/>
      <c r="O29" s="2609"/>
      <c r="P29" s="2609"/>
    </row>
    <row r="30" spans="1:19">
      <c r="A30" s="123"/>
      <c r="B30" s="102"/>
      <c r="C30" s="131" t="s">
        <v>181</v>
      </c>
      <c r="D30" s="124">
        <f>SUM(D28:D29)</f>
        <v>0</v>
      </c>
      <c r="E30" s="124">
        <f>SUM(E28:E29)</f>
        <v>0</v>
      </c>
      <c r="F30" s="124">
        <f>SUM(F28:F29)</f>
        <v>0</v>
      </c>
      <c r="G30" s="103">
        <f>SUM(G28:G29)</f>
        <v>0</v>
      </c>
      <c r="H30" s="2609"/>
      <c r="I30" s="2609"/>
      <c r="J30" s="2609"/>
      <c r="K30" s="2609"/>
      <c r="L30" s="2609"/>
      <c r="M30" s="2609"/>
      <c r="N30" s="2609"/>
      <c r="O30" s="2609"/>
      <c r="P30" s="2609"/>
    </row>
    <row r="31" spans="1:19" ht="32.25" customHeight="1" thickBot="1">
      <c r="A31" s="1159"/>
      <c r="B31" s="1160" t="s">
        <v>195</v>
      </c>
      <c r="C31" s="1916" t="s">
        <v>1677</v>
      </c>
      <c r="D31" s="1161">
        <f>D27+D30</f>
        <v>17556.580000000002</v>
      </c>
      <c r="E31" s="1161">
        <f>E27+E30</f>
        <v>5006.88</v>
      </c>
      <c r="F31" s="1162">
        <f>F27+F30</f>
        <v>5006.88</v>
      </c>
      <c r="G31" s="1163">
        <f>G27+G30</f>
        <v>0</v>
      </c>
      <c r="H31" s="2609"/>
      <c r="I31" s="2609"/>
      <c r="J31" s="2609"/>
      <c r="K31" s="2609"/>
      <c r="L31" s="2609"/>
      <c r="M31" s="2609"/>
      <c r="N31" s="2609"/>
      <c r="O31" s="2609"/>
      <c r="P31" s="2609"/>
    </row>
    <row r="32" spans="1:19">
      <c r="A32" s="1632"/>
      <c r="B32" s="1928" t="s">
        <v>1676</v>
      </c>
      <c r="C32" s="2086"/>
      <c r="D32" s="119"/>
      <c r="E32" s="119">
        <f>SUMIF(C19:C26,"*住宅*",E19:E26)</f>
        <v>0</v>
      </c>
      <c r="F32" s="119"/>
      <c r="G32" s="119"/>
      <c r="H32" s="2609"/>
      <c r="I32" s="2609"/>
      <c r="J32" s="2609"/>
      <c r="K32" s="2609"/>
      <c r="L32" s="2609"/>
      <c r="M32" s="2609"/>
      <c r="N32" s="2609"/>
      <c r="O32" s="2609"/>
      <c r="P32" s="2609"/>
    </row>
    <row r="33" spans="4:4">
      <c r="D33" s="163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15" zoomScaleNormal="115" workbookViewId="0">
      <pane xSplit="3" ySplit="5" topLeftCell="D6" activePane="bottomRight" state="frozen"/>
      <selection pane="topRight" activeCell="D1" sqref="D1"/>
      <selection pane="bottomLeft" activeCell="A4" sqref="A4"/>
      <selection pane="bottomRight" activeCell="B20" sqref="B20"/>
    </sheetView>
  </sheetViews>
  <sheetFormatPr defaultColWidth="13.625" defaultRowHeight="12.75"/>
  <cols>
    <col min="1" max="1" width="20.875" style="1054" customWidth="1"/>
    <col min="2" max="3" width="12" style="1043" customWidth="1"/>
    <col min="4" max="4" width="9.125" style="1055" customWidth="1"/>
    <col min="5" max="5" width="15" style="1043" bestFit="1" customWidth="1"/>
    <col min="6" max="10" width="8.875" style="1043" customWidth="1"/>
    <col min="11" max="12" width="12.375" style="1056" customWidth="1"/>
    <col min="13" max="13" width="8.625" style="1043" customWidth="1"/>
    <col min="14" max="16" width="9.625" style="1043" customWidth="1"/>
    <col min="17" max="17" width="10.875" style="1043" customWidth="1"/>
    <col min="18" max="19" width="12.5" style="1043" customWidth="1"/>
    <col min="20" max="20" width="12.125" style="1043" customWidth="1"/>
    <col min="21" max="21" width="7.5" style="1043" customWidth="1"/>
    <col min="22" max="22" width="6.375" style="1043" customWidth="1"/>
    <col min="23" max="24" width="6.625" style="1043" customWidth="1"/>
    <col min="25" max="25" width="8.125" style="1043" customWidth="1"/>
    <col min="26" max="30" width="6.625" style="1043" customWidth="1"/>
    <col min="31" max="31" width="6.5" style="1043" customWidth="1"/>
    <col min="32" max="34" width="7.125" style="1043" customWidth="1"/>
    <col min="35" max="39" width="8" style="1043" customWidth="1"/>
    <col min="40" max="41" width="13.625" style="237"/>
    <col min="42" max="42" width="13.625" style="237" customWidth="1"/>
    <col min="43" max="83" width="13.625" style="237"/>
    <col min="84" max="16384" width="13.625" style="1043"/>
  </cols>
  <sheetData>
    <row r="1" spans="1:83" ht="19.5" thickBot="1">
      <c r="A1" s="132" t="s">
        <v>200</v>
      </c>
      <c r="B1" s="287"/>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15"/>
      <c r="AO1" s="2615"/>
      <c r="AP1" s="2615"/>
      <c r="AQ1" s="2615"/>
      <c r="AR1" s="2615"/>
      <c r="AS1" s="2615"/>
      <c r="AT1" s="2615"/>
      <c r="AU1" s="2615"/>
      <c r="AV1" s="2615"/>
      <c r="AW1" s="2615"/>
      <c r="AX1" s="2615"/>
      <c r="AY1" s="2615"/>
      <c r="AZ1" s="2615"/>
    </row>
    <row r="2" spans="1:83" s="1045" customFormat="1" ht="15.75" thickBot="1">
      <c r="A2" s="133" t="s">
        <v>201</v>
      </c>
      <c r="B2" s="1924">
        <f>项目基本情况!D3</f>
        <v>45196</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9"/>
      <c r="AO2" s="2609"/>
      <c r="AP2" s="2609"/>
      <c r="AQ2" s="2609"/>
      <c r="AR2" s="2609"/>
      <c r="AS2" s="2609"/>
      <c r="AT2" s="2609"/>
      <c r="AU2" s="2609"/>
      <c r="AV2" s="2609"/>
      <c r="AW2" s="2609"/>
      <c r="AX2" s="2609"/>
      <c r="AY2" s="2609"/>
      <c r="AZ2" s="2609"/>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5" customFormat="1" ht="15" thickBot="1">
      <c r="A3" s="1046"/>
      <c r="B3" s="96"/>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9"/>
      <c r="AO3" s="2609"/>
      <c r="AP3" s="2609"/>
      <c r="AQ3" s="2609"/>
      <c r="AR3" s="2609"/>
      <c r="AS3" s="2609"/>
      <c r="AT3" s="2609"/>
      <c r="AU3" s="2609"/>
      <c r="AV3" s="2609"/>
      <c r="AW3" s="2609"/>
      <c r="AX3" s="2609"/>
      <c r="AY3" s="2609"/>
      <c r="AZ3" s="2609"/>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5" customFormat="1" ht="15" thickBot="1">
      <c r="A4" s="134" t="s">
        <v>802</v>
      </c>
      <c r="B4" s="136"/>
      <c r="C4" s="137"/>
      <c r="D4" s="1047"/>
      <c r="E4" s="1048" t="s">
        <v>803</v>
      </c>
      <c r="F4" s="137"/>
      <c r="G4" s="137"/>
      <c r="H4" s="137"/>
      <c r="I4" s="137"/>
      <c r="J4" s="138"/>
      <c r="K4" s="1049"/>
      <c r="L4" s="1050"/>
      <c r="M4" s="137"/>
      <c r="N4" s="1048" t="s">
        <v>804</v>
      </c>
      <c r="O4" s="137"/>
      <c r="P4" s="137"/>
      <c r="Q4" s="137"/>
      <c r="R4" s="137"/>
      <c r="S4" s="138"/>
      <c r="T4" s="890"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1" customFormat="1" ht="54">
      <c r="A5" s="1890" t="s">
        <v>1679</v>
      </c>
      <c r="B5" s="140" t="s">
        <v>202</v>
      </c>
      <c r="C5" s="141" t="s">
        <v>203</v>
      </c>
      <c r="D5" s="142" t="s">
        <v>204</v>
      </c>
      <c r="E5" s="143" t="s">
        <v>205</v>
      </c>
      <c r="F5" s="144" t="s">
        <v>206</v>
      </c>
      <c r="G5" s="143" t="s">
        <v>207</v>
      </c>
      <c r="H5" s="143" t="s">
        <v>800</v>
      </c>
      <c r="I5" s="143" t="s">
        <v>801</v>
      </c>
      <c r="J5" s="145" t="s">
        <v>208</v>
      </c>
      <c r="K5" s="146" t="s">
        <v>209</v>
      </c>
      <c r="L5" s="147" t="s">
        <v>210</v>
      </c>
      <c r="M5" s="148" t="s">
        <v>211</v>
      </c>
      <c r="N5" s="1057" t="s">
        <v>3240</v>
      </c>
      <c r="O5" s="147" t="s">
        <v>212</v>
      </c>
      <c r="P5" s="149" t="s">
        <v>213</v>
      </c>
      <c r="Q5" s="150" t="s">
        <v>214</v>
      </c>
      <c r="R5" s="151" t="s">
        <v>215</v>
      </c>
      <c r="S5" s="2074" t="s">
        <v>1852</v>
      </c>
      <c r="T5" s="152" t="s">
        <v>216</v>
      </c>
      <c r="U5" s="153" t="s">
        <v>217</v>
      </c>
      <c r="V5" s="143" t="s">
        <v>218</v>
      </c>
      <c r="W5" s="143" t="s">
        <v>219</v>
      </c>
      <c r="X5" s="1509"/>
      <c r="Y5" s="154" t="s">
        <v>220</v>
      </c>
      <c r="Z5" s="155" t="s">
        <v>221</v>
      </c>
      <c r="AA5" s="143" t="s">
        <v>218</v>
      </c>
      <c r="AB5" s="143" t="s">
        <v>219</v>
      </c>
      <c r="AC5" s="1510"/>
      <c r="AD5" s="156" t="s">
        <v>220</v>
      </c>
      <c r="AE5" s="1" t="s">
        <v>808</v>
      </c>
      <c r="AF5" s="143" t="s">
        <v>222</v>
      </c>
      <c r="AG5" s="154" t="s">
        <v>223</v>
      </c>
      <c r="AH5" s="1510" t="s">
        <v>1678</v>
      </c>
      <c r="AI5" s="155" t="s">
        <v>1647</v>
      </c>
      <c r="AJ5" s="155" t="s">
        <v>224</v>
      </c>
      <c r="AK5" s="143" t="s">
        <v>225</v>
      </c>
      <c r="AL5" s="143" t="s">
        <v>226</v>
      </c>
      <c r="AM5" s="156" t="s">
        <v>227</v>
      </c>
      <c r="AN5" s="1949" t="s">
        <v>1724</v>
      </c>
      <c r="AO5" s="2627"/>
      <c r="AP5" s="2614" t="s">
        <v>2258</v>
      </c>
      <c r="AQ5" s="2627"/>
      <c r="AR5" s="2627"/>
      <c r="AS5" s="2627"/>
      <c r="AT5" s="2627"/>
      <c r="AU5" s="2627"/>
      <c r="AV5" s="2627"/>
      <c r="AW5" s="2627"/>
      <c r="AX5" s="2627"/>
      <c r="AY5" s="2627"/>
      <c r="AZ5" s="2627"/>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5" customFormat="1" ht="14.25">
      <c r="A6" s="1888" t="str">
        <f>'数据-汇总表'!C19</f>
        <v>鸿都国际轻纺城</v>
      </c>
      <c r="B6" s="1923" t="str">
        <f>IF(A6=0,"","经营性")</f>
        <v>经营性</v>
      </c>
      <c r="C6" s="157" t="s">
        <v>905</v>
      </c>
      <c r="D6" s="1894">
        <f>SUMIF(项目基本情况!C$15:I$15,C6,项目基本情况!C$18:I$18)</f>
        <v>50</v>
      </c>
      <c r="E6" s="1895">
        <f>IF(B6="","",SUMIF(项目基本情况!C$15:I$15,C6,项目基本情况!C$17:I$17))</f>
        <v>63458</v>
      </c>
      <c r="F6" s="158">
        <f>SUMIF(项目基本情况!C$15:I$15,C6,项目基本情况!C$19:I$19)</f>
        <v>50</v>
      </c>
      <c r="G6" s="159">
        <f t="shared" ref="G6:G13" si="0">IF(ISERROR(ROUND(POWER(1+H6,D6-F6)*(POWER(1+H6,F6)-1)/(POWER(1+H6,D6)-1),3)),0,ROUND(POWER(1+H6,D6-F6)*(POWER(1+H6,F6)-1)/(POWER(1+H6,D6)-1),3))</f>
        <v>1</v>
      </c>
      <c r="H6" s="2310">
        <f>基准地价!I24</f>
        <v>50</v>
      </c>
      <c r="I6" s="2310"/>
      <c r="J6" s="160"/>
      <c r="K6" s="163">
        <f>SUMIF('数据-汇总表'!C$19:C$33,'数据-取费表'!A6,'数据-汇总表'!E$19:E$33)</f>
        <v>5006.88</v>
      </c>
      <c r="L6" s="2311"/>
      <c r="M6" s="161">
        <f t="shared" ref="M6:M14" si="1">ROUND(K6*L6/10000,0)</f>
        <v>0</v>
      </c>
      <c r="N6" s="2312"/>
      <c r="O6" s="161">
        <f>IF($N$5="成新度","——",ROUND(M6*N6,0))</f>
        <v>0</v>
      </c>
      <c r="P6" s="162">
        <f>IF($N$5="成新度","——",M6-O6)</f>
        <v>0</v>
      </c>
      <c r="Q6" s="2313"/>
      <c r="R6" s="163">
        <f>SUMIF('数据-汇总表'!C$19:C$33,A6,'数据-汇总表'!R$19:R$33)</f>
        <v>17556.580000000002</v>
      </c>
      <c r="S6" s="122">
        <f>IF('数据-汇总表'!$I$17="按面积比例",SUMIF('数据-汇总表'!C$19:C$33,A6,'数据-汇总表'!K$19:K$33),SUMIF('数据-汇总表'!C$19:C$33,A6,'数据-汇总表'!N$19:N$33))</f>
        <v>0</v>
      </c>
      <c r="T6" s="1826" t="str">
        <f>IF($T$4="按面积比例",IF(ISERROR(ROUND($M$14*S6/S$16,0)),"0",ROUND($M$14*S6/S$16,0)),"需自行计算录入")</f>
        <v>0</v>
      </c>
      <c r="U6" s="164"/>
      <c r="V6" s="165"/>
      <c r="W6" s="165"/>
      <c r="X6" s="1907"/>
      <c r="Y6" s="166"/>
      <c r="Z6" s="167"/>
      <c r="AA6" s="160"/>
      <c r="AB6" s="160"/>
      <c r="AC6" s="1910"/>
      <c r="AD6" s="168"/>
      <c r="AE6" s="885">
        <f ca="1">IF(AN6="",0,SUMIF(INDIRECT("'"&amp;AN6&amp;"'"&amp;"!E:E"),$AE$5,INDIRECT("'"&amp;AN6&amp;"'"&amp;"!F:F")))</f>
        <v>0</v>
      </c>
      <c r="AF6" s="127"/>
      <c r="AG6" s="1052">
        <f>IF(AF6="",0,AE6-AF6)</f>
        <v>0</v>
      </c>
      <c r="AH6" s="127"/>
      <c r="AI6" s="171"/>
      <c r="AJ6" s="127"/>
      <c r="AK6" s="172"/>
      <c r="AL6" s="173"/>
      <c r="AM6" s="2321"/>
      <c r="AN6" s="1123"/>
      <c r="AO6" s="2609"/>
      <c r="AP6" s="96">
        <f>ROUND(1-1/(1+H6)^F6,3)</f>
        <v>1</v>
      </c>
      <c r="AQ6" s="2609"/>
      <c r="AR6" s="2609"/>
      <c r="AS6" s="2609"/>
      <c r="AT6" s="2609"/>
      <c r="AU6" s="2609"/>
      <c r="AV6" s="2609"/>
      <c r="AW6" s="2609"/>
      <c r="AX6" s="2609"/>
      <c r="AY6" s="2609"/>
      <c r="AZ6" s="2609"/>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5" customFormat="1" ht="14.25">
      <c r="A7" s="1888">
        <f>'数据-汇总表'!C20</f>
        <v>0</v>
      </c>
      <c r="B7" s="1923" t="str">
        <f t="shared" ref="B7:B13" si="2">IF(A7=0,"","经营性")</f>
        <v/>
      </c>
      <c r="C7" s="157"/>
      <c r="D7" s="1894">
        <f>SUMIF(项目基本情况!C$15:I$15,C7,项目基本情况!C$18:I$18)</f>
        <v>0</v>
      </c>
      <c r="E7" s="1895" t="str">
        <f>IF(B7="","",SUMIF(项目基本情况!C$15:I$15,C7,项目基本情况!C$17:I$17))</f>
        <v/>
      </c>
      <c r="F7" s="158">
        <f>SUMIF(项目基本情况!C$15:I$15,C7,项目基本情况!C$19:I$19)</f>
        <v>0</v>
      </c>
      <c r="G7" s="159">
        <f t="shared" si="0"/>
        <v>0</v>
      </c>
      <c r="H7" s="2310"/>
      <c r="I7" s="2310"/>
      <c r="J7" s="160"/>
      <c r="K7" s="163">
        <f>SUMIF('数据-汇总表'!C$19:C$33,'数据-取费表'!A7,'数据-汇总表'!E$19:E$33)</f>
        <v>0</v>
      </c>
      <c r="L7" s="2311"/>
      <c r="M7" s="161">
        <f t="shared" si="1"/>
        <v>0</v>
      </c>
      <c r="N7" s="2312"/>
      <c r="O7" s="161">
        <f t="shared" ref="O7:O14" si="3">IF($N$5="成新度","——",ROUND(M7*N7,0))</f>
        <v>0</v>
      </c>
      <c r="P7" s="162">
        <f t="shared" ref="P7:P14" si="4">IF($N$5="成新度","——",M7-O7)</f>
        <v>0</v>
      </c>
      <c r="Q7" s="2313"/>
      <c r="R7" s="163">
        <f>SUMIF('数据-汇总表'!C$19:C$33,A7,'数据-汇总表'!R$19:R$33)</f>
        <v>0</v>
      </c>
      <c r="S7" s="122">
        <f>IF('数据-汇总表'!$I$17="按面积比例",SUMIF('数据-汇总表'!C$19:C$33,A7,'数据-汇总表'!K$19:K$33),SUMIF('数据-汇总表'!C$19:C$33,A7,'数据-汇总表'!N$19:N$33))</f>
        <v>0</v>
      </c>
      <c r="T7" s="1826" t="str">
        <f t="shared" ref="T7:T13" si="5">IF($T$4="按面积比例",IF(ISERROR(ROUND($M$14*S7/S$16,0)),"0",ROUND($M$14*S7/S$16,0)),"需自行计算录入")</f>
        <v>0</v>
      </c>
      <c r="U7" s="164"/>
      <c r="V7" s="165"/>
      <c r="W7" s="165"/>
      <c r="X7" s="1907"/>
      <c r="Y7" s="166"/>
      <c r="Z7" s="167"/>
      <c r="AA7" s="160"/>
      <c r="AB7" s="160"/>
      <c r="AC7" s="1910"/>
      <c r="AD7" s="168"/>
      <c r="AE7" s="885">
        <f t="shared" ref="AE7:AE13" ca="1" si="6">IF(AN7="",0,SUMIF(INDIRECT("'"&amp;AN7&amp;"'"&amp;"!E:E"),$AE$5,INDIRECT("'"&amp;AN7&amp;"'"&amp;"!F:F")))</f>
        <v>0</v>
      </c>
      <c r="AF7" s="127"/>
      <c r="AG7" s="1052">
        <f t="shared" ref="AG7:AG13" si="7">IF(AF7="",0,AE7-AF7)</f>
        <v>0</v>
      </c>
      <c r="AH7" s="127"/>
      <c r="AI7" s="171"/>
      <c r="AJ7" s="127"/>
      <c r="AK7" s="172"/>
      <c r="AL7" s="173"/>
      <c r="AM7" s="2321"/>
      <c r="AN7" s="1123"/>
      <c r="AO7" s="2609"/>
      <c r="AP7" s="96">
        <f t="shared" ref="AP7:AP13" si="8">ROUND(1-1/(1+H7)^F7,3)</f>
        <v>0</v>
      </c>
      <c r="AQ7" s="2609"/>
      <c r="AR7" s="2609"/>
      <c r="AS7" s="2609"/>
      <c r="AT7" s="2609"/>
      <c r="AU7" s="2609"/>
      <c r="AV7" s="2609"/>
      <c r="AW7" s="2609"/>
      <c r="AX7" s="2609"/>
      <c r="AY7" s="2609"/>
      <c r="AZ7" s="2609"/>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5" customFormat="1" ht="14.25">
      <c r="A8" s="1888">
        <f>'数据-汇总表'!C21</f>
        <v>0</v>
      </c>
      <c r="B8" s="1923" t="str">
        <f t="shared" si="2"/>
        <v/>
      </c>
      <c r="C8" s="157"/>
      <c r="D8" s="1894">
        <f>SUMIF(项目基本情况!C$15:I$15,C8,项目基本情况!C$18:I$18)</f>
        <v>0</v>
      </c>
      <c r="E8" s="1895" t="str">
        <f>IF(B8="","",SUMIF(项目基本情况!C$15:I$15,C8,项目基本情况!C$17:I$17))</f>
        <v/>
      </c>
      <c r="F8" s="158">
        <f>SUMIF(项目基本情况!C$15:I$15,C8,项目基本情况!C$19:I$19)</f>
        <v>0</v>
      </c>
      <c r="G8" s="159">
        <f t="shared" si="0"/>
        <v>0</v>
      </c>
      <c r="H8" s="2310"/>
      <c r="I8" s="2310"/>
      <c r="J8" s="160"/>
      <c r="K8" s="163">
        <f>SUMIF('数据-汇总表'!C$19:C$33,'数据-取费表'!A8,'数据-汇总表'!E$19:E$33)</f>
        <v>0</v>
      </c>
      <c r="L8" s="2311"/>
      <c r="M8" s="161">
        <f>ROUND(K8*L8/10000,0)</f>
        <v>0</v>
      </c>
      <c r="N8" s="2312"/>
      <c r="O8" s="161">
        <f t="shared" si="3"/>
        <v>0</v>
      </c>
      <c r="P8" s="162">
        <f t="shared" si="4"/>
        <v>0</v>
      </c>
      <c r="Q8" s="2313"/>
      <c r="R8" s="163">
        <f>SUMIF('数据-汇总表'!C$19:C$33,A8,'数据-汇总表'!R$19:R$33)</f>
        <v>0</v>
      </c>
      <c r="S8" s="122">
        <f>IF('数据-汇总表'!$I$17="按面积比例",SUMIF('数据-汇总表'!C$19:C$33,A8,'数据-汇总表'!K$19:K$33),SUMIF('数据-汇总表'!C$19:C$33,A8,'数据-汇总表'!N$19:N$33))</f>
        <v>0</v>
      </c>
      <c r="T8" s="1826" t="str">
        <f t="shared" si="5"/>
        <v>0</v>
      </c>
      <c r="U8" s="164"/>
      <c r="V8" s="165"/>
      <c r="W8" s="165"/>
      <c r="X8" s="1907"/>
      <c r="Y8" s="166"/>
      <c r="Z8" s="167"/>
      <c r="AA8" s="160"/>
      <c r="AB8" s="160"/>
      <c r="AC8" s="1910"/>
      <c r="AD8" s="168"/>
      <c r="AE8" s="885">
        <f t="shared" ca="1" si="6"/>
        <v>0</v>
      </c>
      <c r="AF8" s="127"/>
      <c r="AG8" s="1052">
        <f t="shared" si="7"/>
        <v>0</v>
      </c>
      <c r="AH8" s="127"/>
      <c r="AI8" s="171"/>
      <c r="AJ8" s="127"/>
      <c r="AK8" s="172"/>
      <c r="AL8" s="173"/>
      <c r="AM8" s="2321"/>
      <c r="AN8" s="1123"/>
      <c r="AO8" s="2609"/>
      <c r="AP8" s="96">
        <f t="shared" si="8"/>
        <v>0</v>
      </c>
      <c r="AQ8" s="2609"/>
      <c r="AR8" s="2609"/>
      <c r="AS8" s="2609"/>
      <c r="AT8" s="2609"/>
      <c r="AU8" s="2609"/>
      <c r="AV8" s="2609"/>
      <c r="AW8" s="2609"/>
      <c r="AX8" s="2609"/>
      <c r="AY8" s="2609"/>
      <c r="AZ8" s="2609"/>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5" customFormat="1" ht="14.25">
      <c r="A9" s="1888">
        <f>'数据-汇总表'!C22</f>
        <v>0</v>
      </c>
      <c r="B9" s="1923" t="str">
        <f t="shared" si="2"/>
        <v/>
      </c>
      <c r="C9" s="157"/>
      <c r="D9" s="1894">
        <f>SUMIF(项目基本情况!C$15:I$15,C9,项目基本情况!C$18:I$18)</f>
        <v>0</v>
      </c>
      <c r="E9" s="1895"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1"/>
      <c r="M9" s="161">
        <f t="shared" si="1"/>
        <v>0</v>
      </c>
      <c r="N9" s="2312"/>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6" t="str">
        <f t="shared" si="5"/>
        <v>0</v>
      </c>
      <c r="U9" s="164"/>
      <c r="V9" s="165"/>
      <c r="W9" s="165"/>
      <c r="X9" s="1907"/>
      <c r="Y9" s="166"/>
      <c r="Z9" s="167"/>
      <c r="AA9" s="160"/>
      <c r="AB9" s="160"/>
      <c r="AC9" s="1910"/>
      <c r="AD9" s="168"/>
      <c r="AE9" s="885">
        <f t="shared" ca="1" si="6"/>
        <v>0</v>
      </c>
      <c r="AF9" s="127"/>
      <c r="AG9" s="1052">
        <f t="shared" si="7"/>
        <v>0</v>
      </c>
      <c r="AH9" s="127"/>
      <c r="AI9" s="171"/>
      <c r="AJ9" s="127"/>
      <c r="AK9" s="172"/>
      <c r="AL9" s="173"/>
      <c r="AM9" s="2321"/>
      <c r="AN9" s="1123"/>
      <c r="AO9" s="2609"/>
      <c r="AP9" s="96">
        <f t="shared" si="8"/>
        <v>0</v>
      </c>
      <c r="AQ9" s="2609"/>
      <c r="AR9" s="2609"/>
      <c r="AS9" s="2609"/>
      <c r="AT9" s="2609"/>
      <c r="AU9" s="2609"/>
      <c r="AV9" s="2609"/>
      <c r="AW9" s="2609"/>
      <c r="AX9" s="2609"/>
      <c r="AY9" s="2609"/>
      <c r="AZ9" s="2609"/>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5" customFormat="1" ht="14.25">
      <c r="A10" s="1888">
        <f>'数据-汇总表'!C23</f>
        <v>0</v>
      </c>
      <c r="B10" s="1923" t="str">
        <f t="shared" si="2"/>
        <v/>
      </c>
      <c r="C10" s="157"/>
      <c r="D10" s="1894">
        <f>SUMIF(项目基本情况!C$15:I$15,C10,项目基本情况!C$18:I$18)</f>
        <v>0</v>
      </c>
      <c r="E10" s="1895"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1"/>
      <c r="M10" s="161">
        <f t="shared" si="1"/>
        <v>0</v>
      </c>
      <c r="N10" s="2312"/>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6" t="str">
        <f t="shared" si="5"/>
        <v>0</v>
      </c>
      <c r="U10" s="164"/>
      <c r="V10" s="165"/>
      <c r="W10" s="165"/>
      <c r="X10" s="1907"/>
      <c r="Y10" s="166"/>
      <c r="Z10" s="167"/>
      <c r="AA10" s="160"/>
      <c r="AB10" s="160"/>
      <c r="AC10" s="1910"/>
      <c r="AD10" s="168"/>
      <c r="AE10" s="885">
        <f t="shared" ca="1" si="6"/>
        <v>0</v>
      </c>
      <c r="AF10" s="127"/>
      <c r="AG10" s="1052">
        <f t="shared" si="7"/>
        <v>0</v>
      </c>
      <c r="AH10" s="127"/>
      <c r="AI10" s="171"/>
      <c r="AJ10" s="127"/>
      <c r="AK10" s="172"/>
      <c r="AL10" s="173"/>
      <c r="AM10" s="2321"/>
      <c r="AN10" s="1123"/>
      <c r="AO10" s="2609"/>
      <c r="AP10" s="96">
        <f t="shared" si="8"/>
        <v>0</v>
      </c>
      <c r="AQ10" s="2609"/>
      <c r="AR10" s="2609"/>
      <c r="AS10" s="2609"/>
      <c r="AT10" s="2609"/>
      <c r="AU10" s="2609"/>
      <c r="AV10" s="2609"/>
      <c r="AW10" s="2609"/>
      <c r="AX10" s="2609"/>
      <c r="AY10" s="2609"/>
      <c r="AZ10" s="2609"/>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5" customFormat="1" ht="14.25">
      <c r="A11" s="1888">
        <f>'数据-汇总表'!C24</f>
        <v>0</v>
      </c>
      <c r="B11" s="1923" t="str">
        <f t="shared" si="2"/>
        <v/>
      </c>
      <c r="C11" s="157"/>
      <c r="D11" s="1894">
        <f>SUMIF(项目基本情况!C$15:I$15,C11,项目基本情况!C$18:I$18)</f>
        <v>0</v>
      </c>
      <c r="E11" s="1895"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6" t="str">
        <f t="shared" si="5"/>
        <v>0</v>
      </c>
      <c r="U11" s="169"/>
      <c r="V11" s="165"/>
      <c r="W11" s="160"/>
      <c r="X11" s="1910"/>
      <c r="Y11" s="166"/>
      <c r="Z11" s="178"/>
      <c r="AA11" s="160"/>
      <c r="AB11" s="160"/>
      <c r="AC11" s="1910"/>
      <c r="AD11" s="168"/>
      <c r="AE11" s="885">
        <f t="shared" ca="1" si="6"/>
        <v>0</v>
      </c>
      <c r="AF11" s="127"/>
      <c r="AG11" s="1052">
        <f t="shared" si="7"/>
        <v>0</v>
      </c>
      <c r="AH11" s="127"/>
      <c r="AI11" s="171"/>
      <c r="AJ11" s="127"/>
      <c r="AK11" s="172"/>
      <c r="AL11" s="173"/>
      <c r="AM11" s="2321"/>
      <c r="AN11" s="1123"/>
      <c r="AO11" s="2609"/>
      <c r="AP11" s="96">
        <f t="shared" si="8"/>
        <v>0</v>
      </c>
      <c r="AQ11" s="2609"/>
      <c r="AR11" s="2609"/>
      <c r="AS11" s="2609"/>
      <c r="AT11" s="2609"/>
      <c r="AU11" s="2609"/>
      <c r="AV11" s="2609"/>
      <c r="AW11" s="2609"/>
      <c r="AX11" s="2609"/>
      <c r="AY11" s="2609"/>
      <c r="AZ11" s="2609"/>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5" customFormat="1" ht="14.25">
      <c r="A12" s="1888">
        <f>'数据-汇总表'!C25</f>
        <v>0</v>
      </c>
      <c r="B12" s="1923" t="str">
        <f t="shared" si="2"/>
        <v/>
      </c>
      <c r="C12" s="157"/>
      <c r="D12" s="1894">
        <f>SUMIF(项目基本情况!C$15:I$15,C12,项目基本情况!C$18:I$18)</f>
        <v>0</v>
      </c>
      <c r="E12" s="1895"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6" t="str">
        <f t="shared" si="5"/>
        <v>0</v>
      </c>
      <c r="U12" s="169"/>
      <c r="V12" s="165"/>
      <c r="W12" s="160"/>
      <c r="X12" s="1910"/>
      <c r="Y12" s="166"/>
      <c r="Z12" s="178"/>
      <c r="AA12" s="160"/>
      <c r="AB12" s="160"/>
      <c r="AC12" s="1910"/>
      <c r="AD12" s="168"/>
      <c r="AE12" s="885">
        <f t="shared" ca="1" si="6"/>
        <v>0</v>
      </c>
      <c r="AF12" s="127"/>
      <c r="AG12" s="1052">
        <f t="shared" si="7"/>
        <v>0</v>
      </c>
      <c r="AH12" s="127"/>
      <c r="AI12" s="171"/>
      <c r="AJ12" s="127"/>
      <c r="AK12" s="172"/>
      <c r="AL12" s="173"/>
      <c r="AM12" s="2321"/>
      <c r="AN12" s="1123"/>
      <c r="AO12" s="2609"/>
      <c r="AP12" s="96">
        <f t="shared" si="8"/>
        <v>0</v>
      </c>
      <c r="AQ12" s="2609"/>
      <c r="AR12" s="2609"/>
      <c r="AS12" s="2609"/>
      <c r="AT12" s="2609"/>
      <c r="AU12" s="2609"/>
      <c r="AV12" s="2609"/>
      <c r="AW12" s="2609"/>
      <c r="AX12" s="2609"/>
      <c r="AY12" s="2609"/>
      <c r="AZ12" s="2609"/>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5" customFormat="1" ht="14.25">
      <c r="A13" s="1888">
        <f>'数据-汇总表'!C26</f>
        <v>0</v>
      </c>
      <c r="B13" s="1923" t="str">
        <f t="shared" si="2"/>
        <v/>
      </c>
      <c r="C13" s="157"/>
      <c r="D13" s="1894">
        <f>SUMIF(项目基本情况!C$15:I$15,C13,项目基本情况!C$18:I$18)</f>
        <v>0</v>
      </c>
      <c r="E13" s="1895"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6" t="str">
        <f t="shared" si="5"/>
        <v>0</v>
      </c>
      <c r="U13" s="164"/>
      <c r="V13" s="165"/>
      <c r="W13" s="165"/>
      <c r="X13" s="1907"/>
      <c r="Y13" s="166"/>
      <c r="Z13" s="167"/>
      <c r="AA13" s="160"/>
      <c r="AB13" s="160"/>
      <c r="AC13" s="1910"/>
      <c r="AD13" s="168"/>
      <c r="AE13" s="885">
        <f t="shared" ca="1" si="6"/>
        <v>0</v>
      </c>
      <c r="AF13" s="127"/>
      <c r="AG13" s="1052">
        <f t="shared" si="7"/>
        <v>0</v>
      </c>
      <c r="AH13" s="127"/>
      <c r="AI13" s="171"/>
      <c r="AJ13" s="127"/>
      <c r="AK13" s="172"/>
      <c r="AL13" s="173"/>
      <c r="AM13" s="1948"/>
      <c r="AN13" s="1123"/>
      <c r="AO13" s="2609"/>
      <c r="AP13" s="96">
        <f t="shared" si="8"/>
        <v>0</v>
      </c>
      <c r="AQ13" s="2609"/>
      <c r="AR13" s="2609"/>
      <c r="AS13" s="2609"/>
      <c r="AT13" s="2609"/>
      <c r="AU13" s="2609"/>
      <c r="AV13" s="2609"/>
      <c r="AW13" s="2609"/>
      <c r="AX13" s="2609"/>
      <c r="AY13" s="2609"/>
      <c r="AZ13" s="2609"/>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5" customFormat="1" ht="14.25">
      <c r="A14" s="1889" t="s">
        <v>1669</v>
      </c>
      <c r="B14" s="1892" t="s">
        <v>1213</v>
      </c>
      <c r="C14" s="1893" t="s">
        <v>1669</v>
      </c>
      <c r="D14" s="1894"/>
      <c r="E14" s="1895"/>
      <c r="F14" s="158"/>
      <c r="G14" s="159"/>
      <c r="H14" s="1896"/>
      <c r="I14" s="1896"/>
      <c r="J14" s="1896"/>
      <c r="K14" s="163">
        <f>SUMIF('数据-汇总表'!C$19:C$33,'数据-取费表'!A14,'数据-汇总表'!E$19:E$33)</f>
        <v>0</v>
      </c>
      <c r="L14" s="176"/>
      <c r="M14" s="161">
        <f t="shared" si="1"/>
        <v>0</v>
      </c>
      <c r="N14" s="177"/>
      <c r="O14" s="161">
        <f t="shared" si="3"/>
        <v>0</v>
      </c>
      <c r="P14" s="162">
        <f t="shared" si="4"/>
        <v>0</v>
      </c>
      <c r="Q14" s="1904"/>
      <c r="R14" s="163"/>
      <c r="S14" s="122"/>
      <c r="T14" s="1903"/>
      <c r="U14" s="887"/>
      <c r="V14" s="1906"/>
      <c r="W14" s="1906"/>
      <c r="X14" s="1907"/>
      <c r="Y14" s="1908"/>
      <c r="Z14" s="125"/>
      <c r="AA14" s="1909"/>
      <c r="AB14" s="1909"/>
      <c r="AC14" s="1910"/>
      <c r="AD14" s="1907"/>
      <c r="AE14" s="885"/>
      <c r="AF14" s="995"/>
      <c r="AG14" s="1052"/>
      <c r="AH14" s="995"/>
      <c r="AI14" s="995"/>
      <c r="AJ14" s="995"/>
      <c r="AK14" s="1911"/>
      <c r="AL14" s="1912"/>
      <c r="AM14" s="1913"/>
      <c r="AN14" s="2609"/>
      <c r="AO14" s="2609"/>
      <c r="AP14" s="2609"/>
      <c r="AQ14" s="2609"/>
      <c r="AR14" s="2609"/>
      <c r="AS14" s="2609"/>
      <c r="AT14" s="2609"/>
      <c r="AU14" s="2609"/>
      <c r="AV14" s="2609"/>
      <c r="AW14" s="2609"/>
      <c r="AX14" s="2609"/>
      <c r="AY14" s="2609"/>
      <c r="AZ14" s="2609"/>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5" customFormat="1" ht="27">
      <c r="A15" s="1898" t="s">
        <v>1671</v>
      </c>
      <c r="B15" s="1892" t="s">
        <v>1213</v>
      </c>
      <c r="C15" s="1893" t="s">
        <v>1670</v>
      </c>
      <c r="D15" s="1894"/>
      <c r="E15" s="1895"/>
      <c r="F15" s="158"/>
      <c r="G15" s="159"/>
      <c r="H15" s="1896"/>
      <c r="I15" s="1896"/>
      <c r="J15" s="1896"/>
      <c r="K15" s="163">
        <f>SUMIF('数据-汇总表'!C$19:C$33,'数据-取费表'!A15,'数据-汇总表'!E$19:E$33)</f>
        <v>0</v>
      </c>
      <c r="L15" s="1902"/>
      <c r="M15" s="161"/>
      <c r="N15" s="1905"/>
      <c r="O15" s="161"/>
      <c r="P15" s="162"/>
      <c r="Q15" s="1904"/>
      <c r="R15" s="163"/>
      <c r="S15" s="122"/>
      <c r="T15" s="1903"/>
      <c r="U15" s="887"/>
      <c r="V15" s="1906"/>
      <c r="W15" s="1906"/>
      <c r="X15" s="1907"/>
      <c r="Y15" s="1908"/>
      <c r="Z15" s="125"/>
      <c r="AA15" s="1909"/>
      <c r="AB15" s="1909"/>
      <c r="AC15" s="1910"/>
      <c r="AD15" s="1907"/>
      <c r="AE15" s="885"/>
      <c r="AF15" s="995"/>
      <c r="AG15" s="1052"/>
      <c r="AH15" s="995"/>
      <c r="AI15" s="995"/>
      <c r="AJ15" s="995"/>
      <c r="AK15" s="1911"/>
      <c r="AL15" s="1912"/>
      <c r="AM15" s="1913"/>
      <c r="AN15" s="2609"/>
      <c r="AO15" s="2609"/>
      <c r="AP15" s="2609"/>
      <c r="AQ15" s="2609"/>
      <c r="AR15" s="2609"/>
      <c r="AS15" s="2609"/>
      <c r="AT15" s="2609"/>
      <c r="AU15" s="2609"/>
      <c r="AV15" s="2609"/>
      <c r="AW15" s="2609"/>
      <c r="AX15" s="2609"/>
      <c r="AY15" s="2609"/>
      <c r="AZ15" s="2609"/>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s="1045" customFormat="1" ht="15.75" thickBot="1">
      <c r="A16" s="179" t="s">
        <v>228</v>
      </c>
      <c r="B16" s="180"/>
      <c r="C16" s="181"/>
      <c r="D16" s="182"/>
      <c r="E16" s="180"/>
      <c r="F16" s="180"/>
      <c r="G16" s="183">
        <f>ROUND(SUMPRODUCT(G6:G13,K6:K13)/SUMPRODUCT((G6:G13&gt;0)*(K6:K13)),3)</f>
        <v>1</v>
      </c>
      <c r="H16" s="184">
        <f>ROUND(SUMPRODUCT(H6:H13,K6:K13)/SUMPRODUCT((H6:H13&gt;0)*(K6:K13)),3)</f>
        <v>50</v>
      </c>
      <c r="I16" s="185"/>
      <c r="J16" s="185"/>
      <c r="K16" s="186">
        <f>SUM(K6:K15)</f>
        <v>5006.88</v>
      </c>
      <c r="L16" s="187">
        <f>ROUND(M16*10000/SUM(K6:K14),0)</f>
        <v>0</v>
      </c>
      <c r="M16" s="187">
        <f>SUM(M6:M14)</f>
        <v>0</v>
      </c>
      <c r="N16" s="188" t="e">
        <f>ROUND(SUMPRODUCT(M6:M14,N6:N14)/M16,3)</f>
        <v>#DIV/0!</v>
      </c>
      <c r="O16" s="187">
        <f>SUM(O6:O14)</f>
        <v>0</v>
      </c>
      <c r="P16" s="187">
        <f>SUM(P6:P14)</f>
        <v>0</v>
      </c>
      <c r="Q16" s="189" t="e">
        <f>ROUND(SUMPRODUCT(Q6:Q13,K6:K13)/SUMPRODUCT((Q6:Q13&gt;0)*(K6:K13)),2)</f>
        <v>#DIV/0!</v>
      </c>
      <c r="R16" s="1897">
        <f>SUM(R6:R13)</f>
        <v>17556.580000000002</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1</v>
      </c>
      <c r="AQ16" s="2609"/>
      <c r="AR16" s="2609"/>
      <c r="AS16" s="2609"/>
      <c r="AT16" s="2609"/>
      <c r="AU16" s="2609"/>
      <c r="AV16" s="2609"/>
      <c r="AW16" s="2609"/>
      <c r="AX16" s="2609"/>
      <c r="AY16" s="2609"/>
      <c r="AZ16" s="2609"/>
      <c r="BA16" s="1633"/>
      <c r="BB16" s="1633"/>
      <c r="BC16" s="1633"/>
      <c r="BD16" s="1633"/>
      <c r="BE16" s="1633"/>
      <c r="BF16" s="1633"/>
      <c r="BG16" s="1633"/>
      <c r="BH16" s="1633"/>
      <c r="BI16" s="1633"/>
      <c r="BJ16" s="1633"/>
      <c r="BK16" s="1633"/>
      <c r="BL16" s="1633"/>
      <c r="BM16" s="1633"/>
      <c r="BN16" s="1633"/>
      <c r="BO16" s="1633"/>
      <c r="BP16" s="1633"/>
      <c r="BQ16" s="1633"/>
      <c r="BR16" s="1633"/>
      <c r="BS16" s="1633"/>
      <c r="BT16" s="1633"/>
      <c r="BU16" s="1633"/>
      <c r="BV16" s="1633"/>
      <c r="BW16" s="1633"/>
      <c r="BX16" s="1633"/>
      <c r="BY16" s="1633"/>
      <c r="BZ16" s="1633"/>
      <c r="CA16" s="1633"/>
      <c r="CB16" s="1633"/>
      <c r="CC16" s="1633"/>
      <c r="CD16" s="1633"/>
      <c r="CE16" s="1633"/>
    </row>
    <row r="17" spans="1:52" ht="13.5" thickBot="1">
      <c r="A17" s="1053"/>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8" t="s">
        <v>230</v>
      </c>
      <c r="B19" s="199">
        <v>2</v>
      </c>
      <c r="C19" s="2628" t="s">
        <v>2270</v>
      </c>
      <c r="D19" s="2618"/>
      <c r="E19" s="2609"/>
      <c r="F19" s="2609"/>
      <c r="G19" s="2609"/>
      <c r="H19" s="2609"/>
      <c r="I19" s="2609"/>
      <c r="J19" s="2609"/>
      <c r="K19" s="2617"/>
      <c r="L19" s="2617"/>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200" t="s">
        <v>231</v>
      </c>
      <c r="B20" s="201"/>
      <c r="C20" s="2628" t="s">
        <v>1689</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25">
      <c r="A21" s="202" t="s">
        <v>232</v>
      </c>
      <c r="B21" s="201"/>
      <c r="C21" s="2609"/>
      <c r="D21" s="2618"/>
      <c r="E21" s="2609"/>
      <c r="F21" s="2609"/>
      <c r="G21" s="2609"/>
      <c r="H21" s="2609"/>
      <c r="I21" s="2609"/>
      <c r="J21" s="2609"/>
      <c r="K21" s="2617"/>
      <c r="L21" s="2617"/>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25">
      <c r="A22" s="200" t="s">
        <v>233</v>
      </c>
      <c r="B22" s="203">
        <f>B19+B20</f>
        <v>2</v>
      </c>
      <c r="C22" s="2609"/>
      <c r="D22" s="2618"/>
      <c r="E22" s="2609"/>
      <c r="F22" s="2609"/>
      <c r="G22" s="2609"/>
      <c r="H22" s="2609"/>
      <c r="I22" s="2609"/>
      <c r="J22" s="2609"/>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2" t="s">
        <v>234</v>
      </c>
      <c r="B23" s="203">
        <f>B19+B21</f>
        <v>2</v>
      </c>
      <c r="C23" s="2609"/>
      <c r="D23" s="2618"/>
      <c r="E23" s="2609"/>
      <c r="F23" s="2609"/>
      <c r="G23" s="2609"/>
      <c r="H23" s="2609"/>
      <c r="I23" s="2609"/>
      <c r="J23" s="2609"/>
      <c r="K23" s="2617"/>
      <c r="L23" s="2617"/>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0</v>
      </c>
      <c r="C24" s="2609"/>
      <c r="D24" s="2618"/>
      <c r="E24" s="2609"/>
      <c r="F24" s="2609"/>
      <c r="G24" s="2609"/>
      <c r="H24" s="2609"/>
      <c r="I24" s="2609"/>
      <c r="J24" s="2609"/>
      <c r="K24" s="2617"/>
      <c r="L24" s="2617"/>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6"/>
      <c r="B25" s="96"/>
      <c r="C25" s="2609"/>
      <c r="D25" s="2618"/>
      <c r="E25" s="2609"/>
      <c r="F25" s="2609"/>
      <c r="G25" s="2609"/>
      <c r="H25" s="2609"/>
      <c r="I25" s="2609"/>
      <c r="J25" s="2609"/>
      <c r="K25" s="2617"/>
      <c r="L25" s="2617"/>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c r="K26" s="2617"/>
      <c r="L26" s="2617"/>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7" t="s">
        <v>1691</v>
      </c>
      <c r="B27" s="208"/>
      <c r="C27" s="2629" t="s">
        <v>2271</v>
      </c>
      <c r="D27" s="2621"/>
      <c r="E27" s="2622"/>
      <c r="F27" s="2622"/>
      <c r="G27" s="2609"/>
      <c r="H27" s="2609"/>
      <c r="I27" s="2609"/>
      <c r="J27" s="2609"/>
      <c r="K27" s="2617"/>
      <c r="L27" s="2617"/>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9" t="s">
        <v>1692</v>
      </c>
      <c r="B28" s="210"/>
      <c r="C28" s="2623"/>
      <c r="D28" s="2621"/>
      <c r="E28" s="2622"/>
      <c r="F28" s="2622"/>
      <c r="G28" s="2609"/>
      <c r="H28" s="2609"/>
      <c r="I28" s="2609"/>
      <c r="J28" s="2609"/>
      <c r="K28" s="2617"/>
      <c r="L28" s="2617"/>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2" t="s">
        <v>1690</v>
      </c>
      <c r="B29" s="213"/>
      <c r="C29" s="2630" t="s">
        <v>1693</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6" t="s">
        <v>239</v>
      </c>
      <c r="B30" s="891"/>
      <c r="C30" s="2623"/>
      <c r="D30" s="2621"/>
      <c r="E30" s="2622"/>
      <c r="F30" s="2622"/>
      <c r="G30" s="2609"/>
      <c r="H30" s="2609"/>
      <c r="I30" s="2609"/>
      <c r="J30" s="2609"/>
      <c r="K30" s="2617"/>
      <c r="L30" s="2617"/>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9" t="s">
        <v>240</v>
      </c>
      <c r="B31" s="211">
        <f>B30-B32</f>
        <v>0</v>
      </c>
      <c r="C31" s="2620"/>
      <c r="D31" s="2621"/>
      <c r="E31" s="2622"/>
      <c r="F31" s="2622"/>
      <c r="G31" s="2609"/>
      <c r="H31" s="2609"/>
      <c r="I31" s="2609"/>
      <c r="J31" s="2609"/>
      <c r="K31" s="2617"/>
      <c r="L31" s="2617"/>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8" t="s">
        <v>241</v>
      </c>
      <c r="B32" s="1167"/>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7" t="s">
        <v>244</v>
      </c>
      <c r="B33" s="1168"/>
      <c r="C33" s="2631" t="s">
        <v>2259</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9" t="s">
        <v>245</v>
      </c>
      <c r="B34" s="214"/>
      <c r="C34" s="2631" t="s">
        <v>2260</v>
      </c>
      <c r="D34" s="2632" t="s">
        <v>2267</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9" t="s">
        <v>242</v>
      </c>
      <c r="B35" s="210"/>
      <c r="C35" s="2631" t="s">
        <v>2261</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c r="C36" s="2631" t="s">
        <v>2262</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6" t="s">
        <v>246</v>
      </c>
      <c r="B37" s="217"/>
      <c r="C37" s="2631" t="s">
        <v>2263</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9" t="s">
        <v>247</v>
      </c>
      <c r="B38" s="214"/>
      <c r="C38" s="2631" t="s">
        <v>2263</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2" t="s">
        <v>1798</v>
      </c>
      <c r="B39" s="733">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8" t="s">
        <v>3798</v>
      </c>
      <c r="B40" s="1990">
        <f ca="1">IF(A40="利息：取LPR",存贷款利率!E2,存贷款利率!E2+C40)</f>
        <v>4.7500000000000001E-2</v>
      </c>
      <c r="C40" s="2779">
        <v>1.2999999999999999E-2</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7" t="s">
        <v>248</v>
      </c>
      <c r="B41" s="219">
        <f>B42+B43</f>
        <v>0</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2" t="s">
        <v>249</v>
      </c>
      <c r="B42" s="221"/>
      <c r="C42" s="2633">
        <f>IF(B2&lt;DATE(2016,5,1),0,B42)</f>
        <v>0</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2" t="s">
        <v>250</v>
      </c>
      <c r="B43" s="222">
        <f>B42*(B44+B45+B46)+B47</f>
        <v>0</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20" t="s">
        <v>251</v>
      </c>
      <c r="B44" s="223"/>
      <c r="C44" s="2631" t="s">
        <v>2268</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20" t="s">
        <v>252</v>
      </c>
      <c r="B45" s="221"/>
      <c r="C45" s="2634" t="s">
        <v>2264</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20" t="s">
        <v>253</v>
      </c>
      <c r="B46" s="221"/>
      <c r="C46" s="2634" t="s">
        <v>2265</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c r="C47" s="2629" t="s">
        <v>2272</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6" t="s">
        <v>255</v>
      </c>
      <c r="B48" s="227"/>
      <c r="C48" s="2634" t="s">
        <v>2264</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c r="C49" s="2634" t="s">
        <v>2266</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8" t="s">
        <v>259</v>
      </c>
      <c r="B52" s="231">
        <f>SUMIF(A54:A63,B53,B54:B63)</f>
        <v>0</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9" t="s">
        <v>260</v>
      </c>
      <c r="B53" s="232"/>
      <c r="C53" s="2625" t="s">
        <v>2161</v>
      </c>
      <c r="D53" s="2635" t="s">
        <v>2269</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2162</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2163</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2164</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2165</v>
      </c>
      <c r="B57" s="170"/>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2166</v>
      </c>
      <c r="B58" s="170"/>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2167</v>
      </c>
      <c r="B59" s="170"/>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2168</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2169</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25">
      <c r="A62" s="2341" t="s">
        <v>2170</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2171</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0"/>
      <c r="K64" s="53"/>
      <c r="L64" s="53"/>
    </row>
    <row r="65" spans="1:12" s="237" customFormat="1">
      <c r="A65" s="234"/>
      <c r="D65" s="1640"/>
      <c r="K65" s="53"/>
      <c r="L65" s="53"/>
    </row>
    <row r="66" spans="1:12" s="237" customFormat="1">
      <c r="A66" s="234"/>
      <c r="D66" s="1640"/>
      <c r="K66" s="53"/>
      <c r="L66" s="53"/>
    </row>
    <row r="67" spans="1:12" s="237" customFormat="1">
      <c r="A67" s="234"/>
      <c r="D67" s="1640"/>
      <c r="K67" s="53"/>
      <c r="L67" s="53"/>
    </row>
    <row r="68" spans="1:12" s="237" customFormat="1">
      <c r="A68" s="234"/>
      <c r="D68" s="1640"/>
      <c r="K68" s="53"/>
      <c r="L68" s="53"/>
    </row>
    <row r="69" spans="1:12" s="237" customFormat="1">
      <c r="A69" s="234"/>
      <c r="D69" s="1640"/>
      <c r="K69" s="53"/>
      <c r="L69" s="53"/>
    </row>
    <row r="70" spans="1:12" s="237" customFormat="1">
      <c r="A70" s="234"/>
      <c r="D70" s="1640"/>
      <c r="K70" s="53"/>
      <c r="L70" s="53"/>
    </row>
    <row r="71" spans="1:12" s="237" customFormat="1">
      <c r="A71" s="234"/>
      <c r="D71" s="1640"/>
      <c r="K71" s="53"/>
      <c r="L71" s="53"/>
    </row>
    <row r="72" spans="1:12" s="237" customFormat="1">
      <c r="A72" s="234"/>
      <c r="D72" s="1640"/>
      <c r="K72" s="53"/>
      <c r="L72" s="53"/>
    </row>
    <row r="73" spans="1:12" s="237" customFormat="1">
      <c r="A73" s="234"/>
      <c r="D73" s="1640"/>
      <c r="K73" s="53"/>
      <c r="L73" s="53"/>
    </row>
    <row r="74" spans="1:12" s="237" customFormat="1">
      <c r="A74" s="234"/>
      <c r="D74" s="1640"/>
      <c r="K74" s="53"/>
      <c r="L74" s="53"/>
    </row>
    <row r="75" spans="1:12" s="237" customFormat="1">
      <c r="A75" s="234"/>
      <c r="D75" s="1640"/>
      <c r="K75" s="53"/>
      <c r="L75" s="53"/>
    </row>
    <row r="76" spans="1:12" s="237" customFormat="1">
      <c r="A76" s="234"/>
      <c r="D76" s="1640"/>
      <c r="K76" s="53"/>
      <c r="L76" s="53"/>
    </row>
    <row r="77" spans="1:12" s="237" customFormat="1">
      <c r="A77" s="234"/>
      <c r="D77" s="1640"/>
      <c r="K77" s="53"/>
      <c r="L77" s="53"/>
    </row>
    <row r="78" spans="1:12" s="237" customFormat="1">
      <c r="A78" s="234"/>
      <c r="D78" s="1640"/>
      <c r="K78" s="53"/>
      <c r="L78" s="53"/>
    </row>
    <row r="79" spans="1:12" s="237" customFormat="1">
      <c r="A79" s="234"/>
      <c r="D79" s="1640"/>
      <c r="K79" s="53"/>
      <c r="L79" s="53"/>
    </row>
    <row r="80" spans="1:12" s="237" customFormat="1">
      <c r="A80" s="234"/>
      <c r="D80" s="1640"/>
      <c r="K80" s="53"/>
      <c r="L80" s="53"/>
    </row>
    <row r="81" spans="1:12" s="237" customFormat="1">
      <c r="A81" s="234"/>
      <c r="D81" s="1640"/>
      <c r="K81" s="53"/>
      <c r="L81" s="53"/>
    </row>
    <row r="82" spans="1:12" s="237" customFormat="1">
      <c r="A82" s="234"/>
      <c r="D82" s="1640"/>
      <c r="K82" s="53"/>
      <c r="L82" s="53"/>
    </row>
    <row r="83" spans="1:12" s="237" customFormat="1">
      <c r="A83" s="234"/>
      <c r="D83" s="1640"/>
      <c r="K83" s="53"/>
      <c r="L83" s="53"/>
    </row>
    <row r="84" spans="1:12" s="237" customFormat="1">
      <c r="A84" s="234"/>
      <c r="D84" s="1640"/>
      <c r="K84" s="53"/>
      <c r="L84" s="53"/>
    </row>
    <row r="85" spans="1:12" s="237" customFormat="1">
      <c r="A85" s="234"/>
      <c r="D85" s="1640"/>
      <c r="K85" s="53"/>
      <c r="L85" s="53"/>
    </row>
    <row r="86" spans="1:12" s="237" customFormat="1">
      <c r="A86" s="234"/>
      <c r="D86" s="1640"/>
      <c r="K86" s="53"/>
      <c r="L86" s="53"/>
    </row>
    <row r="87" spans="1:12" s="237" customFormat="1">
      <c r="A87" s="234"/>
      <c r="D87" s="1640"/>
      <c r="K87" s="53"/>
      <c r="L87" s="53"/>
    </row>
    <row r="88" spans="1:12" s="237" customFormat="1">
      <c r="A88" s="234"/>
      <c r="D88" s="1640"/>
      <c r="K88" s="53"/>
      <c r="L88" s="53"/>
    </row>
    <row r="89" spans="1:12" s="237" customFormat="1">
      <c r="A89" s="234"/>
      <c r="D89" s="1640"/>
      <c r="K89" s="53"/>
      <c r="L89" s="53"/>
    </row>
    <row r="90" spans="1:12" s="237" customFormat="1">
      <c r="A90" s="234"/>
      <c r="D90" s="1640"/>
      <c r="K90" s="53"/>
      <c r="L90" s="53"/>
    </row>
    <row r="91" spans="1:12" s="237" customFormat="1">
      <c r="A91" s="234"/>
      <c r="D91" s="1640"/>
      <c r="K91" s="53"/>
      <c r="L91" s="53"/>
    </row>
    <row r="92" spans="1:12" s="237" customFormat="1">
      <c r="A92" s="234"/>
      <c r="D92" s="1640"/>
      <c r="K92" s="53"/>
      <c r="L92" s="53"/>
    </row>
    <row r="93" spans="1:12" s="237" customFormat="1">
      <c r="A93" s="234"/>
      <c r="D93" s="1640"/>
      <c r="K93" s="53"/>
      <c r="L93" s="53"/>
    </row>
    <row r="94" spans="1:12" s="237" customFormat="1">
      <c r="A94" s="234"/>
      <c r="D94" s="1640"/>
      <c r="K94" s="53"/>
      <c r="L94" s="53"/>
    </row>
    <row r="95" spans="1:12" s="237" customFormat="1">
      <c r="A95" s="234"/>
      <c r="D95" s="1640"/>
      <c r="K95" s="53"/>
      <c r="L95" s="53"/>
    </row>
    <row r="96" spans="1:12" s="237" customFormat="1">
      <c r="A96" s="234"/>
      <c r="D96" s="1640"/>
      <c r="K96" s="53"/>
      <c r="L96" s="53"/>
    </row>
    <row r="97" spans="1:12" s="237" customFormat="1">
      <c r="A97" s="234"/>
      <c r="D97" s="1640"/>
      <c r="K97" s="53"/>
      <c r="L97" s="53"/>
    </row>
    <row r="98" spans="1:12" s="237" customFormat="1">
      <c r="A98" s="234"/>
      <c r="D98" s="1640"/>
      <c r="K98" s="53"/>
      <c r="L98" s="53"/>
    </row>
    <row r="99" spans="1:12" s="237" customFormat="1">
      <c r="A99" s="234"/>
      <c r="D99" s="1640"/>
      <c r="K99" s="53"/>
      <c r="L99" s="53"/>
    </row>
    <row r="100" spans="1:12" s="237" customFormat="1">
      <c r="A100" s="234"/>
      <c r="D100" s="1640"/>
      <c r="K100" s="53"/>
      <c r="L100" s="53"/>
    </row>
    <row r="101" spans="1:12" s="237" customFormat="1">
      <c r="A101" s="234"/>
      <c r="D101" s="1640"/>
      <c r="K101" s="53"/>
      <c r="L101" s="53"/>
    </row>
    <row r="102" spans="1:12" s="237" customFormat="1">
      <c r="A102" s="234"/>
      <c r="D102" s="1640"/>
      <c r="K102" s="53"/>
      <c r="L102" s="53"/>
    </row>
    <row r="103" spans="1:12" s="237" customFormat="1">
      <c r="A103" s="234"/>
      <c r="D103" s="1640"/>
      <c r="K103" s="53"/>
      <c r="L103" s="53"/>
    </row>
    <row r="104" spans="1:12" s="237" customFormat="1">
      <c r="A104" s="234"/>
      <c r="D104" s="1640"/>
      <c r="K104" s="53"/>
      <c r="L104" s="53"/>
    </row>
    <row r="105" spans="1:12" s="237" customFormat="1">
      <c r="A105" s="234"/>
      <c r="D105" s="1640"/>
      <c r="K105" s="53"/>
      <c r="L105" s="53"/>
    </row>
    <row r="106" spans="1:12" s="237" customFormat="1">
      <c r="A106" s="234"/>
      <c r="D106" s="1640"/>
      <c r="K106" s="53"/>
      <c r="L106" s="53"/>
    </row>
    <row r="107" spans="1:12" s="237" customFormat="1">
      <c r="A107" s="234"/>
      <c r="D107" s="1640"/>
      <c r="K107" s="53"/>
      <c r="L107" s="53"/>
    </row>
    <row r="108" spans="1:12" s="237" customFormat="1">
      <c r="A108" s="234"/>
      <c r="D108" s="1640"/>
      <c r="K108" s="53"/>
      <c r="L108" s="53"/>
    </row>
    <row r="109" spans="1:12" s="237" customFormat="1">
      <c r="A109" s="234"/>
      <c r="D109" s="1640"/>
      <c r="K109" s="53"/>
      <c r="L109" s="53"/>
    </row>
    <row r="110" spans="1:12" s="237" customFormat="1">
      <c r="A110" s="234"/>
      <c r="D110" s="1640"/>
      <c r="K110" s="53"/>
      <c r="L110" s="53"/>
    </row>
    <row r="111" spans="1:12" s="237" customFormat="1">
      <c r="A111" s="234"/>
      <c r="D111" s="1640"/>
      <c r="K111" s="53"/>
      <c r="L111" s="53"/>
    </row>
    <row r="112" spans="1:12" s="237" customFormat="1">
      <c r="A112" s="234"/>
      <c r="D112" s="1640"/>
      <c r="K112" s="53"/>
      <c r="L112" s="53"/>
    </row>
    <row r="113" spans="1:12" s="237" customFormat="1">
      <c r="A113" s="234"/>
      <c r="D113" s="1640"/>
      <c r="K113" s="53"/>
      <c r="L113" s="53"/>
    </row>
    <row r="114" spans="1:12" s="237" customFormat="1">
      <c r="A114" s="234"/>
      <c r="D114" s="1640"/>
      <c r="K114" s="53"/>
      <c r="L114" s="53"/>
    </row>
    <row r="115" spans="1:12" s="237" customFormat="1">
      <c r="A115" s="234"/>
      <c r="D115" s="1640"/>
      <c r="K115" s="53"/>
      <c r="L115" s="53"/>
    </row>
    <row r="116" spans="1:12" s="237" customFormat="1">
      <c r="A116" s="234"/>
      <c r="D116" s="1640"/>
      <c r="K116" s="53"/>
      <c r="L116" s="53"/>
    </row>
    <row r="117" spans="1:12" s="237" customFormat="1">
      <c r="A117" s="234"/>
      <c r="D117" s="1640"/>
      <c r="K117" s="53"/>
      <c r="L117" s="53"/>
    </row>
    <row r="118" spans="1:12" s="237" customFormat="1">
      <c r="A118" s="234"/>
      <c r="D118" s="1640"/>
      <c r="K118" s="53"/>
      <c r="L118" s="53"/>
    </row>
    <row r="119" spans="1:12" s="237" customFormat="1">
      <c r="A119" s="234"/>
      <c r="D119" s="1640"/>
      <c r="K119" s="53"/>
      <c r="L119" s="53"/>
    </row>
    <row r="120" spans="1:12" s="237" customFormat="1">
      <c r="A120" s="234"/>
      <c r="D120" s="1640"/>
      <c r="K120" s="53"/>
      <c r="L120" s="53"/>
    </row>
    <row r="121" spans="1:12" s="237" customFormat="1">
      <c r="A121" s="234"/>
      <c r="D121" s="1640"/>
      <c r="K121" s="53"/>
      <c r="L121" s="53"/>
    </row>
    <row r="122" spans="1:12" s="237" customFormat="1">
      <c r="A122" s="234"/>
      <c r="D122" s="1640"/>
      <c r="K122" s="53"/>
      <c r="L122" s="53"/>
    </row>
    <row r="123" spans="1:12" s="237" customFormat="1">
      <c r="A123" s="234"/>
      <c r="D123" s="1640"/>
      <c r="K123" s="53"/>
      <c r="L123" s="53"/>
    </row>
    <row r="124" spans="1:12" s="237" customFormat="1">
      <c r="A124" s="234"/>
      <c r="D124" s="1640"/>
      <c r="K124" s="53"/>
      <c r="L124" s="53"/>
    </row>
    <row r="125" spans="1:12" s="237" customFormat="1">
      <c r="A125" s="234"/>
      <c r="D125" s="1640"/>
      <c r="K125" s="53"/>
      <c r="L125" s="53"/>
    </row>
    <row r="126" spans="1:12" s="237" customFormat="1">
      <c r="A126" s="234"/>
      <c r="D126" s="1640"/>
      <c r="K126" s="53"/>
      <c r="L126" s="53"/>
    </row>
    <row r="127" spans="1:12" s="237" customFormat="1">
      <c r="A127" s="234"/>
      <c r="D127" s="1640"/>
      <c r="K127" s="53"/>
      <c r="L127" s="53"/>
    </row>
    <row r="128" spans="1:12" s="237" customFormat="1">
      <c r="A128" s="234"/>
      <c r="D128" s="1640"/>
      <c r="K128" s="53"/>
      <c r="L128" s="53"/>
    </row>
    <row r="129" spans="1:12" s="237" customFormat="1">
      <c r="A129" s="234"/>
      <c r="D129" s="1640"/>
      <c r="K129" s="53"/>
      <c r="L129" s="53"/>
    </row>
    <row r="130" spans="1:12" s="237" customFormat="1">
      <c r="A130" s="234"/>
      <c r="D130" s="1640"/>
      <c r="K130" s="53"/>
      <c r="L130" s="53"/>
    </row>
    <row r="131" spans="1:12" s="237" customFormat="1">
      <c r="A131" s="234"/>
      <c r="D131" s="1640"/>
      <c r="K131" s="53"/>
      <c r="L131" s="53"/>
    </row>
    <row r="132" spans="1:12" s="237" customFormat="1">
      <c r="A132" s="234"/>
      <c r="D132" s="1640"/>
      <c r="K132" s="53"/>
      <c r="L132" s="53"/>
    </row>
    <row r="133" spans="1:12" s="237" customFormat="1">
      <c r="A133" s="234"/>
      <c r="D133" s="1640"/>
      <c r="K133" s="53"/>
      <c r="L133" s="53"/>
    </row>
    <row r="134" spans="1:12" s="237" customFormat="1">
      <c r="A134" s="234"/>
      <c r="D134" s="1640"/>
      <c r="K134" s="53"/>
      <c r="L134" s="53"/>
    </row>
    <row r="135" spans="1:12" s="237" customFormat="1">
      <c r="A135" s="234"/>
      <c r="D135" s="1640"/>
      <c r="K135" s="53"/>
      <c r="L135" s="53"/>
    </row>
    <row r="136" spans="1:12" s="237" customFormat="1">
      <c r="A136" s="234"/>
      <c r="D136" s="1640"/>
      <c r="K136" s="53"/>
      <c r="L136" s="53"/>
    </row>
    <row r="137" spans="1:12" s="237" customFormat="1">
      <c r="A137" s="234"/>
      <c r="D137" s="1640"/>
      <c r="K137" s="53"/>
      <c r="L137" s="53"/>
    </row>
    <row r="138" spans="1:12" s="237" customFormat="1">
      <c r="A138" s="234"/>
      <c r="D138" s="1640"/>
      <c r="K138" s="53"/>
      <c r="L138" s="53"/>
    </row>
    <row r="139" spans="1:12" s="237" customFormat="1">
      <c r="A139" s="234"/>
      <c r="D139" s="1640"/>
      <c r="K139" s="53"/>
      <c r="L139" s="53"/>
    </row>
    <row r="140" spans="1:12" s="237" customFormat="1">
      <c r="A140" s="234"/>
      <c r="D140" s="1640"/>
      <c r="K140" s="53"/>
      <c r="L140" s="53"/>
    </row>
    <row r="141" spans="1:12" s="237" customFormat="1">
      <c r="A141" s="234"/>
      <c r="D141" s="1640"/>
      <c r="K141" s="53"/>
      <c r="L141" s="53"/>
    </row>
    <row r="142" spans="1:12" s="237" customFormat="1">
      <c r="A142" s="234"/>
      <c r="D142" s="1640"/>
      <c r="K142" s="53"/>
      <c r="L142" s="53"/>
    </row>
    <row r="143" spans="1:12" s="237" customFormat="1">
      <c r="A143" s="234"/>
      <c r="D143" s="1640"/>
      <c r="K143" s="53"/>
      <c r="L143" s="53"/>
    </row>
    <row r="144" spans="1:12" s="237" customFormat="1">
      <c r="A144" s="234"/>
      <c r="D144" s="1640"/>
      <c r="K144" s="53"/>
      <c r="L144" s="53"/>
    </row>
    <row r="145" spans="1:12" s="237" customFormat="1">
      <c r="A145" s="234"/>
      <c r="D145" s="1640"/>
      <c r="K145" s="53"/>
      <c r="L145" s="53"/>
    </row>
    <row r="146" spans="1:12" s="237" customFormat="1">
      <c r="A146" s="234"/>
      <c r="D146" s="1640"/>
      <c r="K146" s="53"/>
      <c r="L146" s="53"/>
    </row>
    <row r="147" spans="1:12" s="237" customFormat="1">
      <c r="A147" s="234"/>
      <c r="D147" s="1640"/>
      <c r="K147" s="53"/>
      <c r="L147" s="53"/>
    </row>
    <row r="148" spans="1:12" s="237" customFormat="1">
      <c r="A148" s="234"/>
      <c r="D148" s="1640"/>
      <c r="K148" s="53"/>
      <c r="L148" s="53"/>
    </row>
    <row r="149" spans="1:12" s="237" customFormat="1">
      <c r="A149" s="234"/>
      <c r="D149" s="1640"/>
      <c r="K149" s="53"/>
      <c r="L149" s="53"/>
    </row>
    <row r="150" spans="1:12" s="237" customFormat="1">
      <c r="A150" s="234"/>
      <c r="D150" s="1640"/>
      <c r="K150" s="53"/>
      <c r="L150" s="53"/>
    </row>
    <row r="151" spans="1:12" s="237" customFormat="1">
      <c r="A151" s="234"/>
      <c r="D151" s="1640"/>
      <c r="K151" s="53"/>
      <c r="L151" s="53"/>
    </row>
    <row r="152" spans="1:12" s="237" customFormat="1">
      <c r="A152" s="234"/>
      <c r="D152" s="1640"/>
      <c r="K152" s="53"/>
      <c r="L152" s="53"/>
    </row>
    <row r="153" spans="1:12" s="237" customFormat="1">
      <c r="A153" s="234"/>
      <c r="D153" s="1640"/>
      <c r="K153" s="53"/>
      <c r="L153" s="53"/>
    </row>
    <row r="154" spans="1:12" s="237" customFormat="1">
      <c r="A154" s="234"/>
      <c r="D154" s="1640"/>
      <c r="K154" s="53"/>
      <c r="L154" s="53"/>
    </row>
    <row r="155" spans="1:12" s="237" customFormat="1">
      <c r="A155" s="234"/>
      <c r="D155" s="1640"/>
      <c r="K155" s="53"/>
      <c r="L155" s="53"/>
    </row>
    <row r="156" spans="1:12" s="237" customFormat="1">
      <c r="A156" s="234"/>
      <c r="D156" s="1640"/>
      <c r="K156" s="53"/>
      <c r="L156" s="53"/>
    </row>
    <row r="157" spans="1:12" s="237" customFormat="1">
      <c r="A157" s="234"/>
      <c r="D157" s="1640"/>
      <c r="K157" s="53"/>
      <c r="L157" s="53"/>
    </row>
    <row r="158" spans="1:12" s="237" customFormat="1">
      <c r="A158" s="234"/>
      <c r="D158" s="1640"/>
      <c r="K158" s="53"/>
      <c r="L158" s="53"/>
    </row>
    <row r="159" spans="1:12" s="237" customFormat="1">
      <c r="A159" s="234"/>
      <c r="D159" s="1640"/>
      <c r="K159" s="53"/>
      <c r="L159" s="53"/>
    </row>
    <row r="160" spans="1:12" s="237" customFormat="1">
      <c r="A160" s="234"/>
      <c r="D160" s="1640"/>
      <c r="K160" s="53"/>
      <c r="L160" s="53"/>
    </row>
    <row r="161" spans="1:12" s="237" customFormat="1">
      <c r="A161" s="234"/>
      <c r="D161" s="1640"/>
      <c r="K161" s="53"/>
      <c r="L161" s="53"/>
    </row>
    <row r="162" spans="1:12" s="237" customFormat="1">
      <c r="A162" s="234"/>
      <c r="D162" s="1640"/>
      <c r="K162" s="53"/>
      <c r="L162" s="53"/>
    </row>
    <row r="163" spans="1:12" s="237" customFormat="1">
      <c r="A163" s="234"/>
      <c r="D163" s="1640"/>
      <c r="K163" s="53"/>
      <c r="L163" s="53"/>
    </row>
    <row r="164" spans="1:12" s="237" customFormat="1">
      <c r="A164" s="234"/>
      <c r="D164" s="1640"/>
      <c r="K164" s="53"/>
      <c r="L164" s="53"/>
    </row>
    <row r="165" spans="1:12" s="237" customFormat="1">
      <c r="A165" s="234"/>
      <c r="D165" s="1640"/>
      <c r="K165" s="53"/>
      <c r="L165" s="53"/>
    </row>
    <row r="166" spans="1:12" s="237" customFormat="1">
      <c r="A166" s="234"/>
      <c r="D166" s="1640"/>
      <c r="K166" s="53"/>
      <c r="L166" s="53"/>
    </row>
    <row r="167" spans="1:12" s="237" customFormat="1">
      <c r="A167" s="234"/>
      <c r="D167" s="1640"/>
      <c r="K167" s="53"/>
      <c r="L167" s="53"/>
    </row>
    <row r="168" spans="1:12" s="237" customFormat="1">
      <c r="A168" s="234"/>
      <c r="D168" s="1640"/>
      <c r="K168" s="53"/>
      <c r="L168" s="53"/>
    </row>
    <row r="169" spans="1:12" s="237" customFormat="1">
      <c r="A169" s="234"/>
      <c r="D169" s="1640"/>
      <c r="K169" s="53"/>
      <c r="L169" s="53"/>
    </row>
    <row r="170" spans="1:12" s="237" customFormat="1">
      <c r="A170" s="234"/>
      <c r="D170" s="1640"/>
      <c r="K170" s="53"/>
      <c r="L170" s="53"/>
    </row>
    <row r="171" spans="1:12" s="237" customFormat="1">
      <c r="A171" s="234"/>
      <c r="D171" s="1640"/>
      <c r="K171" s="53"/>
      <c r="L171" s="53"/>
    </row>
    <row r="172" spans="1:12" s="237" customFormat="1">
      <c r="A172" s="234"/>
      <c r="D172" s="1640"/>
      <c r="K172" s="53"/>
      <c r="L172" s="53"/>
    </row>
    <row r="173" spans="1:12" s="237" customFormat="1">
      <c r="A173" s="234"/>
      <c r="D173" s="1640"/>
      <c r="K173" s="53"/>
      <c r="L173" s="53"/>
    </row>
    <row r="174" spans="1:12" s="237" customFormat="1">
      <c r="A174" s="234"/>
      <c r="D174" s="1640"/>
      <c r="K174" s="53"/>
      <c r="L174" s="53"/>
    </row>
    <row r="175" spans="1:12" s="237" customFormat="1">
      <c r="A175" s="234"/>
      <c r="D175" s="1640"/>
      <c r="K175" s="53"/>
      <c r="L175" s="53"/>
    </row>
    <row r="176" spans="1:12" s="237" customFormat="1">
      <c r="A176" s="234"/>
      <c r="D176" s="1640"/>
      <c r="K176" s="53"/>
      <c r="L176" s="53"/>
    </row>
    <row r="177" spans="1:12" s="237" customFormat="1">
      <c r="A177" s="234"/>
      <c r="D177" s="1640"/>
      <c r="K177" s="53"/>
      <c r="L177" s="53"/>
    </row>
    <row r="178" spans="1:12" s="237" customFormat="1">
      <c r="A178" s="234"/>
      <c r="D178" s="1640"/>
      <c r="K178" s="53"/>
      <c r="L178" s="53"/>
    </row>
    <row r="179" spans="1:12" s="237" customFormat="1">
      <c r="A179" s="234"/>
      <c r="D179" s="1640"/>
      <c r="K179" s="53"/>
      <c r="L179" s="53"/>
    </row>
    <row r="180" spans="1:12" s="237" customFormat="1">
      <c r="A180" s="234"/>
      <c r="D180" s="1640"/>
      <c r="K180" s="53"/>
      <c r="L180" s="53"/>
    </row>
    <row r="181" spans="1:12" s="237" customFormat="1">
      <c r="A181" s="234"/>
      <c r="D181" s="1640"/>
      <c r="K181" s="53"/>
      <c r="L181" s="53"/>
    </row>
    <row r="182" spans="1:12" s="237" customFormat="1">
      <c r="A182" s="234"/>
      <c r="D182" s="1640"/>
      <c r="K182" s="53"/>
      <c r="L182" s="53"/>
    </row>
    <row r="183" spans="1:12" s="237" customFormat="1">
      <c r="A183" s="234"/>
      <c r="D183" s="1640"/>
      <c r="K183" s="53"/>
      <c r="L183" s="53"/>
    </row>
    <row r="184" spans="1:12" s="237" customFormat="1">
      <c r="A184" s="234"/>
      <c r="D184" s="1640"/>
      <c r="K184" s="53"/>
      <c r="L184" s="53"/>
    </row>
    <row r="185" spans="1:12" s="237" customFormat="1">
      <c r="A185" s="234"/>
      <c r="D185" s="1640"/>
      <c r="K185" s="53"/>
      <c r="L185" s="53"/>
    </row>
    <row r="186" spans="1:12" s="237" customFormat="1">
      <c r="A186" s="234"/>
      <c r="D186" s="1640"/>
      <c r="K186" s="53"/>
      <c r="L186" s="53"/>
    </row>
    <row r="187" spans="1:12" s="237" customFormat="1">
      <c r="A187" s="234"/>
      <c r="D187" s="1640"/>
      <c r="K187" s="53"/>
      <c r="L187" s="53"/>
    </row>
    <row r="188" spans="1:12" s="237" customFormat="1">
      <c r="A188" s="234"/>
      <c r="D188" s="1640"/>
      <c r="K188" s="53"/>
      <c r="L188" s="53"/>
    </row>
    <row r="189" spans="1:12" s="237" customFormat="1">
      <c r="A189" s="234"/>
      <c r="D189" s="1640"/>
      <c r="K189" s="53"/>
      <c r="L189" s="53"/>
    </row>
    <row r="190" spans="1:12" s="237" customFormat="1">
      <c r="A190" s="234"/>
      <c r="D190" s="1640"/>
      <c r="K190" s="53"/>
      <c r="L190" s="53"/>
    </row>
    <row r="191" spans="1:12" s="237" customFormat="1">
      <c r="A191" s="234"/>
      <c r="D191" s="1640"/>
      <c r="K191" s="53"/>
      <c r="L191" s="53"/>
    </row>
    <row r="192" spans="1:12" s="237" customFormat="1">
      <c r="A192" s="234"/>
      <c r="D192" s="1640"/>
      <c r="K192" s="53"/>
      <c r="L192" s="53"/>
    </row>
  </sheetData>
  <sheetProtection password="CEE9" sheet="1" objects="1" scenarios="1" formatCells="0" formatColumns="0" formatRows="0"/>
  <dataConsolidate/>
  <phoneticPr fontId="3" type="noConversion"/>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6:T15">
    <cfRule type="expression" dxfId="160" priority="1" stopIfTrue="1">
      <formula>$T$4="按面积比例"</formula>
    </cfRule>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12:T13">
    <cfRule type="containsText" dxfId="157" priority="2" stopIfTrue="1" operator="containsText" text="自行计算">
      <formula>NOT(ISERROR(SEARCH("自行计算",T12)))</formula>
    </cfRule>
    <cfRule type="containsText" dxfId="156" priority="3" stopIfTrue="1" operator="containsText" text="自行计算">
      <formula>NOT(ISERROR(SEARCH("自行计算",T12)))</formula>
    </cfRule>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644" customWidth="1"/>
    <col min="2" max="2" width="23.5" style="2665" customWidth="1"/>
    <col min="3" max="3" width="32.125" style="2665" customWidth="1"/>
    <col min="4" max="4" width="2.625" style="2665" customWidth="1"/>
    <col min="5" max="5" width="5.875" style="2665" customWidth="1"/>
    <col min="6" max="6" width="23.625" style="2665" customWidth="1"/>
    <col min="7" max="7" width="33.375" style="2665" customWidth="1"/>
    <col min="8" max="8" width="11.875" style="2665" customWidth="1"/>
    <col min="9" max="9" width="16.625" style="2665" customWidth="1"/>
    <col min="10" max="10" width="2.625" style="2665" customWidth="1"/>
    <col min="11" max="11" width="11.875" style="2665" customWidth="1"/>
    <col min="12" max="12" width="16.625" style="2665" customWidth="1"/>
    <col min="13" max="13" width="2.625" style="2665" customWidth="1"/>
    <col min="14" max="14" width="11.875" style="2665" customWidth="1"/>
    <col min="15" max="15" width="16.625" style="2665" customWidth="1"/>
    <col min="16" max="16" width="2.625" style="2665" customWidth="1"/>
    <col min="17" max="17" width="11.875" style="2665" customWidth="1"/>
    <col min="18" max="18" width="16.625" style="2644" customWidth="1"/>
    <col min="19" max="16384" width="9" style="2644"/>
  </cols>
  <sheetData>
    <row r="1" spans="1:18" s="2638" customFormat="1" ht="19.5" thickBot="1">
      <c r="A1" s="3621" t="s">
        <v>1198</v>
      </c>
      <c r="B1" s="3622"/>
      <c r="C1" s="3622"/>
      <c r="D1" s="3622"/>
      <c r="E1" s="3622"/>
      <c r="F1" s="3622"/>
      <c r="G1" s="3622"/>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40.5">
      <c r="A3" s="2645" t="s">
        <v>1201</v>
      </c>
      <c r="B3" s="2646" t="s">
        <v>1188</v>
      </c>
      <c r="C3" s="2647" t="s">
        <v>2178</v>
      </c>
      <c r="D3" s="2648"/>
      <c r="E3" s="2649" t="s">
        <v>1201</v>
      </c>
      <c r="F3" s="2650" t="s">
        <v>1189</v>
      </c>
      <c r="G3" s="2651" t="s">
        <v>2177</v>
      </c>
      <c r="H3" s="2644"/>
      <c r="I3" s="2644"/>
      <c r="J3" s="2644"/>
      <c r="K3" s="2644"/>
      <c r="L3" s="2644"/>
      <c r="M3" s="2644"/>
      <c r="N3" s="2644"/>
      <c r="O3" s="2644"/>
      <c r="P3" s="2644"/>
      <c r="Q3" s="2644"/>
    </row>
    <row r="4" spans="1:18" ht="40.5">
      <c r="A4" s="2649"/>
      <c r="B4" s="2652" t="s">
        <v>1202</v>
      </c>
      <c r="C4" s="2653" t="s">
        <v>2179</v>
      </c>
      <c r="D4" s="2648"/>
      <c r="E4" s="2654"/>
      <c r="F4" s="2655" t="s">
        <v>1203</v>
      </c>
      <c r="G4" s="2656" t="s">
        <v>2174</v>
      </c>
      <c r="H4" s="2644"/>
      <c r="I4" s="2644"/>
      <c r="J4" s="2644"/>
      <c r="K4" s="2644"/>
      <c r="L4" s="2644"/>
      <c r="M4" s="2644"/>
      <c r="N4" s="2644"/>
      <c r="O4" s="2644"/>
      <c r="P4" s="2644"/>
      <c r="Q4" s="2644"/>
    </row>
    <row r="5" spans="1:18" ht="41.25">
      <c r="A5" s="2649"/>
      <c r="B5" s="2652" t="s">
        <v>1204</v>
      </c>
      <c r="C5" s="2653" t="s">
        <v>2180</v>
      </c>
      <c r="D5" s="2648"/>
      <c r="E5" s="2654"/>
      <c r="F5" s="2652" t="s">
        <v>1826</v>
      </c>
      <c r="G5" s="2656" t="s">
        <v>2175</v>
      </c>
      <c r="H5" s="2644"/>
      <c r="I5" s="2644"/>
      <c r="J5" s="2644"/>
      <c r="K5" s="2644"/>
      <c r="L5" s="2644"/>
      <c r="M5" s="2644"/>
      <c r="N5" s="2644"/>
      <c r="O5" s="2644"/>
      <c r="P5" s="2644"/>
      <c r="Q5" s="2644"/>
    </row>
    <row r="6" spans="1:18" ht="40.5">
      <c r="A6" s="2649"/>
      <c r="B6" s="2652" t="s">
        <v>1190</v>
      </c>
      <c r="C6" s="2656" t="s">
        <v>2174</v>
      </c>
      <c r="D6" s="2648"/>
      <c r="E6" s="2654"/>
      <c r="F6" s="2652" t="s">
        <v>1827</v>
      </c>
      <c r="G6" s="2656" t="s">
        <v>2172</v>
      </c>
      <c r="H6" s="2644"/>
      <c r="I6" s="2644"/>
      <c r="J6" s="2644"/>
      <c r="K6" s="2644"/>
      <c r="L6" s="2644"/>
      <c r="M6" s="2644"/>
      <c r="N6" s="2644"/>
      <c r="O6" s="2644"/>
      <c r="P6" s="2644"/>
      <c r="Q6" s="2644"/>
    </row>
    <row r="7" spans="1:18" ht="27.75" thickBot="1">
      <c r="A7" s="2649"/>
      <c r="B7" s="2652" t="s">
        <v>1826</v>
      </c>
      <c r="C7" s="2656" t="s">
        <v>2175</v>
      </c>
      <c r="D7" s="2657"/>
      <c r="E7" s="2658"/>
      <c r="F7" s="2659" t="s">
        <v>1205</v>
      </c>
      <c r="G7" s="2660" t="s">
        <v>2176</v>
      </c>
      <c r="H7" s="2644"/>
      <c r="I7" s="2644"/>
      <c r="J7" s="2644"/>
      <c r="K7" s="2644"/>
      <c r="L7" s="2644"/>
      <c r="M7" s="2644"/>
      <c r="N7" s="2644"/>
      <c r="O7" s="2644"/>
      <c r="P7" s="2644"/>
      <c r="Q7" s="2644"/>
    </row>
    <row r="8" spans="1:18">
      <c r="A8" s="2649"/>
      <c r="B8" s="2652" t="s">
        <v>1827</v>
      </c>
      <c r="C8" s="2656" t="s">
        <v>2172</v>
      </c>
      <c r="D8" s="2657"/>
      <c r="E8" s="2657"/>
      <c r="F8" s="2661"/>
      <c r="G8" s="2661"/>
      <c r="H8" s="2644"/>
      <c r="I8" s="2644"/>
      <c r="J8" s="2644"/>
      <c r="K8" s="2644"/>
      <c r="L8" s="2644"/>
      <c r="M8" s="2644"/>
      <c r="N8" s="2644"/>
      <c r="O8" s="2644"/>
      <c r="P8" s="2644"/>
      <c r="Q8" s="2644"/>
    </row>
    <row r="9" spans="1:18" ht="27">
      <c r="A9" s="2649"/>
      <c r="B9" s="2652" t="s">
        <v>1191</v>
      </c>
      <c r="C9" s="2653" t="s">
        <v>2173</v>
      </c>
      <c r="D9" s="2648"/>
      <c r="E9" s="2657"/>
      <c r="F9" s="2661"/>
      <c r="G9" s="2661"/>
      <c r="H9" s="2644"/>
      <c r="I9" s="2644"/>
      <c r="J9" s="2644"/>
      <c r="K9" s="2644"/>
      <c r="L9" s="2644"/>
      <c r="M9" s="2644"/>
      <c r="N9" s="2644"/>
      <c r="O9" s="2644"/>
      <c r="P9" s="2644"/>
      <c r="Q9" s="2644"/>
    </row>
    <row r="10" spans="1:18" ht="15" thickBot="1">
      <c r="A10" s="2662"/>
      <c r="B10" s="2663" t="s">
        <v>1206</v>
      </c>
      <c r="C10" s="2664"/>
      <c r="D10" s="2648"/>
      <c r="E10" s="2648"/>
      <c r="F10" s="2661"/>
      <c r="G10" s="2661"/>
      <c r="J10" s="2666"/>
      <c r="M10" s="2666"/>
      <c r="P10" s="2666"/>
      <c r="R10" s="2665"/>
    </row>
    <row r="11" spans="1:18">
      <c r="A11" s="2667"/>
      <c r="B11" s="2657"/>
      <c r="C11" s="2648"/>
      <c r="D11" s="2648"/>
      <c r="E11" s="2648"/>
      <c r="F11" s="2657"/>
      <c r="G11" s="2657"/>
      <c r="J11" s="2666"/>
      <c r="M11" s="2666"/>
      <c r="P11" s="2666"/>
      <c r="R11" s="2665"/>
    </row>
    <row r="12" spans="1:18" s="2638" customFormat="1" ht="18.75">
      <c r="A12" s="2667"/>
      <c r="B12" s="2657"/>
      <c r="C12" s="2648"/>
      <c r="D12" s="2668"/>
      <c r="E12" s="2648"/>
      <c r="F12" s="2657"/>
      <c r="G12" s="2657"/>
      <c r="H12" s="2669"/>
      <c r="I12" s="2669"/>
      <c r="J12" s="2669"/>
      <c r="K12" s="2669"/>
      <c r="L12" s="2670"/>
      <c r="M12" s="2669"/>
      <c r="N12" s="2671"/>
      <c r="O12" s="2671"/>
      <c r="P12" s="2671"/>
      <c r="Q12" s="2671"/>
    </row>
    <row r="13" spans="1:18" ht="19.5" thickBot="1">
      <c r="A13" s="2672" t="s">
        <v>1207</v>
      </c>
      <c r="B13" s="2668"/>
      <c r="C13" s="2668"/>
      <c r="D13" s="2642"/>
      <c r="E13" s="2668"/>
      <c r="F13" s="2668"/>
      <c r="G13" s="2668"/>
    </row>
    <row r="14" spans="1:18" ht="14.25" thickBot="1">
      <c r="A14" s="2673"/>
      <c r="B14" s="2673"/>
      <c r="C14" s="2674" t="s">
        <v>1199</v>
      </c>
      <c r="D14" s="2648"/>
      <c r="E14" s="2675"/>
      <c r="F14" s="2675"/>
      <c r="G14" s="2641" t="s">
        <v>1200</v>
      </c>
    </row>
    <row r="15" spans="1:18" ht="40.5">
      <c r="A15" s="2676" t="s">
        <v>1192</v>
      </c>
      <c r="B15" s="2677" t="s">
        <v>1188</v>
      </c>
      <c r="C15" s="2678" t="str">
        <f>C3</f>
        <v>估价对象周边居住用地比例、居住小区规模和社区发展完善程度，综合评价居住社区成熟度一般</v>
      </c>
      <c r="D15" s="2648"/>
      <c r="E15" s="2679" t="s">
        <v>1193</v>
      </c>
      <c r="F15" s="2677" t="s">
        <v>1208</v>
      </c>
      <c r="G15" s="2680" t="str">
        <f>G3</f>
        <v>估价对象位于XX开发区，园区建设成熟度XX，产业集聚程度XX</v>
      </c>
    </row>
    <row r="16" spans="1:18" ht="40.5">
      <c r="A16" s="2681"/>
      <c r="B16" s="2682" t="s">
        <v>1202</v>
      </c>
      <c r="C16" s="2683" t="str">
        <f>C4</f>
        <v>估价对象位于XX商圈，周边商业氛围成熟，人流量大，商业繁华度好</v>
      </c>
      <c r="D16" s="2648"/>
      <c r="E16" s="2684"/>
      <c r="F16" s="2685" t="s">
        <v>1203</v>
      </c>
      <c r="G16" s="2686" t="str">
        <f>G4</f>
        <v>估价对象周边道路状况、公共交通通达情况、停车便捷程度，综合评价交通便捷度较好</v>
      </c>
    </row>
    <row r="17" spans="1:7" ht="40.5">
      <c r="A17" s="2681"/>
      <c r="B17" s="2682" t="s">
        <v>1204</v>
      </c>
      <c r="C17" s="2683" t="str">
        <f>C5</f>
        <v>估价对象位于XX商圈，周边办公楼项目较多，入驻率高，办公集聚程度较好</v>
      </c>
      <c r="D17" s="2657"/>
      <c r="E17" s="2684"/>
      <c r="F17" s="2685" t="s">
        <v>1209</v>
      </c>
      <c r="G17" s="2687"/>
    </row>
    <row r="18" spans="1:7" ht="40.5">
      <c r="A18" s="2681"/>
      <c r="B18" s="2685" t="s">
        <v>1190</v>
      </c>
      <c r="C18" s="2686" t="str">
        <f>C6</f>
        <v>估价对象周边道路状况、公共交通通达情况、停车便捷程度，综合评价交通便捷度较好</v>
      </c>
      <c r="D18" s="2657"/>
      <c r="E18" s="2684"/>
      <c r="F18" s="2685" t="s">
        <v>1205</v>
      </c>
      <c r="G18" s="2686" t="str">
        <f>G7</f>
        <v>该园区内是否有污染型企业，绿化情况，卫生条件，整体环境状况判断</v>
      </c>
    </row>
    <row r="19" spans="1:7" ht="27">
      <c r="A19" s="2681"/>
      <c r="B19" s="2685" t="s">
        <v>1194</v>
      </c>
      <c r="C19" s="2687"/>
      <c r="D19" s="2648"/>
      <c r="E19" s="2684"/>
      <c r="F19" s="2652" t="s">
        <v>1826</v>
      </c>
      <c r="G19" s="2686" t="str">
        <f>G5</f>
        <v>估价对象所在区域公共配套设施齐备情况</v>
      </c>
    </row>
    <row r="20" spans="1:7" ht="27">
      <c r="A20" s="2681"/>
      <c r="B20" s="2685" t="s">
        <v>1195</v>
      </c>
      <c r="C20" s="2683" t="str">
        <f>C9</f>
        <v>区域自然环境：；人文环境；综合评价环境状况一般</v>
      </c>
      <c r="D20" s="2657"/>
      <c r="E20" s="2684"/>
      <c r="F20" s="2652" t="s">
        <v>1827</v>
      </c>
      <c r="G20" s="2686" t="str">
        <f>G6</f>
        <v>估价对象所在区域基础设施水平</v>
      </c>
    </row>
    <row r="21" spans="1:7" ht="27">
      <c r="A21" s="2681"/>
      <c r="B21" s="2652" t="s">
        <v>1826</v>
      </c>
      <c r="C21" s="2686" t="str">
        <f>C7</f>
        <v>估价对象所在区域公共配套设施齐备情况</v>
      </c>
      <c r="D21" s="2648"/>
      <c r="E21" s="2684"/>
      <c r="F21" s="2685" t="s">
        <v>1196</v>
      </c>
      <c r="G21" s="2688"/>
    </row>
    <row r="22" spans="1:7" ht="14.25">
      <c r="A22" s="2681"/>
      <c r="B22" s="2652" t="s">
        <v>1827</v>
      </c>
      <c r="C22" s="2686" t="str">
        <f>C8</f>
        <v>估价对象所在区域基础设施水平</v>
      </c>
      <c r="D22" s="2648"/>
      <c r="E22" s="2684"/>
      <c r="F22" s="2685" t="s">
        <v>1206</v>
      </c>
      <c r="G22" s="2687"/>
    </row>
    <row r="23" spans="1:7" ht="15" thickBot="1">
      <c r="A23" s="2681"/>
      <c r="B23" s="2685" t="s">
        <v>1196</v>
      </c>
      <c r="C23" s="2688"/>
      <c r="E23" s="2689"/>
      <c r="F23" s="2690" t="s">
        <v>1210</v>
      </c>
      <c r="G23" s="2691"/>
    </row>
    <row r="24" spans="1:7" ht="14.25" thickBot="1">
      <c r="A24" s="2692"/>
      <c r="B24" s="2690" t="s">
        <v>1197</v>
      </c>
      <c r="C24" s="2693">
        <f>C10</f>
        <v>0</v>
      </c>
      <c r="E24" s="2657"/>
      <c r="F24" s="2657"/>
      <c r="G24" s="2657"/>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45"/>
  <sheetViews>
    <sheetView tabSelected="1" view="pageBreakPreview" topLeftCell="A13" zoomScaleNormal="80" zoomScaleSheetLayoutView="100" workbookViewId="0">
      <selection activeCell="D34" sqref="D34"/>
    </sheetView>
  </sheetViews>
  <sheetFormatPr defaultColWidth="14.625" defaultRowHeight="13.5"/>
  <cols>
    <col min="1" max="1" width="24.375" style="2695" customWidth="1"/>
    <col min="2" max="16384" width="14.625" style="2695"/>
  </cols>
  <sheetData>
    <row r="1" spans="1:10" ht="16.5">
      <c r="A1" s="2694" t="s">
        <v>2115</v>
      </c>
      <c r="B1" s="2694">
        <f>SUM(B14:B23)</f>
        <v>5006.88</v>
      </c>
      <c r="C1" s="2702"/>
      <c r="D1" s="2702"/>
      <c r="E1" s="2702"/>
      <c r="F1" s="2702"/>
      <c r="G1" s="2703"/>
      <c r="H1" s="2703"/>
      <c r="I1" s="2703"/>
      <c r="J1" s="2703"/>
    </row>
    <row r="2" spans="1:10" ht="16.5">
      <c r="A2" s="2694" t="s">
        <v>2116</v>
      </c>
      <c r="B2" s="2694">
        <f>SUM(C14:C23)</f>
        <v>17556.580000000002</v>
      </c>
      <c r="C2" s="2702"/>
      <c r="D2" s="2702"/>
      <c r="E2" s="2702"/>
      <c r="F2" s="2702"/>
      <c r="G2" s="2703"/>
      <c r="H2" s="2703"/>
      <c r="I2" s="2703"/>
      <c r="J2" s="2703"/>
    </row>
    <row r="3" spans="1:10" ht="16.5">
      <c r="A3" s="2694" t="s">
        <v>2117</v>
      </c>
      <c r="B3" s="2696">
        <f>项目基本情况!D3</f>
        <v>45196</v>
      </c>
      <c r="C3" s="2702"/>
      <c r="D3" s="2702"/>
      <c r="E3" s="2702"/>
      <c r="F3" s="2702"/>
      <c r="G3" s="2703"/>
      <c r="H3" s="2703"/>
      <c r="I3" s="2703"/>
      <c r="J3" s="2703"/>
    </row>
    <row r="4" spans="1:10" ht="33">
      <c r="A4" s="2694" t="s">
        <v>2118</v>
      </c>
      <c r="B4" s="2694" t="s">
        <v>2119</v>
      </c>
      <c r="C4" s="2694" t="s">
        <v>2120</v>
      </c>
      <c r="D4" s="2694" t="s">
        <v>2121</v>
      </c>
      <c r="E4" s="2702"/>
      <c r="F4" s="2702"/>
      <c r="G4" s="2703"/>
      <c r="H4" s="2703"/>
      <c r="I4" s="2703"/>
      <c r="J4" s="2703"/>
    </row>
    <row r="5" spans="1:10" ht="16.5">
      <c r="A5" s="2694" t="s">
        <v>2122</v>
      </c>
      <c r="B5" s="2694">
        <f ca="1">SUM(D14:D23)</f>
        <v>14294.5674</v>
      </c>
      <c r="C5" s="2694">
        <f ca="1">ROUND(B5*10000/$B$1,0)</f>
        <v>28550</v>
      </c>
      <c r="D5" s="2694">
        <f ca="1">ROUND(B5*10000/$B$2,0)</f>
        <v>8142</v>
      </c>
      <c r="E5" s="2702"/>
      <c r="F5" s="2702"/>
      <c r="G5" s="2703"/>
      <c r="H5" s="2703"/>
      <c r="I5" s="2703"/>
      <c r="J5" s="2703"/>
    </row>
    <row r="6" spans="1:10" ht="16.5">
      <c r="A6" s="2694" t="s">
        <v>2123</v>
      </c>
      <c r="B6" s="2694">
        <f>SUM(G14:G23)</f>
        <v>0</v>
      </c>
      <c r="C6" s="2694">
        <f>ROUND(B6*10000/$B$1,0)</f>
        <v>0</v>
      </c>
      <c r="D6" s="2694">
        <f>ROUND(B6*10000/$B$2,0)</f>
        <v>0</v>
      </c>
      <c r="E6" s="2702"/>
      <c r="F6" s="2702"/>
      <c r="G6" s="2703"/>
      <c r="H6" s="2703"/>
      <c r="I6" s="2703"/>
      <c r="J6" s="2703"/>
    </row>
    <row r="7" spans="1:10" ht="16.5">
      <c r="A7" s="2694" t="s">
        <v>2124</v>
      </c>
      <c r="B7" s="2694">
        <f>SUM(H14:H23)</f>
        <v>0</v>
      </c>
      <c r="C7" s="2694">
        <f>ROUND(B7*10000/$B$1,0)</f>
        <v>0</v>
      </c>
      <c r="D7" s="2694">
        <f>ROUND(B7*10000/$B$2,0)</f>
        <v>0</v>
      </c>
      <c r="E7" s="2702"/>
      <c r="F7" s="2702"/>
      <c r="G7" s="2703"/>
      <c r="H7" s="2703"/>
      <c r="I7" s="2703"/>
      <c r="J7" s="2703"/>
    </row>
    <row r="8" spans="1:10" ht="16.5">
      <c r="A8" s="2694" t="s">
        <v>2125</v>
      </c>
      <c r="B8" s="2694">
        <f>SUM(I14:I23)</f>
        <v>0</v>
      </c>
      <c r="C8" s="2694">
        <f>ROUND(B8*10000/$B$1,0)</f>
        <v>0</v>
      </c>
      <c r="D8" s="2694">
        <f>ROUND(B8*10000/$B$2,0)</f>
        <v>0</v>
      </c>
      <c r="E8" s="2702"/>
      <c r="F8" s="2702"/>
      <c r="G8" s="2703"/>
      <c r="H8" s="2703"/>
      <c r="I8" s="2703"/>
      <c r="J8" s="2703"/>
    </row>
    <row r="9" spans="1:10" ht="16.5">
      <c r="A9" s="2694" t="s">
        <v>2126</v>
      </c>
      <c r="B9" s="2325"/>
      <c r="C9" s="2702"/>
      <c r="D9" s="2702"/>
      <c r="E9" s="2702"/>
      <c r="F9" s="2702"/>
      <c r="G9" s="2703"/>
      <c r="H9" s="2703"/>
      <c r="I9" s="2703"/>
      <c r="J9" s="2703"/>
    </row>
    <row r="10" spans="1:10" ht="16.5">
      <c r="A10" s="2694" t="s">
        <v>2127</v>
      </c>
      <c r="B10" s="2325"/>
      <c r="C10" s="2702"/>
      <c r="D10" s="2702"/>
      <c r="E10" s="2702"/>
      <c r="F10" s="2702"/>
      <c r="G10" s="2703"/>
      <c r="H10" s="2703"/>
      <c r="I10" s="2703"/>
      <c r="J10" s="2703"/>
    </row>
    <row r="11" spans="1:10" ht="16.5">
      <c r="A11" s="2694" t="s">
        <v>2144</v>
      </c>
      <c r="B11" s="2325"/>
      <c r="C11" s="2702"/>
      <c r="D11" s="2702"/>
      <c r="E11" s="2702"/>
      <c r="F11" s="2702"/>
      <c r="G11" s="2703"/>
      <c r="H11" s="2703"/>
      <c r="I11" s="2703"/>
      <c r="J11" s="2703"/>
    </row>
    <row r="12" spans="1:10" ht="16.5">
      <c r="A12" s="2702"/>
      <c r="B12" s="2702"/>
      <c r="C12" s="2702"/>
      <c r="D12" s="2702"/>
      <c r="E12" s="2702"/>
      <c r="F12" s="2702"/>
      <c r="G12" s="2703"/>
      <c r="H12" s="2703"/>
      <c r="I12" s="2703"/>
      <c r="J12" s="2703"/>
    </row>
    <row r="13" spans="1:10" ht="33">
      <c r="A13" s="2697" t="s">
        <v>2143</v>
      </c>
      <c r="B13" s="2698" t="s">
        <v>2115</v>
      </c>
      <c r="C13" s="2698" t="s">
        <v>2116</v>
      </c>
      <c r="D13" s="2698" t="s">
        <v>2128</v>
      </c>
      <c r="E13" s="2694" t="s">
        <v>2142</v>
      </c>
      <c r="F13" s="2694" t="s">
        <v>2121</v>
      </c>
      <c r="G13" s="2698" t="s">
        <v>2129</v>
      </c>
      <c r="H13" s="2698" t="s">
        <v>2130</v>
      </c>
      <c r="I13" s="2698" t="s">
        <v>2131</v>
      </c>
      <c r="J13" s="2703"/>
    </row>
    <row r="14" spans="1:10" ht="16.5">
      <c r="A14" s="2699" t="s">
        <v>2141</v>
      </c>
      <c r="B14" s="2700">
        <f>'数据-汇总表'!E3</f>
        <v>5006.88</v>
      </c>
      <c r="C14" s="2700">
        <f>'数据-汇总表'!D3</f>
        <v>17556.580000000002</v>
      </c>
      <c r="D14" s="2700">
        <f ca="1">B32/10000</f>
        <v>14294.5674</v>
      </c>
      <c r="E14" s="2700">
        <f ca="1">ROUND(D14*10000/B14,0)</f>
        <v>28550</v>
      </c>
      <c r="F14" s="2700">
        <f ca="1">ROUND(D14*10000/C14,0)</f>
        <v>8142</v>
      </c>
      <c r="G14" s="2700"/>
      <c r="H14" s="2700"/>
      <c r="I14" s="2700"/>
      <c r="J14" s="2703"/>
    </row>
    <row r="15" spans="1:10" ht="16.5">
      <c r="A15" s="2699" t="s">
        <v>2132</v>
      </c>
      <c r="B15" s="2701"/>
      <c r="C15" s="2701"/>
      <c r="D15" s="2701"/>
      <c r="E15" s="2700" t="e">
        <f t="shared" ref="E15:E23" si="0">ROUND(D15*10000/B15,0)</f>
        <v>#DIV/0!</v>
      </c>
      <c r="F15" s="2700" t="e">
        <f t="shared" ref="F15:F23" si="1">ROUND(D15*10000/C15,0)</f>
        <v>#DIV/0!</v>
      </c>
      <c r="G15" s="2325"/>
      <c r="H15" s="2325"/>
      <c r="I15" s="2701"/>
      <c r="J15" s="2703"/>
    </row>
    <row r="16" spans="1:10" ht="16.5">
      <c r="A16" s="2699" t="s">
        <v>2133</v>
      </c>
      <c r="B16" s="2701"/>
      <c r="C16" s="2701"/>
      <c r="D16" s="2701"/>
      <c r="E16" s="2700" t="e">
        <f t="shared" si="0"/>
        <v>#DIV/0!</v>
      </c>
      <c r="F16" s="2700" t="e">
        <f t="shared" si="1"/>
        <v>#DIV/0!</v>
      </c>
      <c r="G16" s="2325"/>
      <c r="H16" s="2325"/>
      <c r="I16" s="2701"/>
      <c r="J16" s="2703"/>
    </row>
    <row r="17" spans="1:10" ht="16.5">
      <c r="A17" s="2699" t="s">
        <v>2134</v>
      </c>
      <c r="B17" s="2701"/>
      <c r="C17" s="2701"/>
      <c r="D17" s="2701"/>
      <c r="E17" s="2700" t="e">
        <f t="shared" si="0"/>
        <v>#DIV/0!</v>
      </c>
      <c r="F17" s="2700" t="e">
        <f t="shared" si="1"/>
        <v>#DIV/0!</v>
      </c>
      <c r="G17" s="2325"/>
      <c r="H17" s="2325"/>
      <c r="I17" s="2701"/>
      <c r="J17" s="2703"/>
    </row>
    <row r="18" spans="1:10" ht="16.5">
      <c r="A18" s="2699" t="s">
        <v>2135</v>
      </c>
      <c r="B18" s="2701"/>
      <c r="C18" s="2701"/>
      <c r="D18" s="2701"/>
      <c r="E18" s="2700" t="e">
        <f t="shared" si="0"/>
        <v>#DIV/0!</v>
      </c>
      <c r="F18" s="2700" t="e">
        <f t="shared" si="1"/>
        <v>#DIV/0!</v>
      </c>
      <c r="G18" s="2701"/>
      <c r="H18" s="2701"/>
      <c r="I18" s="2701"/>
      <c r="J18" s="2703"/>
    </row>
    <row r="19" spans="1:10" ht="16.5">
      <c r="A19" s="2699" t="s">
        <v>2136</v>
      </c>
      <c r="B19" s="2701"/>
      <c r="C19" s="2701"/>
      <c r="D19" s="2701"/>
      <c r="E19" s="2700" t="e">
        <f t="shared" si="0"/>
        <v>#DIV/0!</v>
      </c>
      <c r="F19" s="2700" t="e">
        <f t="shared" si="1"/>
        <v>#DIV/0!</v>
      </c>
      <c r="G19" s="2701"/>
      <c r="H19" s="2701"/>
      <c r="I19" s="2701"/>
      <c r="J19" s="2703"/>
    </row>
    <row r="20" spans="1:10" ht="16.5">
      <c r="A20" s="2699" t="s">
        <v>2137</v>
      </c>
      <c r="B20" s="2701"/>
      <c r="C20" s="2701"/>
      <c r="D20" s="2701"/>
      <c r="E20" s="2700" t="e">
        <f t="shared" si="0"/>
        <v>#DIV/0!</v>
      </c>
      <c r="F20" s="2700" t="e">
        <f t="shared" si="1"/>
        <v>#DIV/0!</v>
      </c>
      <c r="G20" s="2701"/>
      <c r="H20" s="2701"/>
      <c r="I20" s="2701"/>
      <c r="J20" s="2703"/>
    </row>
    <row r="21" spans="1:10" ht="16.5">
      <c r="A21" s="2699" t="s">
        <v>2138</v>
      </c>
      <c r="B21" s="2701"/>
      <c r="C21" s="2701"/>
      <c r="D21" s="2701"/>
      <c r="E21" s="2700" t="e">
        <f t="shared" si="0"/>
        <v>#DIV/0!</v>
      </c>
      <c r="F21" s="2700" t="e">
        <f t="shared" si="1"/>
        <v>#DIV/0!</v>
      </c>
      <c r="G21" s="2701"/>
      <c r="H21" s="2701"/>
      <c r="I21" s="2701"/>
      <c r="J21" s="2703"/>
    </row>
    <row r="22" spans="1:10" ht="16.5">
      <c r="A22" s="2699" t="s">
        <v>2139</v>
      </c>
      <c r="B22" s="2701"/>
      <c r="C22" s="2701"/>
      <c r="D22" s="2701"/>
      <c r="E22" s="2700" t="e">
        <f t="shared" si="0"/>
        <v>#DIV/0!</v>
      </c>
      <c r="F22" s="2700" t="e">
        <f t="shared" si="1"/>
        <v>#DIV/0!</v>
      </c>
      <c r="G22" s="2701"/>
      <c r="H22" s="2701"/>
      <c r="I22" s="2701"/>
      <c r="J22" s="2703"/>
    </row>
    <row r="23" spans="1:10" ht="16.5">
      <c r="A23" s="2699" t="s">
        <v>2140</v>
      </c>
      <c r="B23" s="2701"/>
      <c r="C23" s="2701"/>
      <c r="D23" s="2701"/>
      <c r="E23" s="2325" t="e">
        <f t="shared" si="0"/>
        <v>#DIV/0!</v>
      </c>
      <c r="F23" s="2325" t="e">
        <f t="shared" si="1"/>
        <v>#DIV/0!</v>
      </c>
      <c r="G23" s="2701"/>
      <c r="H23" s="2701"/>
      <c r="I23" s="2701"/>
      <c r="J23" s="2703"/>
    </row>
    <row r="24" spans="1:10">
      <c r="A24" s="2703"/>
      <c r="B24" s="2703"/>
      <c r="C24" s="2703"/>
      <c r="D24" s="2703"/>
      <c r="E24" s="2703"/>
      <c r="F24" s="2703"/>
      <c r="G24" s="2703"/>
      <c r="H24" s="2703"/>
      <c r="I24" s="2703"/>
      <c r="J24" s="2703"/>
    </row>
    <row r="25" spans="1:10" s="3489" customFormat="1">
      <c r="A25" s="3490"/>
      <c r="B25" s="3490" t="s">
        <v>3799</v>
      </c>
      <c r="C25" s="3490" t="s">
        <v>3800</v>
      </c>
      <c r="D25" s="3490"/>
    </row>
    <row r="26" spans="1:10" s="3489" customFormat="1">
      <c r="A26" s="3490" t="s">
        <v>3778</v>
      </c>
      <c r="B26" s="3490">
        <f>'剩余（增值收益扣减）法'!C27</f>
        <v>117611529</v>
      </c>
      <c r="C26" s="3490">
        <f ca="1">成本逼近法!E26</f>
        <v>202076236</v>
      </c>
      <c r="D26" s="3490" t="s">
        <v>3807</v>
      </c>
    </row>
    <row r="27" spans="1:10" s="3489" customFormat="1">
      <c r="A27" s="3490" t="s">
        <v>2208</v>
      </c>
      <c r="B27" s="3490">
        <f>'剩余（增值收益扣减）法'!B27</f>
        <v>6699</v>
      </c>
      <c r="C27" s="3490">
        <f ca="1">成本逼近法!C26</f>
        <v>11510</v>
      </c>
      <c r="D27" s="3490" t="s">
        <v>3801</v>
      </c>
    </row>
    <row r="28" spans="1:10" s="3489" customFormat="1">
      <c r="A28" s="3490" t="s">
        <v>3802</v>
      </c>
      <c r="B28" s="3493">
        <v>0.7</v>
      </c>
      <c r="C28" s="3493">
        <f>1-B28</f>
        <v>0.30000000000000004</v>
      </c>
      <c r="D28" s="3490"/>
    </row>
    <row r="29" spans="1:10" s="3489" customFormat="1">
      <c r="A29" s="2703"/>
      <c r="B29" s="2703"/>
      <c r="C29" s="2703"/>
      <c r="D29" s="2703"/>
    </row>
    <row r="30" spans="1:10" s="3489" customFormat="1">
      <c r="A30" s="3491" t="s">
        <v>3803</v>
      </c>
      <c r="B30" s="3492">
        <f ca="1">IF(B26&lt;C26,C26/B26-1,B26/C26-1)</f>
        <v>0.71816689841690606</v>
      </c>
      <c r="C30" s="2703"/>
      <c r="D30" s="2703"/>
    </row>
    <row r="31" spans="1:10" s="3489" customFormat="1">
      <c r="A31" s="2703"/>
      <c r="B31" s="3491" t="s">
        <v>2793</v>
      </c>
      <c r="C31" s="2703"/>
      <c r="D31" s="2703"/>
    </row>
    <row r="32" spans="1:10" s="3489" customFormat="1">
      <c r="A32" s="3490" t="str">
        <f>A26</f>
        <v>总价</v>
      </c>
      <c r="B32" s="3490">
        <f ca="1">ROUND(B33*'数据-汇总表'!D3,0)</f>
        <v>142945674</v>
      </c>
      <c r="C32" s="3490"/>
      <c r="D32" s="3490" t="s">
        <v>3808</v>
      </c>
    </row>
    <row r="33" spans="1:4" s="3489" customFormat="1">
      <c r="A33" s="3490" t="str">
        <f>A27</f>
        <v>单位面积地价</v>
      </c>
      <c r="B33" s="3490">
        <f ca="1">ROUND(B27*B28+C27*C28,0)</f>
        <v>8142</v>
      </c>
      <c r="C33" s="3490"/>
      <c r="D33" s="3490" t="s">
        <v>3801</v>
      </c>
    </row>
    <row r="34" spans="1:4" s="3489" customFormat="1"/>
    <row r="35" spans="1:4" s="3489" customFormat="1">
      <c r="A35" s="3494" t="s">
        <v>3804</v>
      </c>
      <c r="B35" s="3494">
        <f>'[7]（2-7）一层 (9.7)'!$D$225</f>
        <v>6018144</v>
      </c>
      <c r="C35" s="3494"/>
      <c r="D35" s="3494" t="s">
        <v>3808</v>
      </c>
    </row>
    <row r="36" spans="1:4" s="3489" customFormat="1">
      <c r="A36" s="3494" t="s">
        <v>3805</v>
      </c>
      <c r="B36" s="3494">
        <f>'[7]（2-7）一层 (9.7)'!$B$252</f>
        <v>2716571</v>
      </c>
      <c r="C36" s="3494"/>
      <c r="D36" s="3494" t="s">
        <v>3808</v>
      </c>
    </row>
    <row r="37" spans="1:4" s="3489" customFormat="1"/>
    <row r="38" spans="1:4" s="3489" customFormat="1">
      <c r="A38" s="3495" t="s">
        <v>3806</v>
      </c>
      <c r="B38" s="3495">
        <f ca="1">B32+B35+B36</f>
        <v>151680389</v>
      </c>
      <c r="C38" s="3495"/>
      <c r="D38" s="3495" t="s">
        <v>3810</v>
      </c>
    </row>
    <row r="39" spans="1:4" s="3489" customFormat="1">
      <c r="A39" s="3495" t="str">
        <f>A33</f>
        <v>单位面积地价</v>
      </c>
      <c r="B39" s="3495">
        <f ca="1">ROUND(B38/'数据-汇总表'!D3,0)</f>
        <v>8640</v>
      </c>
      <c r="C39" s="3495"/>
      <c r="D39" s="3495" t="s">
        <v>3809</v>
      </c>
    </row>
    <row r="40" spans="1:4" s="3489" customFormat="1"/>
    <row r="41" spans="1:4" s="3489" customFormat="1"/>
    <row r="42" spans="1:4" s="3489" customFormat="1"/>
    <row r="43" spans="1:4" s="3489" customFormat="1"/>
    <row r="44" spans="1:4" s="3489" customFormat="1"/>
    <row r="45" spans="1:4" s="3489" customFormat="1"/>
  </sheetData>
  <sheetProtection password="CEE9" sheet="1" objects="1" scenarios="1" formatCells="0" formatColumns="0" formatRows="0"/>
  <phoneticPr fontId="223" type="noConversion"/>
  <pageMargins left="0.7" right="0.7" top="0.75" bottom="0.75" header="0.3" footer="0.3"/>
  <pageSetup paperSize="9" scale="68"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1" zoomScale="70" zoomScaleNormal="100" zoomScaleSheetLayoutView="70" zoomScalePageLayoutView="80" workbookViewId="0">
      <selection activeCell="F63" sqref="F63"/>
    </sheetView>
  </sheetViews>
  <sheetFormatPr defaultColWidth="12.625" defaultRowHeight="21.75" customHeight="1"/>
  <cols>
    <col min="1" max="2" width="12.625" style="1043" bestFit="1" customWidth="1"/>
    <col min="3" max="4" width="12.625" style="1043" customWidth="1"/>
    <col min="5" max="9" width="12.625" style="1043" bestFit="1" customWidth="1"/>
    <col min="10" max="10" width="2.125" style="237" customWidth="1"/>
    <col min="11" max="12" width="12.625" style="237" customWidth="1"/>
    <col min="13" max="13" width="12.625" style="237"/>
    <col min="14" max="14" width="15.625" style="237" bestFit="1" customWidth="1"/>
    <col min="15" max="19" width="12.625" style="237" bestFit="1" customWidth="1"/>
    <col min="20" max="26" width="12.625" style="237"/>
    <col min="27" max="16384" width="12.625" style="1043"/>
  </cols>
  <sheetData>
    <row r="1" spans="1:22" ht="21.75" customHeight="1" thickBot="1">
      <c r="A1" s="1472" t="s">
        <v>1571</v>
      </c>
      <c r="B1" s="1473"/>
      <c r="C1" s="1498" t="s">
        <v>1572</v>
      </c>
      <c r="D1" s="1499"/>
      <c r="E1" s="1498" t="s">
        <v>1573</v>
      </c>
      <c r="F1" s="1500"/>
      <c r="G1" s="287"/>
      <c r="H1" s="287"/>
      <c r="I1" s="287"/>
      <c r="J1" s="1635"/>
      <c r="K1" s="1635"/>
      <c r="L1" s="1635"/>
      <c r="M1" s="1635"/>
      <c r="N1" s="1635"/>
      <c r="O1" s="1635"/>
      <c r="P1" s="1635"/>
      <c r="Q1" s="1635"/>
      <c r="R1" s="1635"/>
      <c r="S1" s="1635"/>
      <c r="T1" s="1635"/>
      <c r="U1" s="1635"/>
      <c r="V1" s="1635"/>
    </row>
    <row r="2" spans="1:22" ht="21.75" customHeight="1" thickBot="1">
      <c r="A2" s="3667" t="str">
        <f>项目基本情况!K2</f>
        <v>北京市丰台区大红门西后街甲1号“鸿都国际轻纺城”项目划拨国有建设用地使用权</v>
      </c>
      <c r="B2" s="3668"/>
      <c r="C2" s="3669"/>
      <c r="D2" s="3669"/>
      <c r="E2" s="3669"/>
      <c r="F2" s="3669"/>
      <c r="G2" s="3668"/>
      <c r="H2" s="3668"/>
      <c r="I2" s="3670"/>
      <c r="J2" s="1642"/>
      <c r="K2" s="1635"/>
      <c r="L2" s="1635"/>
      <c r="M2" s="1635"/>
      <c r="N2" s="1635"/>
      <c r="O2" s="1635"/>
      <c r="P2" s="1635"/>
      <c r="Q2" s="1635"/>
      <c r="R2" s="1635"/>
      <c r="S2" s="1635"/>
      <c r="T2" s="1635"/>
      <c r="U2" s="1635"/>
      <c r="V2" s="1635"/>
    </row>
    <row r="3" spans="1:22" ht="14.25">
      <c r="A3" s="3678" t="s">
        <v>264</v>
      </c>
      <c r="B3" s="3679"/>
      <c r="C3" s="3679"/>
      <c r="D3" s="3679"/>
      <c r="E3" s="3679"/>
      <c r="F3" s="3679"/>
      <c r="G3" s="3679"/>
      <c r="H3" s="3679"/>
      <c r="I3" s="3679"/>
      <c r="J3" s="1642"/>
      <c r="K3" s="1635"/>
      <c r="L3" s="1635"/>
      <c r="M3" s="1635"/>
      <c r="N3" s="1635"/>
      <c r="O3" s="1635"/>
      <c r="P3" s="1635"/>
      <c r="Q3" s="1635"/>
      <c r="R3" s="1635"/>
      <c r="S3" s="1635"/>
      <c r="T3" s="1635"/>
      <c r="U3" s="1635"/>
      <c r="V3" s="1635"/>
    </row>
    <row r="4" spans="1:22" ht="14.25">
      <c r="A4" s="238" t="s">
        <v>265</v>
      </c>
      <c r="B4" s="239" t="s">
        <v>266</v>
      </c>
      <c r="C4" s="240"/>
      <c r="D4" s="240"/>
      <c r="E4" s="3642" t="s">
        <v>267</v>
      </c>
      <c r="F4" s="3684"/>
      <c r="G4" s="3684"/>
      <c r="H4" s="3684"/>
      <c r="I4" s="3643"/>
      <c r="J4" s="1642"/>
      <c r="K4" s="1635"/>
      <c r="L4" s="1117" t="str">
        <f>IF(ISNUMBER(FIND("比较法",C4)),"比较法",IF(ISNUMBER(FIND("成本法",C4)),"成本法",IF(ISNUMBER(FIND("剩余法",C4)),"剩余法",IF(ISNUMBER(FIND("收益法",C4)),"收益法","基准地价系数修正法"))))</f>
        <v>基准地价系数修正法</v>
      </c>
      <c r="M4" s="865" t="str">
        <f>IF(ISNUMBER(FIND("比较法",D4)),"比较法",IF(ISNUMBER(FIND("成本法",D4)),"成本法",IF(ISNUMBER(FIND("剩余法",D4)),"剩余法",IF(ISNUMBER(FIND("收益法",D4)),"收益法","基准地价系数修正法"))))</f>
        <v>基准地价系数修正法</v>
      </c>
      <c r="N4" s="1635"/>
      <c r="O4" s="1635"/>
      <c r="P4" s="1635"/>
      <c r="Q4" s="1635"/>
      <c r="R4" s="1635"/>
      <c r="S4" s="1635"/>
      <c r="T4" s="1635"/>
      <c r="U4" s="1635"/>
      <c r="V4" s="1635"/>
    </row>
    <row r="5" spans="1:22" ht="14.25">
      <c r="A5" s="3671" t="s">
        <v>268</v>
      </c>
      <c r="B5" s="3672">
        <v>25</v>
      </c>
      <c r="C5" s="3680"/>
      <c r="D5" s="3683"/>
      <c r="E5" s="241" t="s">
        <v>269</v>
      </c>
      <c r="F5" s="242"/>
      <c r="G5" s="242"/>
      <c r="H5" s="242"/>
      <c r="I5" s="243"/>
      <c r="J5" s="1642"/>
      <c r="K5" s="1635"/>
      <c r="L5" s="1635"/>
      <c r="M5" s="1635"/>
      <c r="N5" s="1635"/>
      <c r="O5" s="1635"/>
      <c r="P5" s="1635"/>
      <c r="Q5" s="1635"/>
      <c r="R5" s="1635"/>
      <c r="S5" s="1635"/>
      <c r="T5" s="1635"/>
      <c r="U5" s="1635"/>
      <c r="V5" s="1635"/>
    </row>
    <row r="6" spans="1:22" ht="14.25">
      <c r="A6" s="3671"/>
      <c r="B6" s="3672"/>
      <c r="C6" s="3681"/>
      <c r="D6" s="3683"/>
      <c r="E6" s="241" t="s">
        <v>270</v>
      </c>
      <c r="F6" s="242"/>
      <c r="G6" s="242"/>
      <c r="H6" s="242"/>
      <c r="I6" s="243"/>
      <c r="J6" s="1642"/>
      <c r="K6" s="1635"/>
      <c r="L6" s="1635"/>
      <c r="M6" s="1635"/>
      <c r="N6" s="1635"/>
      <c r="O6" s="1635"/>
      <c r="P6" s="1635"/>
      <c r="Q6" s="1635"/>
      <c r="R6" s="1635"/>
      <c r="S6" s="1635"/>
      <c r="T6" s="1635"/>
      <c r="U6" s="1635"/>
      <c r="V6" s="1635"/>
    </row>
    <row r="7" spans="1:22" ht="14.25">
      <c r="A7" s="3671"/>
      <c r="B7" s="3672"/>
      <c r="C7" s="3682"/>
      <c r="D7" s="3683"/>
      <c r="E7" s="241" t="s">
        <v>271</v>
      </c>
      <c r="F7" s="242"/>
      <c r="G7" s="242"/>
      <c r="H7" s="242"/>
      <c r="I7" s="243"/>
      <c r="J7" s="1642"/>
      <c r="K7" s="1635"/>
      <c r="L7" s="1635"/>
      <c r="M7" s="1635"/>
      <c r="N7" s="1635"/>
      <c r="O7" s="1635"/>
      <c r="P7" s="1635"/>
      <c r="Q7" s="1635"/>
      <c r="R7" s="1635"/>
      <c r="S7" s="1635"/>
      <c r="T7" s="1635"/>
      <c r="U7" s="1635"/>
      <c r="V7" s="1635"/>
    </row>
    <row r="8" spans="1:22" ht="14.25">
      <c r="A8" s="3671" t="s">
        <v>272</v>
      </c>
      <c r="B8" s="3672">
        <v>15</v>
      </c>
      <c r="C8" s="3680"/>
      <c r="D8" s="3683"/>
      <c r="E8" s="241" t="s">
        <v>273</v>
      </c>
      <c r="F8" s="242"/>
      <c r="G8" s="242"/>
      <c r="H8" s="242"/>
      <c r="I8" s="243"/>
      <c r="J8" s="1642"/>
      <c r="K8" s="1635"/>
      <c r="L8" s="1635"/>
      <c r="M8" s="1635"/>
      <c r="N8" s="1635"/>
      <c r="O8" s="1635"/>
      <c r="P8" s="1635"/>
      <c r="Q8" s="1635"/>
      <c r="R8" s="1635"/>
      <c r="S8" s="1635"/>
      <c r="T8" s="1635"/>
      <c r="U8" s="1635"/>
      <c r="V8" s="1635"/>
    </row>
    <row r="9" spans="1:22" ht="14.25">
      <c r="A9" s="3671"/>
      <c r="B9" s="3672"/>
      <c r="C9" s="3682"/>
      <c r="D9" s="3683"/>
      <c r="E9" s="241" t="s">
        <v>274</v>
      </c>
      <c r="F9" s="242"/>
      <c r="G9" s="242"/>
      <c r="H9" s="242"/>
      <c r="I9" s="243"/>
      <c r="J9" s="1642"/>
      <c r="K9" s="1635"/>
      <c r="L9" s="1635"/>
      <c r="M9" s="1635"/>
      <c r="N9" s="1635"/>
      <c r="O9" s="1635"/>
      <c r="P9" s="1635"/>
      <c r="Q9" s="1635"/>
      <c r="R9" s="1635"/>
      <c r="S9" s="1635"/>
      <c r="T9" s="1635"/>
      <c r="U9" s="1635"/>
      <c r="V9" s="1635"/>
    </row>
    <row r="10" spans="1:22" ht="14.25">
      <c r="A10" s="3671" t="s">
        <v>275</v>
      </c>
      <c r="B10" s="3672">
        <v>15</v>
      </c>
      <c r="C10" s="3680"/>
      <c r="D10" s="3683"/>
      <c r="E10" s="241" t="s">
        <v>276</v>
      </c>
      <c r="F10" s="242"/>
      <c r="G10" s="242"/>
      <c r="H10" s="242"/>
      <c r="I10" s="243"/>
      <c r="J10" s="1642"/>
      <c r="K10" s="1635"/>
      <c r="L10" s="1635"/>
      <c r="M10" s="1635"/>
      <c r="N10" s="1635"/>
      <c r="O10" s="1635"/>
      <c r="P10" s="1635"/>
      <c r="Q10" s="1635"/>
      <c r="R10" s="1635"/>
      <c r="S10" s="1635"/>
      <c r="T10" s="1635"/>
      <c r="U10" s="1635"/>
      <c r="V10" s="1635"/>
    </row>
    <row r="11" spans="1:22" ht="14.25">
      <c r="A11" s="3671"/>
      <c r="B11" s="3672"/>
      <c r="C11" s="3682"/>
      <c r="D11" s="3683"/>
      <c r="E11" s="241" t="s">
        <v>277</v>
      </c>
      <c r="F11" s="242"/>
      <c r="G11" s="242"/>
      <c r="H11" s="242"/>
      <c r="I11" s="243"/>
      <c r="J11" s="1642"/>
      <c r="K11" s="1635"/>
      <c r="L11" s="1635"/>
      <c r="M11" s="1635"/>
      <c r="N11" s="1635"/>
      <c r="O11" s="1635"/>
      <c r="P11" s="1635"/>
      <c r="Q11" s="1635"/>
      <c r="R11" s="1635"/>
      <c r="S11" s="1635"/>
      <c r="T11" s="1635"/>
      <c r="U11" s="1635"/>
      <c r="V11" s="1635"/>
    </row>
    <row r="12" spans="1:22" ht="14.25">
      <c r="A12" s="3671" t="s">
        <v>278</v>
      </c>
      <c r="B12" s="3672">
        <v>15</v>
      </c>
      <c r="C12" s="3680"/>
      <c r="D12" s="3683"/>
      <c r="E12" s="241" t="s">
        <v>279</v>
      </c>
      <c r="F12" s="242"/>
      <c r="G12" s="242"/>
      <c r="H12" s="242"/>
      <c r="I12" s="243"/>
      <c r="J12" s="1642"/>
      <c r="K12" s="1635"/>
      <c r="L12" s="1635"/>
      <c r="M12" s="1635"/>
      <c r="N12" s="1635"/>
      <c r="O12" s="1635"/>
      <c r="P12" s="1635"/>
      <c r="Q12" s="1635"/>
      <c r="R12" s="1635"/>
      <c r="S12" s="1635"/>
      <c r="T12" s="1635"/>
      <c r="U12" s="1635"/>
      <c r="V12" s="1635"/>
    </row>
    <row r="13" spans="1:22" ht="14.25">
      <c r="A13" s="3671"/>
      <c r="B13" s="3672"/>
      <c r="C13" s="3682"/>
      <c r="D13" s="3683"/>
      <c r="E13" s="241" t="s">
        <v>280</v>
      </c>
      <c r="F13" s="242"/>
      <c r="G13" s="242"/>
      <c r="H13" s="242"/>
      <c r="I13" s="243"/>
      <c r="J13" s="1642"/>
      <c r="K13" s="1635"/>
      <c r="L13" s="1635"/>
      <c r="M13" s="1635"/>
      <c r="N13" s="1635"/>
      <c r="O13" s="1635"/>
      <c r="P13" s="1635"/>
      <c r="Q13" s="1635"/>
      <c r="R13" s="1635"/>
      <c r="S13" s="1635"/>
      <c r="T13" s="1635"/>
      <c r="U13" s="1635"/>
      <c r="V13" s="1635"/>
    </row>
    <row r="14" spans="1:22" ht="14.25">
      <c r="A14" s="3671" t="s">
        <v>281</v>
      </c>
      <c r="B14" s="3672">
        <v>30</v>
      </c>
      <c r="C14" s="3680"/>
      <c r="D14" s="3683"/>
      <c r="E14" s="241" t="s">
        <v>282</v>
      </c>
      <c r="F14" s="242"/>
      <c r="G14" s="242"/>
      <c r="H14" s="242"/>
      <c r="I14" s="243"/>
      <c r="J14" s="1642"/>
      <c r="K14" s="1635"/>
      <c r="L14" s="1635"/>
      <c r="M14" s="1635"/>
      <c r="N14" s="1635"/>
      <c r="O14" s="1635"/>
      <c r="P14" s="1635"/>
      <c r="Q14" s="1635"/>
      <c r="R14" s="1635"/>
      <c r="S14" s="1635"/>
      <c r="T14" s="1635"/>
      <c r="U14" s="1635"/>
      <c r="V14" s="1635"/>
    </row>
    <row r="15" spans="1:22" ht="14.25">
      <c r="A15" s="3671"/>
      <c r="B15" s="3672"/>
      <c r="C15" s="3681"/>
      <c r="D15" s="3683"/>
      <c r="E15" s="241" t="s">
        <v>283</v>
      </c>
      <c r="F15" s="242"/>
      <c r="G15" s="242"/>
      <c r="H15" s="242"/>
      <c r="I15" s="243"/>
      <c r="J15" s="1642"/>
      <c r="K15" s="1635"/>
      <c r="L15" s="1635"/>
      <c r="M15" s="1635"/>
      <c r="N15" s="1635"/>
      <c r="O15" s="1635"/>
      <c r="P15" s="1635"/>
      <c r="Q15" s="1635"/>
      <c r="R15" s="1635"/>
      <c r="S15" s="1635"/>
      <c r="T15" s="1635"/>
      <c r="U15" s="1635"/>
      <c r="V15" s="1635"/>
    </row>
    <row r="16" spans="1:22" ht="14.25">
      <c r="A16" s="3671"/>
      <c r="B16" s="3672"/>
      <c r="C16" s="3682"/>
      <c r="D16" s="3683"/>
      <c r="E16" s="241" t="s">
        <v>284</v>
      </c>
      <c r="F16" s="242"/>
      <c r="G16" s="242"/>
      <c r="H16" s="242"/>
      <c r="I16" s="243"/>
      <c r="J16" s="1642"/>
      <c r="K16" s="1635"/>
      <c r="L16" s="1635"/>
      <c r="M16" s="1635"/>
      <c r="N16" s="1635"/>
      <c r="O16" s="1635"/>
      <c r="P16" s="1635"/>
      <c r="Q16" s="1635"/>
      <c r="R16" s="1635"/>
      <c r="S16" s="1635"/>
      <c r="T16" s="1635"/>
      <c r="U16" s="1635"/>
      <c r="V16" s="1635"/>
    </row>
    <row r="17" spans="1:22" ht="15">
      <c r="A17" s="244" t="s">
        <v>285</v>
      </c>
      <c r="B17" s="125"/>
      <c r="C17" s="245">
        <f>SUM(C5:C16)</f>
        <v>0</v>
      </c>
      <c r="D17" s="245">
        <f>SUM(D5:D16)</f>
        <v>0</v>
      </c>
      <c r="E17" s="287"/>
      <c r="F17" s="287"/>
      <c r="G17" s="287"/>
      <c r="H17" s="287"/>
      <c r="I17" s="287"/>
      <c r="J17" s="1642"/>
      <c r="K17" s="1635"/>
      <c r="L17" s="1635"/>
      <c r="M17" s="1635"/>
      <c r="N17" s="1635"/>
      <c r="O17" s="1635"/>
      <c r="P17" s="1635"/>
      <c r="Q17" s="1635"/>
      <c r="R17" s="1635"/>
      <c r="S17" s="1635"/>
      <c r="T17" s="1635"/>
      <c r="U17" s="1635"/>
      <c r="V17" s="1635"/>
    </row>
    <row r="18" spans="1:22" ht="32.450000000000003" customHeight="1" thickBot="1">
      <c r="A18" s="246" t="s">
        <v>286</v>
      </c>
      <c r="B18" s="96"/>
      <c r="C18" s="247" t="e">
        <f>ROUND(C17/SUM(C17:D17),2)</f>
        <v>#DIV/0!</v>
      </c>
      <c r="D18" s="247" t="e">
        <f>1-C18</f>
        <v>#DIV/0!</v>
      </c>
      <c r="E18" s="3685" t="s">
        <v>2248</v>
      </c>
      <c r="F18" s="3686"/>
      <c r="G18" s="3686"/>
      <c r="H18" s="3686"/>
      <c r="I18" s="3686"/>
      <c r="J18" s="1635"/>
      <c r="K18" s="1635"/>
      <c r="L18" s="1635"/>
      <c r="M18" s="1635"/>
      <c r="N18" s="1635"/>
      <c r="O18" s="1635"/>
      <c r="P18" s="1635"/>
      <c r="Q18" s="1635"/>
      <c r="R18" s="1635"/>
      <c r="S18" s="1635"/>
      <c r="T18" s="1635"/>
      <c r="U18" s="1635"/>
      <c r="V18" s="1635"/>
    </row>
    <row r="19" spans="1:22" ht="15">
      <c r="A19" s="248" t="s">
        <v>287</v>
      </c>
      <c r="B19" s="249" t="s">
        <v>288</v>
      </c>
      <c r="C19" s="250" t="e">
        <f ca="1">SUMIF(INDIRECT("'"&amp;C4&amp;"'"&amp;"!A:A"),结果表!B19,INDIRECT("'"&amp;C4&amp;"'"&amp;"!B:B"))</f>
        <v>#REF!</v>
      </c>
      <c r="D19" s="251" t="e">
        <f ca="1">SUMIF(INDIRECT("'"&amp;D4&amp;"'"&amp;"!A:A"),结果表!B19,INDIRECT("'"&amp;D4&amp;"'"&amp;"!B:B"))</f>
        <v>#REF!</v>
      </c>
      <c r="E19" s="248" t="s">
        <v>289</v>
      </c>
      <c r="F19" s="249" t="s">
        <v>288</v>
      </c>
      <c r="G19" s="252" t="e">
        <f ca="1">ROUND(C19*$C$18+D19*$D$18,0)</f>
        <v>#REF!</v>
      </c>
      <c r="H19" s="253" t="s">
        <v>290</v>
      </c>
      <c r="I19" s="287"/>
      <c r="J19" s="1635"/>
      <c r="K19" s="1635"/>
      <c r="L19" s="1635"/>
      <c r="M19" s="1635"/>
      <c r="N19" s="1635"/>
      <c r="O19" s="1635"/>
      <c r="P19" s="1635"/>
      <c r="Q19" s="1635"/>
      <c r="R19" s="1635"/>
      <c r="S19" s="1635"/>
      <c r="T19" s="1635"/>
      <c r="U19" s="1635"/>
      <c r="V19" s="1635"/>
    </row>
    <row r="20" spans="1:22" ht="15">
      <c r="A20" s="254"/>
      <c r="B20" s="102" t="s">
        <v>291</v>
      </c>
      <c r="C20" s="255" t="e">
        <f ca="1">SUMIF(INDIRECT("'"&amp;C4&amp;"'"&amp;"!A:A"),结果表!B20,INDIRECT("'"&amp;C4&amp;"'"&amp;"!B:B"))</f>
        <v>#REF!</v>
      </c>
      <c r="D20" s="256" t="e">
        <f ca="1">SUMIF(INDIRECT("'"&amp;D4&amp;"'"&amp;"!A:A"),结果表!B20,INDIRECT("'"&amp;D4&amp;"'"&amp;"!B:B"))</f>
        <v>#REF!</v>
      </c>
      <c r="E20" s="254"/>
      <c r="F20" s="102" t="s">
        <v>291</v>
      </c>
      <c r="G20" s="257" t="e">
        <f ca="1">ROUND(C20*$C$18+D20*$D$18,0)</f>
        <v>#REF!</v>
      </c>
      <c r="H20" s="258" t="s">
        <v>292</v>
      </c>
      <c r="I20" s="287"/>
      <c r="J20" s="1635"/>
      <c r="K20" s="1635"/>
      <c r="L20" s="1635"/>
      <c r="M20" s="1635"/>
      <c r="N20" s="1635"/>
      <c r="O20" s="1635"/>
      <c r="P20" s="1635"/>
      <c r="Q20" s="1635"/>
      <c r="R20" s="1635"/>
      <c r="S20" s="1635"/>
      <c r="T20" s="1635"/>
      <c r="U20" s="1635"/>
      <c r="V20" s="1635"/>
    </row>
    <row r="21" spans="1:22" ht="15" customHeight="1">
      <c r="A21" s="254"/>
      <c r="B21" s="106" t="s">
        <v>293</v>
      </c>
      <c r="C21" s="259" t="e">
        <f ca="1">SUMIF(INDIRECT("'"&amp;C4&amp;"'"&amp;"!A:A"),结果表!B21,INDIRECT("'"&amp;C4&amp;"'"&amp;"!B:B"))</f>
        <v>#REF!</v>
      </c>
      <c r="D21" s="135" t="e">
        <f ca="1">SUMIF(INDIRECT("'"&amp;D4&amp;"'"&amp;"!A:A"),结果表!B21,INDIRECT("'"&amp;D4&amp;"'"&amp;"!B:B"))</f>
        <v>#REF!</v>
      </c>
      <c r="E21" s="254"/>
      <c r="F21" s="106" t="s">
        <v>293</v>
      </c>
      <c r="G21" s="260" t="e">
        <f ca="1">ROUND(C21*$C$18+D21*$D$18,0)</f>
        <v>#REF!</v>
      </c>
      <c r="H21" s="258" t="s">
        <v>292</v>
      </c>
      <c r="I21" s="287"/>
      <c r="J21" s="1635"/>
      <c r="K21" s="1635"/>
      <c r="L21" s="1635"/>
      <c r="M21" s="1635"/>
      <c r="N21" s="1635"/>
      <c r="O21" s="1635"/>
      <c r="P21" s="1635"/>
      <c r="Q21" s="1635"/>
      <c r="R21" s="1635"/>
      <c r="S21" s="1635"/>
      <c r="T21" s="1635"/>
      <c r="U21" s="1635"/>
      <c r="V21" s="1635"/>
    </row>
    <row r="22" spans="1:22" ht="15.75" thickBot="1">
      <c r="A22" s="117" t="s">
        <v>294</v>
      </c>
      <c r="B22" s="1059"/>
      <c r="C22" s="241"/>
      <c r="D22" s="261" t="e">
        <f ca="1">IF(C19&lt;D19,D19/C19-1,C19/D19-1)</f>
        <v>#REF!</v>
      </c>
      <c r="E22" s="262"/>
      <c r="F22" s="263"/>
      <c r="G22" s="264" t="e">
        <f ca="1">ROUND(G19/('数据-汇总表'!D3/666.67),0)</f>
        <v>#REF!</v>
      </c>
      <c r="H22" s="265" t="s">
        <v>295</v>
      </c>
      <c r="I22" s="287"/>
      <c r="J22" s="1635"/>
      <c r="K22" s="1635"/>
      <c r="L22" s="1635"/>
      <c r="M22" s="1635"/>
      <c r="N22" s="1635"/>
      <c r="O22" s="1635"/>
      <c r="P22" s="1635"/>
      <c r="Q22" s="1635"/>
      <c r="R22" s="1635"/>
      <c r="S22" s="1635"/>
      <c r="T22" s="1635"/>
      <c r="U22" s="1635"/>
      <c r="V22" s="1635"/>
    </row>
    <row r="23" spans="1:22" ht="13.5" thickBot="1">
      <c r="A23" s="287"/>
      <c r="B23" s="287"/>
      <c r="C23" s="287"/>
      <c r="D23" s="287"/>
      <c r="E23" s="287"/>
      <c r="F23" s="287"/>
      <c r="G23" s="287"/>
      <c r="H23" s="287"/>
      <c r="I23" s="287"/>
      <c r="J23" s="1635"/>
      <c r="K23" s="1635"/>
      <c r="L23" s="1635"/>
      <c r="M23" s="1635"/>
      <c r="N23" s="1635"/>
      <c r="O23" s="1635"/>
      <c r="P23" s="1635"/>
      <c r="Q23" s="1635"/>
      <c r="R23" s="1635"/>
      <c r="S23" s="1635"/>
      <c r="T23" s="1635"/>
      <c r="U23" s="1635"/>
      <c r="V23" s="1635"/>
    </row>
    <row r="24" spans="1:22" ht="15" thickBot="1">
      <c r="A24" s="3644" t="s">
        <v>296</v>
      </c>
      <c r="B24" s="249" t="s">
        <v>288</v>
      </c>
      <c r="C24" s="266">
        <f>IF(B30=0,0,D30)</f>
        <v>0</v>
      </c>
      <c r="D24" s="267"/>
      <c r="E24" s="287"/>
      <c r="F24" s="287"/>
      <c r="G24" s="287"/>
      <c r="H24" s="287"/>
      <c r="I24" s="287"/>
      <c r="J24" s="1635"/>
      <c r="K24" s="1635"/>
      <c r="L24" s="1635"/>
      <c r="M24" s="1635"/>
      <c r="N24" s="1635"/>
      <c r="O24" s="1635"/>
      <c r="P24" s="1635"/>
      <c r="Q24" s="1635"/>
      <c r="R24" s="1635"/>
      <c r="S24" s="1635"/>
      <c r="T24" s="1635"/>
      <c r="U24" s="1635"/>
      <c r="V24" s="1635"/>
    </row>
    <row r="25" spans="1:22" ht="18">
      <c r="A25" s="3691"/>
      <c r="B25" s="1123" t="s">
        <v>297</v>
      </c>
      <c r="C25" s="268">
        <f>IF(B30=0,0,C30)</f>
        <v>0</v>
      </c>
      <c r="D25" s="269"/>
      <c r="E25" s="287"/>
      <c r="F25" s="287"/>
      <c r="G25" s="287"/>
      <c r="H25" s="287"/>
      <c r="I25" s="287"/>
      <c r="J25" s="1635"/>
      <c r="K25" s="1060" t="e">
        <f ca="1">项目基本情况!A17&amp;"国有建设用地使用权价格："&amp;O38&amp;"万元"</f>
        <v>#REF!</v>
      </c>
      <c r="L25" s="1061"/>
      <c r="M25" s="1061"/>
      <c r="N25" s="1061"/>
      <c r="O25" s="1062"/>
      <c r="P25" s="1635"/>
      <c r="Q25" s="1635"/>
      <c r="R25" s="1635"/>
      <c r="S25" s="1635"/>
      <c r="T25" s="1635"/>
      <c r="U25" s="1635"/>
      <c r="V25" s="1635"/>
    </row>
    <row r="26" spans="1:22" ht="18">
      <c r="A26" s="270" t="s">
        <v>298</v>
      </c>
      <c r="B26" s="271" t="s">
        <v>299</v>
      </c>
      <c r="C26" s="271" t="s">
        <v>300</v>
      </c>
      <c r="D26" s="272" t="s">
        <v>301</v>
      </c>
      <c r="E26" s="287"/>
      <c r="F26" s="287"/>
      <c r="G26" s="287"/>
      <c r="H26" s="287"/>
      <c r="I26" s="287"/>
      <c r="J26" s="1635"/>
      <c r="K26" s="1063" t="e">
        <f ca="1">"大写金额：人民币"&amp;NUMBERSTRING(INT(O38*10000),2)&amp;"元整"</f>
        <v>#REF!</v>
      </c>
      <c r="L26" s="1059"/>
      <c r="M26" s="1059"/>
      <c r="N26" s="1059"/>
      <c r="O26" s="258"/>
      <c r="P26" s="1635"/>
      <c r="Q26" s="1635"/>
      <c r="R26" s="1635"/>
      <c r="S26" s="1635"/>
      <c r="T26" s="1635"/>
      <c r="U26" s="1635"/>
      <c r="V26" s="1635"/>
    </row>
    <row r="27" spans="1:22" ht="18">
      <c r="A27" s="270"/>
      <c r="B27" s="271"/>
      <c r="C27" s="271"/>
      <c r="D27" s="272"/>
      <c r="E27" s="287"/>
      <c r="F27" s="287"/>
      <c r="G27" s="287"/>
      <c r="H27" s="287"/>
      <c r="I27" s="287"/>
      <c r="J27" s="1635"/>
      <c r="K27" s="1063" t="e">
        <f ca="1">"单位面积地价："&amp;M38&amp;"元/平方米"</f>
        <v>#REF!</v>
      </c>
      <c r="L27" s="1059"/>
      <c r="M27" s="1059"/>
      <c r="N27" s="1059"/>
      <c r="O27" s="258"/>
      <c r="P27" s="1635"/>
      <c r="Q27" s="1635"/>
      <c r="R27" s="1635"/>
      <c r="S27" s="1635"/>
      <c r="T27" s="1635"/>
      <c r="U27" s="1635"/>
      <c r="V27" s="1635"/>
    </row>
    <row r="28" spans="1:22" ht="18.75" customHeight="1">
      <c r="A28" s="270"/>
      <c r="B28" s="271"/>
      <c r="C28" s="271"/>
      <c r="D28" s="272"/>
      <c r="E28" s="287"/>
      <c r="F28" s="287"/>
      <c r="G28" s="287"/>
      <c r="H28" s="287"/>
      <c r="I28" s="287"/>
      <c r="J28" s="1635"/>
      <c r="K28" s="1063" t="e">
        <f ca="1">"楼面地价："&amp;N38&amp;"元/平方米"</f>
        <v>#REF!</v>
      </c>
      <c r="L28" s="1059"/>
      <c r="M28" s="1059"/>
      <c r="N28" s="1059"/>
      <c r="O28" s="258"/>
      <c r="P28" s="1635"/>
      <c r="V28" s="1635"/>
    </row>
    <row r="29" spans="1:22" ht="18">
      <c r="A29" s="270"/>
      <c r="B29" s="271"/>
      <c r="C29" s="271"/>
      <c r="D29" s="272"/>
      <c r="E29" s="287"/>
      <c r="F29" s="287"/>
      <c r="G29" s="287"/>
      <c r="H29" s="287"/>
      <c r="I29" s="287"/>
      <c r="J29" s="1635"/>
      <c r="K29" s="1063" t="str">
        <f>IF(OR(项目基本情况!E8="抵押价格",项目基本情况!E8="已注销及未注销"),"抵押价格："&amp;O39&amp;"万元","——")</f>
        <v>——</v>
      </c>
      <c r="L29" s="1059"/>
      <c r="M29" s="1059"/>
      <c r="N29" s="1059"/>
      <c r="O29" s="258"/>
      <c r="P29" s="1635"/>
      <c r="V29" s="1635"/>
    </row>
    <row r="30" spans="1:22" ht="18.75" thickBot="1">
      <c r="A30" s="2364" t="s">
        <v>302</v>
      </c>
      <c r="B30" s="285"/>
      <c r="C30" s="285"/>
      <c r="D30" s="286"/>
      <c r="E30" s="2538" t="s">
        <v>2249</v>
      </c>
      <c r="F30" s="287"/>
      <c r="G30" s="287"/>
      <c r="H30" s="287"/>
      <c r="I30" s="287"/>
      <c r="J30" s="1635"/>
      <c r="K30" s="1063" t="str">
        <f>IF(K29="——","——","大写金额：人民币"&amp;NUMBERSTRING(INT(O39*10000),2)&amp;"元整")</f>
        <v>——</v>
      </c>
      <c r="L30" s="1059"/>
      <c r="M30" s="1059"/>
      <c r="N30" s="1059"/>
      <c r="O30" s="258"/>
      <c r="P30" s="1635"/>
      <c r="V30" s="1635"/>
    </row>
    <row r="31" spans="1:22" ht="24" customHeight="1" thickBot="1">
      <c r="A31" s="3687" t="s">
        <v>2250</v>
      </c>
      <c r="B31" s="3687"/>
      <c r="C31" s="3687"/>
      <c r="D31" s="3687"/>
      <c r="E31" s="3687"/>
      <c r="F31" s="3687"/>
      <c r="G31" s="3687"/>
      <c r="H31" s="3687"/>
      <c r="I31" s="3687"/>
      <c r="J31" s="1635"/>
      <c r="K31" s="1979" t="str">
        <f>IF(项目基本情况!E8="抵押价格","——","抵押担保权已注销时的抵押价格："&amp;O40&amp;"万元")</f>
        <v>抵押担保权已注销时的抵押价格：——万元</v>
      </c>
      <c r="L31" s="1976"/>
      <c r="M31" s="1976"/>
      <c r="N31" s="1976"/>
      <c r="O31" s="1977"/>
      <c r="P31" s="1635"/>
      <c r="V31" s="1635"/>
    </row>
    <row r="32" spans="1:22" ht="19.5" thickTop="1" thickBot="1">
      <c r="A32" s="254" t="s">
        <v>303</v>
      </c>
      <c r="B32" s="2539" t="s">
        <v>1221</v>
      </c>
      <c r="C32" s="246" t="e">
        <f ca="1">G19-C24</f>
        <v>#REF!</v>
      </c>
      <c r="D32" s="2540" t="s">
        <v>1222</v>
      </c>
      <c r="E32" s="287"/>
      <c r="F32" s="287"/>
      <c r="G32" s="287"/>
      <c r="H32" s="287"/>
      <c r="I32" s="287"/>
      <c r="J32" s="1635"/>
      <c r="K32" s="1975" t="e">
        <f>IF(K31="——","——","大写金额：人民币"&amp;NUMBERSTRING(INT(O40*10000),2)&amp;"元整")</f>
        <v>#VALUE!</v>
      </c>
      <c r="L32" s="1635"/>
      <c r="M32" s="1635"/>
      <c r="N32" s="1635"/>
      <c r="O32" s="1978"/>
      <c r="P32" s="1635"/>
      <c r="V32" s="1635"/>
    </row>
    <row r="33" spans="1:22" ht="18.75" thickBot="1">
      <c r="A33" s="275" t="s">
        <v>306</v>
      </c>
      <c r="B33" s="1171" t="s">
        <v>1223</v>
      </c>
      <c r="C33" s="244" t="e">
        <f ca="1">ROUND(C32*10000/'数据-汇总表'!E3,0)</f>
        <v>#REF!</v>
      </c>
      <c r="D33" s="1172" t="s">
        <v>1224</v>
      </c>
      <c r="E33" s="3644" t="s">
        <v>304</v>
      </c>
      <c r="F33" s="273" t="s">
        <v>305</v>
      </c>
      <c r="G33" s="274"/>
      <c r="H33" s="893"/>
      <c r="I33" s="1064"/>
      <c r="J33" s="1635"/>
      <c r="K33" s="1063" t="str">
        <f>IF(项目基本情况!E9="——","——","抵押净值："&amp;C46&amp;"万元")</f>
        <v>抵押净值：——万元</v>
      </c>
      <c r="L33" s="1059"/>
      <c r="M33" s="1059"/>
      <c r="N33" s="1059"/>
      <c r="O33" s="258"/>
      <c r="P33" s="1635"/>
      <c r="V33" s="1635"/>
    </row>
    <row r="34" spans="1:22" ht="18.75" thickBot="1">
      <c r="A34" s="277"/>
      <c r="B34" s="98" t="s">
        <v>1225</v>
      </c>
      <c r="C34" s="244" t="e">
        <f ca="1">ROUND(C32*10000/'数据-汇总表'!D3,0)</f>
        <v>#REF!</v>
      </c>
      <c r="D34" s="1172" t="s">
        <v>1224</v>
      </c>
      <c r="E34" s="3645"/>
      <c r="F34" s="118" t="s">
        <v>307</v>
      </c>
      <c r="G34" s="276"/>
      <c r="H34" s="96"/>
      <c r="I34" s="287"/>
      <c r="J34" s="1635"/>
      <c r="K34" s="1066" t="e">
        <f>IF(K33="——","——","大写金额：人民币"&amp;NUMBERSTRING(INT(O41*10000),2)&amp;"元整")</f>
        <v>#VALUE!</v>
      </c>
      <c r="L34" s="1067"/>
      <c r="M34" s="1067"/>
      <c r="N34" s="1067"/>
      <c r="O34" s="1068"/>
      <c r="P34" s="1635"/>
      <c r="V34" s="1635"/>
    </row>
    <row r="35" spans="1:22" ht="15.75" thickBot="1">
      <c r="A35" s="262"/>
      <c r="B35" s="1173"/>
      <c r="C35" s="1174" t="e">
        <f ca="1">ROUND(C32/('数据-汇总表'!D3/666.67),0)</f>
        <v>#REF!</v>
      </c>
      <c r="D35" s="1175" t="s">
        <v>1226</v>
      </c>
      <c r="E35" s="3646"/>
      <c r="F35" s="278" t="s">
        <v>308</v>
      </c>
      <c r="G35" s="895"/>
      <c r="H35" s="894" t="s">
        <v>309</v>
      </c>
      <c r="I35" s="287"/>
      <c r="J35" s="1635"/>
      <c r="K35" s="3650" t="s">
        <v>316</v>
      </c>
      <c r="L35" s="3650" t="s">
        <v>317</v>
      </c>
      <c r="M35" s="1069" t="s">
        <v>318</v>
      </c>
      <c r="N35" s="3650" t="s">
        <v>319</v>
      </c>
      <c r="O35" s="3650" t="s">
        <v>320</v>
      </c>
      <c r="P35" s="1635"/>
      <c r="V35" s="1635"/>
    </row>
    <row r="36" spans="1:22" ht="16.5" customHeight="1">
      <c r="A36" s="280" t="s">
        <v>310</v>
      </c>
      <c r="B36" s="281" t="s">
        <v>299</v>
      </c>
      <c r="C36" s="282" t="s">
        <v>311</v>
      </c>
      <c r="D36" s="282" t="s">
        <v>312</v>
      </c>
      <c r="E36" s="283" t="s">
        <v>313</v>
      </c>
      <c r="F36" s="287"/>
      <c r="G36" s="287"/>
      <c r="H36" s="287"/>
      <c r="I36" s="287"/>
      <c r="J36" s="1643"/>
      <c r="K36" s="3651"/>
      <c r="L36" s="3651"/>
      <c r="M36" s="1071" t="s">
        <v>321</v>
      </c>
      <c r="N36" s="3651"/>
      <c r="O36" s="3651"/>
      <c r="P36" s="1635"/>
      <c r="V36" s="1635"/>
    </row>
    <row r="37" spans="1:22" ht="16.5" customHeight="1" thickBot="1">
      <c r="A37" s="1065" t="s">
        <v>314</v>
      </c>
      <c r="B37" s="270"/>
      <c r="C37" s="271"/>
      <c r="D37" s="271"/>
      <c r="E37" s="272"/>
      <c r="F37" s="287"/>
      <c r="G37" s="287"/>
      <c r="H37" s="287"/>
      <c r="I37" s="287"/>
      <c r="J37" s="1643"/>
      <c r="K37" s="3652"/>
      <c r="L37" s="3652"/>
      <c r="M37" s="1072"/>
      <c r="N37" s="3652"/>
      <c r="O37" s="3652"/>
      <c r="P37" s="1635"/>
      <c r="V37" s="1635"/>
    </row>
    <row r="38" spans="1:22" ht="16.5" customHeight="1" thickBot="1">
      <c r="A38" s="1065" t="s">
        <v>315</v>
      </c>
      <c r="B38" s="270"/>
      <c r="C38" s="271"/>
      <c r="D38" s="271"/>
      <c r="E38" s="272"/>
      <c r="F38" s="287"/>
      <c r="G38" s="287"/>
      <c r="H38" s="287"/>
      <c r="I38" s="287"/>
      <c r="J38" s="1643"/>
      <c r="K38" s="1073">
        <f>'数据-汇总表'!D3</f>
        <v>17556.580000000002</v>
      </c>
      <c r="L38" s="1074">
        <f>'数据-汇总表'!E3</f>
        <v>5006.88</v>
      </c>
      <c r="M38" s="1074" t="e">
        <f ca="1">C34</f>
        <v>#REF!</v>
      </c>
      <c r="N38" s="1074" t="e">
        <f ca="1">C33</f>
        <v>#REF!</v>
      </c>
      <c r="O38" s="1075" t="e">
        <f ca="1">C32</f>
        <v>#REF!</v>
      </c>
      <c r="P38" s="1635"/>
      <c r="V38" s="1635"/>
    </row>
    <row r="39" spans="1:22" ht="16.5" customHeight="1" thickBot="1">
      <c r="A39" s="1070"/>
      <c r="B39" s="284"/>
      <c r="C39" s="285"/>
      <c r="D39" s="285"/>
      <c r="E39" s="286"/>
      <c r="F39" s="287"/>
      <c r="G39" s="287"/>
      <c r="H39" s="287"/>
      <c r="I39" s="287"/>
      <c r="J39" s="1643"/>
      <c r="K39" s="3663" t="str">
        <f>MID(A44,3,LEN(A44)-2)</f>
        <v/>
      </c>
      <c r="L39" s="3664"/>
      <c r="M39" s="3664"/>
      <c r="N39" s="3665"/>
      <c r="O39" s="1177" t="str">
        <f>C44</f>
        <v>——</v>
      </c>
      <c r="P39" s="1635"/>
      <c r="V39" s="1635"/>
    </row>
    <row r="40" spans="1:22" ht="19.5" thickBot="1">
      <c r="A40" s="95" t="s">
        <v>810</v>
      </c>
      <c r="B40" s="287"/>
      <c r="C40" s="287"/>
      <c r="D40" s="287"/>
      <c r="E40" s="287"/>
      <c r="F40" s="287"/>
      <c r="G40" s="287"/>
      <c r="H40" s="287"/>
      <c r="I40" s="287"/>
      <c r="J40" s="1643"/>
      <c r="K40" s="3663" t="str">
        <f>MID(A45,3,LEN(A45)-2)</f>
        <v/>
      </c>
      <c r="L40" s="3664"/>
      <c r="M40" s="3664"/>
      <c r="N40" s="3665"/>
      <c r="O40" s="1177" t="str">
        <f>C45</f>
        <v>——</v>
      </c>
      <c r="P40" s="1635"/>
      <c r="V40" s="1635"/>
    </row>
    <row r="41" spans="1:22" ht="16.5" thickBot="1">
      <c r="A41" s="288" t="s">
        <v>322</v>
      </c>
      <c r="B41" s="289"/>
      <c r="C41" s="290" t="s">
        <v>323</v>
      </c>
      <c r="D41" s="291" t="s">
        <v>324</v>
      </c>
      <c r="E41" s="291" t="s">
        <v>325</v>
      </c>
      <c r="F41" s="292" t="s">
        <v>326</v>
      </c>
      <c r="G41" s="287"/>
      <c r="H41" s="287"/>
      <c r="I41" s="287"/>
      <c r="J41" s="1643"/>
      <c r="K41" s="3663" t="str">
        <f>MID(A46,3,LEN(A46)-2)</f>
        <v/>
      </c>
      <c r="L41" s="3664"/>
      <c r="M41" s="3664"/>
      <c r="N41" s="3665"/>
      <c r="O41" s="1177" t="str">
        <f>C46</f>
        <v>——</v>
      </c>
      <c r="P41" s="1635"/>
      <c r="V41" s="1635"/>
    </row>
    <row r="42" spans="1:22" ht="29.25">
      <c r="A42" s="3692" t="s">
        <v>1583</v>
      </c>
      <c r="B42" s="3693"/>
      <c r="C42" s="244" t="e">
        <f ca="1">C32</f>
        <v>#REF!</v>
      </c>
      <c r="D42" s="293" t="e">
        <f ca="1">C33</f>
        <v>#REF!</v>
      </c>
      <c r="E42" s="293" t="e">
        <f ca="1">C34</f>
        <v>#REF!</v>
      </c>
      <c r="F42" s="294" t="e">
        <f ca="1">C35</f>
        <v>#REF!</v>
      </c>
      <c r="G42" s="287"/>
      <c r="H42" s="287"/>
      <c r="I42" s="295"/>
      <c r="J42" s="1643"/>
      <c r="K42" s="1076" t="s">
        <v>327</v>
      </c>
      <c r="L42" s="1659" t="s">
        <v>328</v>
      </c>
      <c r="M42" s="1077" t="s">
        <v>329</v>
      </c>
      <c r="N42" s="1660" t="s">
        <v>330</v>
      </c>
      <c r="O42" s="1661" t="s">
        <v>331</v>
      </c>
      <c r="P42" s="1635"/>
      <c r="V42" s="1635"/>
    </row>
    <row r="43" spans="1:22" ht="18">
      <c r="A43" s="3702" t="s">
        <v>2009</v>
      </c>
      <c r="B43" s="3703"/>
      <c r="C43" s="244">
        <f>IF(H33="正常操作",G33+G34+G35,G34+G35)</f>
        <v>0</v>
      </c>
      <c r="D43" s="293" t="s">
        <v>17</v>
      </c>
      <c r="E43" s="293" t="s">
        <v>18</v>
      </c>
      <c r="F43" s="294" t="s">
        <v>18</v>
      </c>
      <c r="G43" s="2170" t="s">
        <v>877</v>
      </c>
      <c r="H43" s="287"/>
      <c r="I43" s="295"/>
      <c r="J43" s="1643"/>
      <c r="K43" s="1078">
        <f>C4</f>
        <v>0</v>
      </c>
      <c r="L43" s="1079" t="e">
        <f ca="1">IF(L42="估价结果/万元",C19,C20)</f>
        <v>#REF!</v>
      </c>
      <c r="M43" s="1080" t="e">
        <f>C18</f>
        <v>#DIV/0!</v>
      </c>
      <c r="N43" s="1081" t="e">
        <f ca="1">IF(N42="测算结果/万元",G19,G20)</f>
        <v>#REF!</v>
      </c>
      <c r="O43" s="1082" t="e">
        <f ca="1">IF(O42="最终结果/万元",C32,C33)</f>
        <v>#REF!</v>
      </c>
      <c r="P43" s="1635"/>
      <c r="V43" s="1635"/>
    </row>
    <row r="44" spans="1:22" ht="18.75" thickBot="1">
      <c r="A44" s="3692" t="str">
        <f>IF(OR(项目基本情况!E8="抵押价格",项目基本情况!E8="已注销及未注销"),"3.抵押价格","——")</f>
        <v>——</v>
      </c>
      <c r="B44" s="3693"/>
      <c r="C44" s="244" t="str">
        <f>IF(A44="——","——",C42-C43)</f>
        <v>——</v>
      </c>
      <c r="D44" s="293" t="e">
        <f>ROUND(C44*10000/'数据-汇总表'!E3,0)</f>
        <v>#VALUE!</v>
      </c>
      <c r="E44" s="293" t="e">
        <f>ROUND(C44*10000/'数据-汇总表'!D3,0)</f>
        <v>#VALUE!</v>
      </c>
      <c r="F44" s="294" t="e">
        <f>ROUND(C44/('数据-汇总表'!D3/666.67),0)</f>
        <v>#VALUE!</v>
      </c>
      <c r="G44" s="287"/>
      <c r="H44" s="287"/>
      <c r="I44" s="295"/>
      <c r="J44" s="1643"/>
      <c r="K44" s="1083">
        <f>D4</f>
        <v>0</v>
      </c>
      <c r="L44" s="1084" t="e">
        <f ca="1">IF(L42="估价结果/万元",D19,D20)</f>
        <v>#REF!</v>
      </c>
      <c r="M44" s="1085" t="e">
        <f>D18</f>
        <v>#DIV/0!</v>
      </c>
      <c r="N44" s="1086"/>
      <c r="O44" s="1087"/>
      <c r="P44" s="1635"/>
      <c r="V44" s="1635"/>
    </row>
    <row r="45" spans="1:22" ht="15">
      <c r="A45" s="3697" t="str">
        <f>IF(项目基本情况!E8="已注销及未注销","4.抵押担保权已注销时的抵押价格",IF(项目基本情况!E8="已注销","3.抵押担保权已注销时的抵押价格","——"))</f>
        <v>——</v>
      </c>
      <c r="B45" s="3698"/>
      <c r="C45" s="1497"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3"/>
      <c r="K45" s="1635"/>
      <c r="L45" s="1635"/>
      <c r="M45" s="1635"/>
      <c r="N45" s="1635"/>
      <c r="O45" s="1635"/>
      <c r="P45" s="1635"/>
      <c r="V45" s="1635"/>
    </row>
    <row r="46" spans="1:22" ht="15.75" thickBot="1">
      <c r="A46" s="3694" t="str">
        <f>IF(项目基本情况!E9="抵押净值",IF(A45="——","4.抵押净值","5.抵押净值"),"——")</f>
        <v>——</v>
      </c>
      <c r="B46" s="3695"/>
      <c r="C46" s="296" t="str">
        <f>IF(A46="——","——",O79)</f>
        <v>——</v>
      </c>
      <c r="D46" s="293" t="e">
        <f>ROUND(C46*10000/'数据-汇总表'!E3,0)</f>
        <v>#VALUE!</v>
      </c>
      <c r="E46" s="293" t="e">
        <f>ROUND(C46*10000/'数据-汇总表'!D3,0)</f>
        <v>#VALUE!</v>
      </c>
      <c r="F46" s="294" t="e">
        <f>ROUND(C46/('数据-汇总表'!D3/666.67),0)</f>
        <v>#VALUE!</v>
      </c>
      <c r="G46" s="287"/>
      <c r="H46" s="287"/>
      <c r="I46" s="295"/>
      <c r="J46" s="1643"/>
      <c r="K46" s="1635"/>
      <c r="L46" s="1635"/>
      <c r="M46" s="1635"/>
      <c r="N46" s="1635"/>
      <c r="O46" s="1635"/>
      <c r="P46" s="1635"/>
      <c r="Q46" s="1635"/>
      <c r="R46" s="1635"/>
      <c r="S46" s="1635"/>
      <c r="T46" s="1635"/>
      <c r="U46" s="1635"/>
      <c r="V46" s="1635"/>
    </row>
    <row r="47" spans="1:22" ht="15.75">
      <c r="A47" s="297" t="s">
        <v>332</v>
      </c>
      <c r="B47" s="1088"/>
      <c r="C47" s="298" t="s">
        <v>333</v>
      </c>
      <c r="D47" s="15"/>
      <c r="E47" s="15"/>
      <c r="F47" s="15"/>
      <c r="G47" s="299"/>
      <c r="H47" s="300"/>
      <c r="I47" s="301"/>
      <c r="J47" s="1643"/>
      <c r="K47" s="287" t="str">
        <f>IF(C43=0,"本次评估"&amp;IF(G43="设定","设定估价对象","")&amp;"不存在"&amp;MID(A43,3,LEN(A43)-2),"本次评估"&amp;IF(G43="设定","设定","")&amp;MID(A43,3,LEN(A43)-2)&amp;"为人民币"&amp;C43&amp;"万元整。")</f>
        <v>本次评估不存在估价师知悉的法定优先受偿款</v>
      </c>
      <c r="L47" s="1635"/>
      <c r="M47" s="1635"/>
      <c r="N47" s="1635"/>
      <c r="O47" s="1635"/>
      <c r="P47" s="1635"/>
      <c r="Q47" s="1635"/>
      <c r="R47" s="1635"/>
      <c r="S47" s="1635"/>
      <c r="T47" s="1635"/>
      <c r="U47" s="1635"/>
      <c r="V47" s="1635"/>
    </row>
    <row r="48" spans="1:22" ht="12.75">
      <c r="A48" s="302">
        <v>1</v>
      </c>
      <c r="B48" s="303"/>
      <c r="C48" s="303"/>
      <c r="D48" s="15"/>
      <c r="E48" s="15"/>
      <c r="F48" s="15"/>
      <c r="G48" s="15"/>
      <c r="H48" s="53"/>
      <c r="I48" s="304"/>
      <c r="J48" s="1643"/>
      <c r="K48" s="1635"/>
      <c r="L48" s="1635"/>
      <c r="M48" s="1635"/>
      <c r="N48" s="1635"/>
      <c r="O48" s="1635"/>
      <c r="P48" s="1635"/>
      <c r="Q48" s="1635"/>
      <c r="R48" s="1635"/>
      <c r="S48" s="1635"/>
      <c r="T48" s="1635"/>
      <c r="U48" s="1635"/>
      <c r="V48" s="1635"/>
    </row>
    <row r="49" spans="1:22" ht="12.75">
      <c r="A49" s="302">
        <v>2</v>
      </c>
      <c r="B49" s="303"/>
      <c r="C49" s="303"/>
      <c r="D49" s="15"/>
      <c r="E49" s="15"/>
      <c r="F49" s="15"/>
      <c r="G49" s="15"/>
      <c r="H49" s="53"/>
      <c r="I49" s="304"/>
      <c r="J49" s="1644"/>
      <c r="K49" s="1635"/>
      <c r="L49" s="1635"/>
      <c r="M49" s="1635"/>
      <c r="N49" s="1635"/>
      <c r="O49" s="1635"/>
      <c r="P49" s="1635"/>
      <c r="Q49" s="1635"/>
      <c r="R49" s="1635"/>
      <c r="S49" s="1635"/>
      <c r="T49" s="1635"/>
      <c r="U49" s="1635"/>
      <c r="V49" s="1635"/>
    </row>
    <row r="50" spans="1:22" ht="12.75">
      <c r="A50" s="302">
        <v>3</v>
      </c>
      <c r="B50" s="303"/>
      <c r="C50" s="303"/>
      <c r="D50" s="15"/>
      <c r="E50" s="15"/>
      <c r="F50" s="15"/>
      <c r="G50" s="15"/>
      <c r="H50" s="53"/>
      <c r="I50" s="304"/>
      <c r="J50" s="1644"/>
      <c r="K50" s="1635"/>
      <c r="L50" s="1635"/>
      <c r="M50" s="1635"/>
      <c r="N50" s="1635"/>
      <c r="O50" s="1635"/>
      <c r="P50" s="1635"/>
      <c r="Q50" s="1635"/>
      <c r="R50" s="1635"/>
      <c r="S50" s="1635"/>
      <c r="T50" s="1635"/>
      <c r="U50" s="1635"/>
      <c r="V50" s="1635"/>
    </row>
    <row r="51" spans="1:22" ht="12.75">
      <c r="A51" s="305"/>
      <c r="B51" s="306"/>
      <c r="C51" s="306"/>
      <c r="D51" s="307"/>
      <c r="E51" s="307"/>
      <c r="F51" s="307"/>
      <c r="G51" s="307"/>
      <c r="H51" s="308"/>
      <c r="I51" s="309"/>
      <c r="J51" s="1644"/>
      <c r="K51" s="1635"/>
      <c r="L51" s="1635"/>
      <c r="M51" s="1635"/>
      <c r="N51" s="1635"/>
      <c r="O51" s="1635"/>
      <c r="P51" s="1635"/>
      <c r="Q51" s="1635"/>
      <c r="R51" s="1635"/>
      <c r="S51" s="1635"/>
      <c r="T51" s="1635"/>
      <c r="U51" s="1635"/>
      <c r="V51" s="1635"/>
    </row>
    <row r="52" spans="1:22" ht="12.75">
      <c r="A52" s="303"/>
      <c r="B52" s="303"/>
      <c r="C52" s="303"/>
      <c r="D52" s="15"/>
      <c r="E52" s="15"/>
      <c r="F52" s="15"/>
      <c r="G52" s="15"/>
      <c r="H52" s="53"/>
      <c r="I52" s="237"/>
      <c r="J52" s="1644"/>
      <c r="K52" s="1635"/>
      <c r="L52" s="1635"/>
      <c r="M52" s="1635"/>
      <c r="N52" s="1635"/>
      <c r="O52" s="1635"/>
      <c r="P52" s="1635"/>
      <c r="Q52" s="1635"/>
      <c r="R52" s="1635"/>
      <c r="S52" s="1635"/>
      <c r="T52" s="1635"/>
      <c r="U52" s="1635"/>
      <c r="V52" s="1635"/>
    </row>
    <row r="53" spans="1:22" ht="12.75">
      <c r="A53" s="237"/>
      <c r="B53" s="237"/>
      <c r="C53" s="237"/>
      <c r="D53" s="237"/>
      <c r="E53" s="237"/>
      <c r="F53" s="310" t="s">
        <v>334</v>
      </c>
      <c r="G53" s="311"/>
      <c r="H53" s="311"/>
      <c r="I53" s="312" t="s">
        <v>335</v>
      </c>
      <c r="J53" s="1644"/>
      <c r="K53" s="1635"/>
      <c r="L53" s="1635"/>
      <c r="M53" s="1635"/>
      <c r="N53" s="1635"/>
      <c r="O53" s="1635"/>
      <c r="P53" s="1635"/>
      <c r="Q53" s="1635"/>
      <c r="R53" s="1635"/>
      <c r="S53" s="1635"/>
      <c r="T53" s="1635"/>
      <c r="U53" s="1635"/>
      <c r="V53" s="1635"/>
    </row>
    <row r="54" spans="1:22" ht="12.75">
      <c r="A54" s="237"/>
      <c r="B54" s="313" t="s">
        <v>336</v>
      </c>
      <c r="C54" s="237"/>
      <c r="D54" s="237"/>
      <c r="E54" s="237"/>
      <c r="F54" s="237"/>
      <c r="G54" s="237"/>
      <c r="H54" s="237"/>
      <c r="I54" s="237"/>
      <c r="J54" s="1644"/>
      <c r="K54" s="1635"/>
      <c r="L54" s="1635"/>
      <c r="M54" s="1635"/>
      <c r="N54" s="1635"/>
      <c r="O54" s="1635"/>
      <c r="P54" s="1635"/>
      <c r="Q54" s="1635"/>
      <c r="R54" s="1635"/>
      <c r="S54" s="1635"/>
      <c r="T54" s="1635"/>
      <c r="U54" s="1635"/>
      <c r="V54" s="1635"/>
    </row>
    <row r="55" spans="1:22" ht="12.75">
      <c r="A55" s="237"/>
      <c r="B55" s="237"/>
      <c r="C55" s="237"/>
      <c r="D55" s="237"/>
      <c r="E55" s="237"/>
      <c r="F55" s="237"/>
      <c r="G55" s="237"/>
      <c r="H55" s="237"/>
      <c r="I55" s="237"/>
      <c r="J55" s="1644"/>
      <c r="K55" s="1635"/>
      <c r="L55" s="1635"/>
      <c r="M55" s="1635"/>
      <c r="N55" s="1635"/>
      <c r="O55" s="1635"/>
      <c r="P55" s="1635"/>
      <c r="Q55" s="1635"/>
      <c r="R55" s="1635"/>
      <c r="S55" s="1635"/>
      <c r="T55" s="1635"/>
      <c r="U55" s="1635"/>
      <c r="V55" s="1635"/>
    </row>
    <row r="56" spans="1:22" ht="12.75">
      <c r="A56" s="237"/>
      <c r="B56" s="311"/>
      <c r="C56" s="311"/>
      <c r="D56" s="311"/>
      <c r="E56" s="311"/>
      <c r="F56" s="311"/>
      <c r="G56" s="311"/>
      <c r="H56" s="311"/>
      <c r="I56" s="312" t="s">
        <v>337</v>
      </c>
      <c r="J56" s="1644"/>
      <c r="K56" s="1635"/>
      <c r="L56" s="1635"/>
      <c r="M56" s="1635"/>
      <c r="N56" s="1635"/>
      <c r="O56" s="1635"/>
      <c r="P56" s="1635"/>
      <c r="Q56" s="1635"/>
      <c r="R56" s="1635"/>
      <c r="S56" s="1635"/>
      <c r="T56" s="1635"/>
      <c r="U56" s="1635"/>
      <c r="V56" s="1635"/>
    </row>
    <row r="57" spans="1:22" ht="12.75">
      <c r="A57" s="237"/>
      <c r="B57" s="313" t="s">
        <v>338</v>
      </c>
      <c r="C57" s="237"/>
      <c r="D57" s="237"/>
      <c r="E57" s="237"/>
      <c r="F57" s="237"/>
      <c r="G57" s="237"/>
      <c r="H57" s="237"/>
      <c r="I57" s="237"/>
      <c r="J57" s="1644"/>
      <c r="K57" s="1635"/>
      <c r="L57" s="1635"/>
      <c r="M57" s="1635"/>
      <c r="N57" s="1635"/>
      <c r="O57" s="1635"/>
      <c r="P57" s="1635"/>
      <c r="Q57" s="1635"/>
      <c r="R57" s="1635"/>
      <c r="S57" s="1635"/>
      <c r="T57" s="1635"/>
      <c r="U57" s="1635"/>
      <c r="V57" s="1635"/>
    </row>
    <row r="58" spans="1:22" ht="12.75">
      <c r="A58" s="237"/>
      <c r="B58" s="313"/>
      <c r="C58" s="237"/>
      <c r="D58" s="237"/>
      <c r="E58" s="237"/>
      <c r="F58" s="237"/>
      <c r="G58" s="237"/>
      <c r="H58" s="237"/>
      <c r="I58" s="237"/>
      <c r="J58" s="1644"/>
      <c r="K58" s="1635"/>
      <c r="L58" s="1635"/>
      <c r="M58" s="1635"/>
      <c r="N58" s="1635"/>
      <c r="O58" s="1635"/>
      <c r="P58" s="1635"/>
      <c r="Q58" s="1635"/>
      <c r="R58" s="1635"/>
      <c r="S58" s="1635"/>
      <c r="T58" s="1635"/>
      <c r="U58" s="1635"/>
      <c r="V58" s="1635"/>
    </row>
    <row r="59" spans="1:22" ht="12.75">
      <c r="A59" s="237"/>
      <c r="B59" s="311"/>
      <c r="C59" s="311"/>
      <c r="D59" s="311"/>
      <c r="E59" s="311"/>
      <c r="F59" s="311"/>
      <c r="G59" s="311"/>
      <c r="H59" s="311"/>
      <c r="I59" s="312" t="s">
        <v>337</v>
      </c>
      <c r="J59" s="1644"/>
      <c r="K59" s="1635"/>
      <c r="L59" s="1635"/>
      <c r="M59" s="1635"/>
      <c r="N59" s="1635"/>
      <c r="O59" s="1635"/>
      <c r="P59" s="1635"/>
      <c r="Q59" s="1635"/>
      <c r="R59" s="1635"/>
      <c r="S59" s="1635"/>
      <c r="T59" s="1635"/>
      <c r="U59" s="1635"/>
      <c r="V59" s="1635"/>
    </row>
    <row r="60" spans="1:22" ht="12.75">
      <c r="A60" s="237"/>
      <c r="B60" s="237"/>
      <c r="C60" s="237"/>
      <c r="D60" s="237"/>
      <c r="E60" s="237"/>
      <c r="F60" s="237"/>
      <c r="G60" s="237"/>
      <c r="H60" s="237"/>
      <c r="I60" s="237"/>
      <c r="J60" s="1644"/>
      <c r="K60" s="1635"/>
      <c r="L60" s="1635"/>
      <c r="M60" s="1635"/>
      <c r="N60" s="1635"/>
      <c r="O60" s="1635"/>
      <c r="P60" s="1635"/>
      <c r="Q60" s="1635"/>
      <c r="R60" s="1635"/>
      <c r="S60" s="1635"/>
      <c r="T60" s="1635"/>
      <c r="U60" s="1635"/>
      <c r="V60" s="1635"/>
    </row>
    <row r="61" spans="1:22" ht="12.75">
      <c r="A61" s="237"/>
      <c r="B61" s="313"/>
      <c r="C61" s="314"/>
      <c r="D61" s="197"/>
      <c r="E61" s="197"/>
      <c r="F61" s="234"/>
      <c r="G61" s="237"/>
      <c r="H61" s="237"/>
      <c r="I61" s="237"/>
      <c r="J61" s="1644"/>
      <c r="K61" s="1635"/>
      <c r="L61" s="1635"/>
      <c r="M61" s="1635"/>
      <c r="N61" s="1635"/>
      <c r="O61" s="1635"/>
      <c r="P61" s="1635"/>
      <c r="Q61" s="1635"/>
      <c r="R61" s="1635"/>
      <c r="S61" s="1635"/>
      <c r="T61" s="1635"/>
      <c r="U61" s="1635"/>
      <c r="V61" s="1635"/>
    </row>
    <row r="62" spans="1:22" ht="18.75">
      <c r="A62" s="11" t="s">
        <v>339</v>
      </c>
      <c r="B62" s="1089"/>
      <c r="C62" s="1089"/>
      <c r="D62" s="1090"/>
      <c r="E62" s="1090"/>
      <c r="F62" s="1091"/>
      <c r="G62" s="1091"/>
      <c r="H62" s="1091"/>
      <c r="I62" s="1091"/>
      <c r="J62" s="1645"/>
      <c r="K62" s="1635"/>
      <c r="L62" s="1635"/>
      <c r="M62" s="1635"/>
      <c r="N62" s="1635"/>
      <c r="O62" s="1635"/>
      <c r="P62" s="1635"/>
      <c r="Q62" s="1635"/>
      <c r="R62" s="1635"/>
      <c r="S62" s="1635"/>
      <c r="T62" s="1635"/>
      <c r="U62" s="1635"/>
      <c r="V62" s="1635"/>
    </row>
    <row r="63" spans="1:22" ht="14.25" customHeight="1" thickBot="1">
      <c r="A63" s="3655" t="s">
        <v>340</v>
      </c>
      <c r="B63" s="3656"/>
      <c r="C63" s="3657"/>
      <c r="D63" s="315" t="e">
        <f ca="1">ROUND(C42*F63,0)</f>
        <v>#REF!</v>
      </c>
      <c r="E63" s="279" t="s">
        <v>341</v>
      </c>
      <c r="F63" s="316">
        <v>1</v>
      </c>
      <c r="G63" s="317" t="s">
        <v>342</v>
      </c>
      <c r="H63" s="287"/>
      <c r="I63" s="287"/>
      <c r="J63" s="1635"/>
      <c r="K63" s="1635"/>
      <c r="L63" s="1635"/>
      <c r="M63" s="1635"/>
      <c r="N63" s="1635"/>
      <c r="O63" s="1635"/>
      <c r="P63" s="1635"/>
      <c r="Q63" s="1635"/>
      <c r="R63" s="1635"/>
      <c r="S63" s="1635"/>
      <c r="T63" s="1635"/>
      <c r="U63" s="1635"/>
      <c r="V63" s="1635"/>
    </row>
    <row r="64" spans="1:22" ht="14.25" customHeight="1">
      <c r="A64" s="3699" t="s">
        <v>344</v>
      </c>
      <c r="B64" s="3700"/>
      <c r="C64" s="3700"/>
      <c r="D64" s="3700"/>
      <c r="E64" s="3700"/>
      <c r="F64" s="3700"/>
      <c r="G64" s="3701"/>
      <c r="H64" s="1092"/>
      <c r="I64" s="865"/>
      <c r="J64" s="1637"/>
      <c r="K64" s="1300" t="s">
        <v>343</v>
      </c>
      <c r="L64" s="9"/>
      <c r="M64" s="9"/>
      <c r="N64" s="9"/>
      <c r="O64" s="9"/>
      <c r="P64" s="287"/>
      <c r="Q64" s="1635"/>
      <c r="R64" s="1635"/>
      <c r="S64" s="1635"/>
      <c r="T64" s="1635"/>
      <c r="U64" s="1635"/>
      <c r="V64" s="1635"/>
    </row>
    <row r="65" spans="1:22" ht="12" customHeight="1">
      <c r="A65" s="318" t="s">
        <v>346</v>
      </c>
      <c r="B65" s="319"/>
      <c r="C65" s="320"/>
      <c r="D65" s="321" t="s">
        <v>347</v>
      </c>
      <c r="E65" s="49" t="s">
        <v>348</v>
      </c>
      <c r="F65" s="322" t="s">
        <v>349</v>
      </c>
      <c r="G65" s="323" t="s">
        <v>350</v>
      </c>
      <c r="H65" s="1092"/>
      <c r="I65" s="865"/>
      <c r="J65" s="1637"/>
      <c r="K65" s="1093"/>
      <c r="L65" s="1094"/>
      <c r="M65" s="1094"/>
      <c r="N65" s="1124" t="s">
        <v>345</v>
      </c>
      <c r="O65" s="1125"/>
      <c r="P65" s="1126"/>
      <c r="Q65" s="1635"/>
      <c r="R65" s="1635"/>
      <c r="S65" s="1635"/>
      <c r="T65" s="1635"/>
      <c r="U65" s="1635"/>
      <c r="V65" s="1635"/>
    </row>
    <row r="66" spans="1:22" ht="25.5">
      <c r="A66" s="3696" t="s">
        <v>352</v>
      </c>
      <c r="B66" s="3662"/>
      <c r="C66" s="3662"/>
      <c r="D66" s="241" t="b">
        <f>IF(H66="情况1",0,IF(H66="情况2",D70,IF(H66="情况3",D71,IF(H66="情况4",D72))))</f>
        <v>0</v>
      </c>
      <c r="E66" s="905" t="str">
        <f>IF(H66="情况4","(销售额-原购置价)×税（费）率","销售额×税（费）率")</f>
        <v>销售额×税（费）率</v>
      </c>
      <c r="F66" s="324">
        <f>IF(H66="情况1","免征",'数据-取费表'!B41)</f>
        <v>0</v>
      </c>
      <c r="G66" s="325" t="s">
        <v>353</v>
      </c>
      <c r="H66" s="174"/>
      <c r="I66" s="1092"/>
      <c r="J66" s="1647"/>
      <c r="K66" s="1095">
        <v>1</v>
      </c>
      <c r="L66" s="3623" t="s">
        <v>351</v>
      </c>
      <c r="M66" s="3624"/>
      <c r="N66" s="1972"/>
      <c r="O66" s="1973"/>
      <c r="P66" s="1974"/>
      <c r="Q66" s="1635"/>
      <c r="R66" s="1635"/>
      <c r="S66" s="1635"/>
      <c r="T66" s="1635"/>
      <c r="U66" s="1635"/>
      <c r="V66" s="1635"/>
    </row>
    <row r="67" spans="1:22" ht="25.5" customHeight="1">
      <c r="A67" s="326" t="s">
        <v>355</v>
      </c>
      <c r="B67" s="3674" t="s">
        <v>356</v>
      </c>
      <c r="C67" s="3674"/>
      <c r="D67" s="327">
        <v>0</v>
      </c>
      <c r="E67" s="37" t="s">
        <v>357</v>
      </c>
      <c r="F67" s="58" t="s">
        <v>15</v>
      </c>
      <c r="G67" s="3658"/>
      <c r="H67" s="2541" t="s">
        <v>2251</v>
      </c>
      <c r="I67" s="2543"/>
      <c r="J67" s="1648"/>
      <c r="K67" s="1631">
        <v>2</v>
      </c>
      <c r="L67" s="3628" t="s">
        <v>354</v>
      </c>
      <c r="M67" s="3628"/>
      <c r="N67" s="1127">
        <f>'数据-取费表'!B2</f>
        <v>45196</v>
      </c>
      <c r="O67" s="1127"/>
      <c r="P67" s="1127"/>
      <c r="Q67" s="1635"/>
      <c r="R67" s="1635"/>
      <c r="S67" s="1635"/>
      <c r="T67" s="1635"/>
      <c r="U67" s="1635"/>
      <c r="V67" s="1635"/>
    </row>
    <row r="68" spans="1:22" ht="25.5" customHeight="1">
      <c r="A68" s="328"/>
      <c r="B68" s="3674" t="s">
        <v>359</v>
      </c>
      <c r="C68" s="3674"/>
      <c r="D68" s="329"/>
      <c r="E68" s="73"/>
      <c r="F68" s="330"/>
      <c r="G68" s="3659"/>
      <c r="H68" s="2542" t="s">
        <v>2252</v>
      </c>
      <c r="I68" s="2543"/>
      <c r="J68" s="1648"/>
      <c r="K68" s="1631">
        <v>3</v>
      </c>
      <c r="L68" s="3628" t="s">
        <v>358</v>
      </c>
      <c r="M68" s="3628"/>
      <c r="N68" s="1097" t="e">
        <f ca="1">C42</f>
        <v>#REF!</v>
      </c>
      <c r="O68" s="1097"/>
      <c r="P68" s="1097"/>
      <c r="Q68" s="1635"/>
      <c r="R68" s="1635"/>
      <c r="S68" s="1635"/>
      <c r="T68" s="1635"/>
      <c r="U68" s="1635"/>
      <c r="V68" s="1635"/>
    </row>
    <row r="69" spans="1:22" ht="23.45" customHeight="1">
      <c r="A69" s="331"/>
      <c r="B69" s="3674" t="s">
        <v>360</v>
      </c>
      <c r="C69" s="3674"/>
      <c r="D69" s="332"/>
      <c r="E69" s="69"/>
      <c r="F69" s="330"/>
      <c r="G69" s="3660"/>
      <c r="H69" s="2542" t="s">
        <v>2253</v>
      </c>
      <c r="I69" s="2543"/>
      <c r="J69" s="1648"/>
      <c r="K69" s="1098">
        <v>4</v>
      </c>
      <c r="L69" s="3629" t="s">
        <v>2154</v>
      </c>
      <c r="M69" s="3630"/>
      <c r="N69" s="1099" t="str">
        <f>C44</f>
        <v>——</v>
      </c>
      <c r="O69" s="1099"/>
      <c r="P69" s="1099"/>
      <c r="Q69" s="1635"/>
      <c r="R69" s="1635"/>
      <c r="S69" s="1635"/>
      <c r="T69" s="1635"/>
      <c r="U69" s="1635"/>
      <c r="V69" s="1635"/>
    </row>
    <row r="70" spans="1:22" ht="24" customHeight="1">
      <c r="A70" s="333" t="s">
        <v>361</v>
      </c>
      <c r="B70" s="3674" t="s">
        <v>362</v>
      </c>
      <c r="C70" s="3674"/>
      <c r="D70" s="332" t="e">
        <f ca="1">ROUND(D63*'数据-取费表'!B41/(1+'数据-取费表'!C42),0)</f>
        <v>#REF!</v>
      </c>
      <c r="E70" s="14" t="s">
        <v>363</v>
      </c>
      <c r="F70" s="334">
        <f>'数据-取费表'!B41</f>
        <v>0</v>
      </c>
      <c r="G70" s="335"/>
      <c r="H70" s="287"/>
      <c r="I70" s="1096"/>
      <c r="J70" s="1648"/>
      <c r="K70" s="2332"/>
      <c r="L70" s="2333"/>
      <c r="M70" s="2333"/>
      <c r="N70" s="2334" t="s">
        <v>2158</v>
      </c>
      <c r="O70" s="2333"/>
      <c r="P70" s="2335"/>
      <c r="Q70" s="1635"/>
      <c r="R70" s="1635"/>
      <c r="S70" s="1635"/>
      <c r="T70" s="1635"/>
      <c r="U70" s="1635"/>
      <c r="V70" s="1635"/>
    </row>
    <row r="71" spans="1:22" ht="12" customHeight="1">
      <c r="A71" s="333" t="s">
        <v>369</v>
      </c>
      <c r="B71" s="3673" t="s">
        <v>2280</v>
      </c>
      <c r="C71" s="3690"/>
      <c r="D71" s="332" t="e">
        <f ca="1">ROUND(D63*'数据-取费表'!B41/(1+'数据-取费表'!C42),0)</f>
        <v>#REF!</v>
      </c>
      <c r="E71" s="14" t="s">
        <v>363</v>
      </c>
      <c r="F71" s="334">
        <f>'数据-取费表'!B41</f>
        <v>0</v>
      </c>
      <c r="G71" s="335"/>
      <c r="H71" s="287"/>
      <c r="I71" s="1096"/>
      <c r="J71" s="1648"/>
      <c r="K71" s="2331" t="s">
        <v>364</v>
      </c>
      <c r="L71" s="3631" t="s">
        <v>365</v>
      </c>
      <c r="M71" s="3631"/>
      <c r="N71" s="2331" t="s">
        <v>366</v>
      </c>
      <c r="O71" s="2331" t="s">
        <v>367</v>
      </c>
      <c r="P71" s="2331" t="s">
        <v>368</v>
      </c>
      <c r="Q71" s="1635"/>
      <c r="R71" s="1635"/>
      <c r="S71" s="1635"/>
      <c r="T71" s="1635"/>
      <c r="U71" s="1635"/>
      <c r="V71" s="1635"/>
    </row>
    <row r="72" spans="1:22" ht="12" customHeight="1">
      <c r="A72" s="333" t="s">
        <v>371</v>
      </c>
      <c r="B72" s="3673" t="s">
        <v>2281</v>
      </c>
      <c r="C72" s="3690"/>
      <c r="D72" s="332" t="e">
        <f ca="1">C86</f>
        <v>#REF!</v>
      </c>
      <c r="E72" s="69" t="s">
        <v>372</v>
      </c>
      <c r="F72" s="334">
        <f>'数据-取费表'!B41</f>
        <v>0</v>
      </c>
      <c r="G72" s="335"/>
      <c r="H72" s="1102"/>
      <c r="I72" s="1096"/>
      <c r="J72" s="1648"/>
      <c r="K72" s="1631">
        <v>1</v>
      </c>
      <c r="L72" s="3627" t="s">
        <v>370</v>
      </c>
      <c r="M72" s="3627"/>
      <c r="N72" s="1100" t="b">
        <f>D66</f>
        <v>0</v>
      </c>
      <c r="O72" s="1538" t="str">
        <f>E66</f>
        <v>销售额×税（费）率</v>
      </c>
      <c r="P72" s="1101">
        <f>F66</f>
        <v>0</v>
      </c>
      <c r="Q72" s="1635"/>
      <c r="R72" s="1635"/>
      <c r="S72" s="1635"/>
      <c r="T72" s="1635"/>
      <c r="U72" s="1635"/>
      <c r="V72" s="1635"/>
    </row>
    <row r="73" spans="1:22" ht="24" customHeight="1">
      <c r="A73" s="3661" t="s">
        <v>374</v>
      </c>
      <c r="B73" s="3662"/>
      <c r="C73" s="3662"/>
      <c r="D73" s="336" t="e">
        <f ca="1">IF(H73="个人住宅",0,ROUND(D63*I73,0))</f>
        <v>#REF!</v>
      </c>
      <c r="E73" s="14" t="s">
        <v>375</v>
      </c>
      <c r="F73" s="334" t="str">
        <f>IF(H73="正常",I73,"免征")</f>
        <v>免征</v>
      </c>
      <c r="G73" s="335"/>
      <c r="H73" s="174"/>
      <c r="I73" s="334">
        <f>'数据-取费表'!B49</f>
        <v>0</v>
      </c>
      <c r="J73" s="1648"/>
      <c r="K73" s="1631">
        <v>2</v>
      </c>
      <c r="L73" s="3627" t="s">
        <v>373</v>
      </c>
      <c r="M73" s="3627"/>
      <c r="N73" s="1100" t="e">
        <f t="shared" ref="N73:P74" ca="1" si="0">D73</f>
        <v>#REF!</v>
      </c>
      <c r="O73" s="1538" t="str">
        <f t="shared" si="0"/>
        <v>销售额×税（费）率</v>
      </c>
      <c r="P73" s="1101" t="str">
        <f t="shared" si="0"/>
        <v>免征</v>
      </c>
      <c r="Q73" s="1635"/>
      <c r="R73" s="1635"/>
      <c r="S73" s="1635"/>
      <c r="T73" s="1635"/>
      <c r="U73" s="1635"/>
      <c r="V73" s="1635"/>
    </row>
    <row r="74" spans="1:22" ht="24.75">
      <c r="A74" s="3661" t="s">
        <v>377</v>
      </c>
      <c r="B74" s="3662"/>
      <c r="C74" s="3662"/>
      <c r="D74" s="336" t="e">
        <f ca="1">IF(H74="个人住宅",D75,D76)</f>
        <v>#REF!</v>
      </c>
      <c r="E74" s="14" t="s">
        <v>378</v>
      </c>
      <c r="F74" s="334" t="str">
        <f>IF(H74="正常",F76,"免征")</f>
        <v>免征</v>
      </c>
      <c r="G74" s="896" t="s">
        <v>379</v>
      </c>
      <c r="H74" s="337"/>
      <c r="I74" s="38"/>
      <c r="J74" s="1648"/>
      <c r="K74" s="1631">
        <v>3</v>
      </c>
      <c r="L74" s="3627" t="s">
        <v>376</v>
      </c>
      <c r="M74" s="3627"/>
      <c r="N74" s="1100" t="e">
        <f t="shared" ca="1" si="0"/>
        <v>#REF!</v>
      </c>
      <c r="O74" s="1538" t="str">
        <f t="shared" si="0"/>
        <v>增值额×税（费）率</v>
      </c>
      <c r="P74" s="1103" t="str">
        <f t="shared" si="0"/>
        <v>免征</v>
      </c>
      <c r="Q74" s="1635"/>
      <c r="R74" s="1635"/>
      <c r="S74" s="1635"/>
      <c r="T74" s="1635"/>
      <c r="U74" s="1635"/>
      <c r="V74" s="1635"/>
    </row>
    <row r="75" spans="1:22" ht="12.75">
      <c r="A75" s="333" t="s">
        <v>380</v>
      </c>
      <c r="B75" s="3642" t="s">
        <v>381</v>
      </c>
      <c r="C75" s="3643"/>
      <c r="D75" s="338">
        <v>0</v>
      </c>
      <c r="E75" s="37" t="s">
        <v>382</v>
      </c>
      <c r="F75" s="339"/>
      <c r="G75" s="335"/>
      <c r="H75" s="38"/>
      <c r="I75" s="38"/>
      <c r="J75" s="1648"/>
      <c r="K75" s="1631">
        <f>IF(H77="非个人房产","",4)</f>
        <v>4</v>
      </c>
      <c r="L75" s="3627" t="str">
        <f>IF(H77="非个人房产","——","个人所得税")</f>
        <v>个人所得税</v>
      </c>
      <c r="M75" s="3627"/>
      <c r="N75" s="1104">
        <f>D77</f>
        <v>0</v>
      </c>
      <c r="O75" s="1539" t="str">
        <f>E77</f>
        <v>差额计税</v>
      </c>
      <c r="P75" s="1105">
        <f>F77</f>
        <v>0.01</v>
      </c>
      <c r="Q75" s="1635"/>
      <c r="R75" s="1635"/>
      <c r="S75" s="1635"/>
      <c r="T75" s="1635"/>
      <c r="U75" s="1635"/>
      <c r="V75" s="1635"/>
    </row>
    <row r="76" spans="1:22" ht="24.75">
      <c r="A76" s="333" t="s">
        <v>361</v>
      </c>
      <c r="B76" s="3642" t="s">
        <v>384</v>
      </c>
      <c r="C76" s="3684"/>
      <c r="D76" s="336" t="e">
        <f ca="1">IF(H76="转让取得",C99,C115)</f>
        <v>#REF!</v>
      </c>
      <c r="E76" s="14" t="s">
        <v>385</v>
      </c>
      <c r="F76" s="49" t="s">
        <v>15</v>
      </c>
      <c r="G76" s="335"/>
      <c r="H76" s="337"/>
      <c r="I76" s="38"/>
      <c r="J76" s="1648"/>
      <c r="K76" s="1631" t="str">
        <f>IF(项目基本情况!K6="上海银行",IF(K75="",4,K75+1),"")</f>
        <v/>
      </c>
      <c r="L76" s="3638" t="str">
        <f>IF(项目基本情况!K6="上海银行","其他处置费用","")</f>
        <v/>
      </c>
      <c r="M76" s="3639"/>
      <c r="N76" s="1100" t="str">
        <f>IF(项目基本情况!K6="上海银行",N89,"")</f>
        <v/>
      </c>
      <c r="O76" s="3640" t="str">
        <f>IF(项目基本情况!K6="上海银行","包含处置中涉及的律师、诉讼、拍卖、评估等费用","")</f>
        <v/>
      </c>
      <c r="P76" s="3641"/>
      <c r="Q76" s="1635"/>
      <c r="R76" s="1635"/>
      <c r="S76" s="1635"/>
      <c r="T76" s="1635"/>
      <c r="U76" s="1635"/>
      <c r="V76" s="1635"/>
    </row>
    <row r="77" spans="1:22" ht="24.75" thickBot="1">
      <c r="A77" s="3653" t="s">
        <v>387</v>
      </c>
      <c r="B77" s="3654"/>
      <c r="C77" s="3654"/>
      <c r="D77" s="2546">
        <f>IF(H77="非个人房产","——",IF(H77="个人住宅（满五唯一有凭证）",0,IF(H77="个人其他（无凭证）",ROUND(D63*F77,0),ROUND(C84*F77,0))))</f>
        <v>0</v>
      </c>
      <c r="E77" s="2547" t="str">
        <f>IF(H77="非个人房产","——",IF(H77="个人其他（无凭证）","销售额×税（费）率",IF(H77="个人住宅（满五唯一有凭证）","免征","差额计税")))</f>
        <v>差额计税</v>
      </c>
      <c r="F77" s="2548">
        <f>IF(OR(H77="非个人房产",H77="个人住宅（满五唯一有凭证）"),"——",IF(H77="个人其他（有凭证）",20%,1%))</f>
        <v>0.01</v>
      </c>
      <c r="G77" s="897" t="s">
        <v>379</v>
      </c>
      <c r="H77" s="2545"/>
      <c r="I77" s="2544" t="s">
        <v>2254</v>
      </c>
      <c r="J77" s="1648"/>
      <c r="K77" s="3649">
        <f>IF(AND(K75="",K76=""),4,IF(项目基本情况!K6="上海银行",K76+1,K75+1))</f>
        <v>5</v>
      </c>
      <c r="L77" s="3627" t="s">
        <v>2155</v>
      </c>
      <c r="M77" s="2330" t="s">
        <v>383</v>
      </c>
      <c r="N77" s="1106"/>
      <c r="O77" s="1107">
        <f ca="1">SUMIF(N72:N76,"&lt;9e307")</f>
        <v>0</v>
      </c>
      <c r="P77" s="1108"/>
      <c r="Q77" s="2328" t="e">
        <f ca="1">O77/N69</f>
        <v>#VALUE!</v>
      </c>
      <c r="R77" s="1635"/>
      <c r="S77" s="1635"/>
      <c r="T77" s="1635"/>
      <c r="U77" s="1635"/>
      <c r="V77" s="1635"/>
    </row>
    <row r="78" spans="1:22" ht="12" customHeight="1">
      <c r="A78" s="1109"/>
      <c r="B78" s="287"/>
      <c r="C78" s="287"/>
      <c r="D78" s="287"/>
      <c r="E78" s="38"/>
      <c r="F78" s="38"/>
      <c r="G78" s="38"/>
      <c r="H78" s="865"/>
      <c r="I78" s="287"/>
      <c r="J78" s="1648"/>
      <c r="K78" s="3649"/>
      <c r="L78" s="3627"/>
      <c r="M78" s="2330" t="s">
        <v>386</v>
      </c>
      <c r="N78" s="1106"/>
      <c r="O78" s="1107" t="str">
        <f ca="1">NUMBERSTRING(INT(O77*10000),2)&amp;"元整"</f>
        <v>零元整</v>
      </c>
      <c r="P78" s="1108"/>
      <c r="Q78" s="1635"/>
      <c r="R78" s="1635"/>
      <c r="S78" s="1635"/>
      <c r="T78" s="1635"/>
      <c r="U78" s="1635"/>
      <c r="V78" s="1635"/>
    </row>
    <row r="79" spans="1:22" ht="13.5" thickBot="1">
      <c r="A79" s="3704" t="s">
        <v>388</v>
      </c>
      <c r="B79" s="3704"/>
      <c r="C79" s="3704"/>
      <c r="D79" s="3704"/>
      <c r="E79" s="3704"/>
      <c r="F79" s="38"/>
      <c r="G79" s="38"/>
      <c r="H79" s="865"/>
      <c r="I79" s="287"/>
      <c r="J79" s="1648"/>
      <c r="K79" s="3625">
        <f>K77+1</f>
        <v>6</v>
      </c>
      <c r="L79" s="3627" t="s">
        <v>2156</v>
      </c>
      <c r="M79" s="2330" t="s">
        <v>383</v>
      </c>
      <c r="N79" s="1106"/>
      <c r="O79" s="1107" t="e">
        <f ca="1">N69-O77</f>
        <v>#VALUE!</v>
      </c>
      <c r="P79" s="1108"/>
      <c r="Q79" s="1635"/>
      <c r="R79" s="1635"/>
      <c r="S79" s="1635"/>
      <c r="T79" s="1635"/>
      <c r="U79" s="1635"/>
      <c r="V79" s="1635"/>
    </row>
    <row r="80" spans="1:22" ht="12.75">
      <c r="A80" s="3635" t="s">
        <v>389</v>
      </c>
      <c r="B80" s="3636"/>
      <c r="C80" s="906"/>
      <c r="D80" s="906" t="s">
        <v>390</v>
      </c>
      <c r="E80" s="340" t="s">
        <v>391</v>
      </c>
      <c r="F80" s="38"/>
      <c r="G80" s="38"/>
      <c r="H80" s="865"/>
      <c r="I80" s="287"/>
      <c r="J80" s="1635"/>
      <c r="K80" s="3626"/>
      <c r="L80" s="3627"/>
      <c r="M80" s="2330" t="s">
        <v>386</v>
      </c>
      <c r="N80" s="1106"/>
      <c r="O80" s="1107" t="e">
        <f ca="1">NUMBERSTRING(INT(O79*10000),2)&amp;"元整"</f>
        <v>#VALUE!</v>
      </c>
      <c r="P80" s="1108"/>
      <c r="Q80" s="1635"/>
      <c r="R80" s="1635"/>
      <c r="S80" s="1635"/>
      <c r="T80" s="1635"/>
      <c r="U80" s="1635"/>
      <c r="V80" s="1635"/>
    </row>
    <row r="81" spans="1:26" ht="13.5" thickBot="1">
      <c r="A81" s="351" t="s">
        <v>1352</v>
      </c>
      <c r="B81" s="341" t="s">
        <v>392</v>
      </c>
      <c r="C81" s="342" t="e">
        <f ca="1">ROUND((C82+C83)/(1+'数据-取费表'!C42),0)</f>
        <v>#REF!</v>
      </c>
      <c r="D81" s="343"/>
      <c r="E81" s="344"/>
      <c r="F81" s="38"/>
      <c r="G81" s="38"/>
      <c r="H81" s="865"/>
      <c r="I81" s="287"/>
      <c r="J81" s="1635"/>
      <c r="K81" s="1631">
        <f>K79+1</f>
        <v>7</v>
      </c>
      <c r="L81" s="3647" t="s">
        <v>2157</v>
      </c>
      <c r="M81" s="3648"/>
      <c r="N81" s="1110"/>
      <c r="O81" s="1111" t="e">
        <f ca="1">ROUND(O79*10000/'数据-汇总表'!E3,0)</f>
        <v>#VALUE!</v>
      </c>
      <c r="P81" s="1112"/>
      <c r="Q81" s="1635"/>
      <c r="R81" s="1635"/>
      <c r="S81" s="1635"/>
      <c r="T81" s="1635"/>
      <c r="U81" s="1635"/>
      <c r="V81" s="1635"/>
    </row>
    <row r="82" spans="1:26" ht="13.5" thickTop="1">
      <c r="A82" s="345" t="s">
        <v>1353</v>
      </c>
      <c r="B82" s="346" t="s">
        <v>393</v>
      </c>
      <c r="C82" s="347" t="e">
        <f ca="1">D63</f>
        <v>#REF!</v>
      </c>
      <c r="D82" s="348" t="s">
        <v>13</v>
      </c>
      <c r="E82" s="349"/>
      <c r="F82" s="38"/>
      <c r="G82" s="38"/>
      <c r="H82" s="865"/>
      <c r="I82" s="287"/>
      <c r="J82" s="1635"/>
      <c r="K82" s="1635"/>
      <c r="L82" s="1635"/>
      <c r="M82" s="1635"/>
      <c r="N82" s="1635"/>
      <c r="O82" s="1635"/>
      <c r="P82" s="1635"/>
      <c r="Q82" s="1635"/>
      <c r="R82" s="1635"/>
      <c r="S82" s="1635"/>
      <c r="T82" s="1635"/>
      <c r="U82" s="1635"/>
      <c r="V82" s="1635"/>
    </row>
    <row r="83" spans="1:26" ht="12.75">
      <c r="A83" s="345" t="s">
        <v>1354</v>
      </c>
      <c r="B83" s="346" t="s">
        <v>394</v>
      </c>
      <c r="C83" s="350"/>
      <c r="D83" s="348"/>
      <c r="E83" s="349"/>
      <c r="F83" s="38"/>
      <c r="G83" s="38"/>
      <c r="H83" s="865"/>
      <c r="I83" s="287"/>
      <c r="J83" s="1635"/>
      <c r="K83" s="3637" t="s">
        <v>2145</v>
      </c>
      <c r="L83" s="2336" t="s">
        <v>2146</v>
      </c>
      <c r="M83" s="2326" t="e">
        <f>IF(N69&gt;10000,N69*0.5%,IF(AND(N69&gt;1000,N69&lt;=10000),N69*1%,IF(AND(N69&gt;100,N69&lt;=1000),N69*3%,IF(AND(N69&gt;10,N69&lt;=100),N69*5%,N69*8%))))</f>
        <v>#VALUE!</v>
      </c>
      <c r="N83" s="49" t="e">
        <f>ROUND(M83,1)</f>
        <v>#VALUE!</v>
      </c>
      <c r="O83" s="2329"/>
      <c r="P83" s="1635"/>
      <c r="Q83" s="1635"/>
      <c r="R83" s="1635"/>
      <c r="S83" s="1635"/>
      <c r="T83" s="1635"/>
      <c r="U83" s="1635"/>
      <c r="V83" s="1635"/>
    </row>
    <row r="84" spans="1:26" ht="12.75">
      <c r="A84" s="351" t="s">
        <v>1355</v>
      </c>
      <c r="B84" s="352" t="s">
        <v>395</v>
      </c>
      <c r="C84" s="353"/>
      <c r="D84" s="354" t="s">
        <v>13</v>
      </c>
      <c r="E84" s="2351" t="s">
        <v>2197</v>
      </c>
      <c r="F84" s="38"/>
      <c r="G84" s="38"/>
      <c r="H84" s="865"/>
      <c r="I84" s="287"/>
      <c r="J84" s="1635"/>
      <c r="K84" s="3637"/>
      <c r="L84" s="2336" t="s">
        <v>2147</v>
      </c>
      <c r="M84" s="2326"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5" t="s">
        <v>2148</v>
      </c>
      <c r="P84" s="1635"/>
      <c r="Q84" s="1635"/>
      <c r="R84" s="1635"/>
      <c r="S84" s="1635"/>
      <c r="T84" s="1635"/>
      <c r="U84" s="1635"/>
      <c r="V84" s="1635"/>
    </row>
    <row r="85" spans="1:26" ht="12.75">
      <c r="A85" s="351" t="s">
        <v>1356</v>
      </c>
      <c r="B85" s="352" t="s">
        <v>396</v>
      </c>
      <c r="C85" s="355" t="e">
        <f ca="1">C81-C84</f>
        <v>#REF!</v>
      </c>
      <c r="D85" s="348" t="s">
        <v>13</v>
      </c>
      <c r="E85" s="349"/>
      <c r="F85" s="38"/>
      <c r="G85" s="38"/>
      <c r="H85" s="865"/>
      <c r="I85" s="287"/>
      <c r="J85" s="1635"/>
      <c r="K85" s="3637"/>
      <c r="L85" s="2336" t="s">
        <v>2149</v>
      </c>
      <c r="M85" s="2326" t="e">
        <f>IF(N69&gt;1000,N69*0.1%,IF(AND(N69&gt;500,N69&lt;=1000),N69*0.5%,IF(AND(N69&gt;50,N69&lt;=500),N69*1%,IF(AND(N69&gt;1,N69&lt;=50),N69*1.5%))))</f>
        <v>#VALUE!</v>
      </c>
      <c r="N85" s="49" t="e">
        <f>ROUND(M85,1)</f>
        <v>#VALUE!</v>
      </c>
      <c r="O85" s="1635" t="s">
        <v>2148</v>
      </c>
      <c r="P85" s="1635"/>
      <c r="Q85" s="1635"/>
      <c r="R85" s="1635"/>
      <c r="S85" s="1635"/>
      <c r="T85" s="1635"/>
      <c r="U85" s="1635"/>
      <c r="V85" s="1635"/>
    </row>
    <row r="86" spans="1:26" ht="13.5" thickBot="1">
      <c r="A86" s="356" t="s">
        <v>1357</v>
      </c>
      <c r="B86" s="357" t="s">
        <v>397</v>
      </c>
      <c r="C86" s="358" t="e">
        <f ca="1">IF(C85&lt;=0,0,ROUND(C85*D86,0))</f>
        <v>#REF!</v>
      </c>
      <c r="D86" s="359">
        <f>'数据-取费表'!B41</f>
        <v>0</v>
      </c>
      <c r="E86" s="360"/>
      <c r="F86" s="38"/>
      <c r="G86" s="38"/>
      <c r="H86" s="865"/>
      <c r="I86" s="287"/>
      <c r="J86" s="1635"/>
      <c r="K86" s="3637"/>
      <c r="L86" s="2336" t="s">
        <v>2150</v>
      </c>
      <c r="M86" s="2326" t="e">
        <f>N69*0.5%</f>
        <v>#VALUE!</v>
      </c>
      <c r="N86" s="49" t="e">
        <f>IF(M86&gt;0.5,0.5,ROUND(M86,0))</f>
        <v>#VALUE!</v>
      </c>
      <c r="O86" s="1635" t="s">
        <v>2151</v>
      </c>
      <c r="P86" s="1635"/>
      <c r="Q86" s="1635"/>
      <c r="R86" s="1635"/>
      <c r="S86" s="1635"/>
      <c r="T86" s="1635"/>
      <c r="U86" s="1635"/>
      <c r="V86" s="1635"/>
    </row>
    <row r="87" spans="1:26" ht="14.25" customHeight="1">
      <c r="A87" s="1113"/>
      <c r="B87" s="1114"/>
      <c r="C87" s="1115"/>
      <c r="D87" s="1116"/>
      <c r="E87" s="1117"/>
      <c r="F87" s="38"/>
      <c r="G87" s="38"/>
      <c r="H87" s="865"/>
      <c r="I87" s="287"/>
      <c r="J87" s="1635"/>
      <c r="K87" s="3637"/>
      <c r="L87" s="2336" t="s">
        <v>2152</v>
      </c>
      <c r="M87" s="2326"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29"/>
      <c r="P87" s="1635"/>
      <c r="Q87" s="1635"/>
      <c r="R87" s="1635"/>
      <c r="S87" s="1635"/>
      <c r="T87" s="1635"/>
      <c r="U87" s="1635"/>
      <c r="V87" s="1635"/>
    </row>
    <row r="88" spans="1:26" s="1006" customFormat="1" ht="15" thickBot="1">
      <c r="A88" s="3676" t="s">
        <v>398</v>
      </c>
      <c r="B88" s="3677"/>
      <c r="C88" s="3677"/>
      <c r="D88" s="3677"/>
      <c r="E88" s="3677"/>
      <c r="F88" s="3677"/>
      <c r="G88" s="3677"/>
      <c r="H88" s="3677"/>
      <c r="I88" s="1118"/>
      <c r="J88" s="1649"/>
      <c r="K88" s="3637"/>
      <c r="L88" s="2336" t="s">
        <v>2153</v>
      </c>
      <c r="M88" s="2326" t="e">
        <f>IF(N69&gt;10000,N69*0.5%,IF(AND(N69&gt;5000,N69&lt;=10000),N69*1%,IF(AND(N69&gt;1000,N69&lt;=5000),N69*2%,IF(AND(N69&gt;200,N69&lt;=1000),N69*3%,N69*5%))))</f>
        <v>#VALUE!</v>
      </c>
      <c r="N88" s="49" t="e">
        <f>ROUND(M88,1)</f>
        <v>#VALUE!</v>
      </c>
      <c r="O88" s="2329"/>
      <c r="P88" s="1646"/>
      <c r="Q88" s="1646"/>
      <c r="R88" s="1646"/>
      <c r="S88" s="1646"/>
      <c r="T88" s="1646"/>
      <c r="U88" s="1646"/>
      <c r="V88" s="1646"/>
      <c r="W88" s="1650"/>
      <c r="X88" s="1650"/>
      <c r="Y88" s="1650"/>
      <c r="Z88" s="1650"/>
    </row>
    <row r="89" spans="1:26" s="1006" customFormat="1" ht="14.25">
      <c r="A89" s="3635" t="s">
        <v>389</v>
      </c>
      <c r="B89" s="3636"/>
      <c r="C89" s="906"/>
      <c r="D89" s="906" t="s">
        <v>390</v>
      </c>
      <c r="E89" s="361" t="s">
        <v>399</v>
      </c>
      <c r="F89" s="362"/>
      <c r="G89" s="362"/>
      <c r="H89" s="363"/>
      <c r="I89" s="1119"/>
      <c r="J89" s="1651"/>
      <c r="K89" s="3637"/>
      <c r="L89" s="2336" t="s">
        <v>16</v>
      </c>
      <c r="M89" s="2327"/>
      <c r="N89" s="49" t="e">
        <f>ROUND(SUM(N83:N88),0)</f>
        <v>#VALUE!</v>
      </c>
      <c r="O89" s="2337" t="e">
        <f>N89/N69</f>
        <v>#VALUE!</v>
      </c>
      <c r="P89" s="1646"/>
      <c r="Q89" s="1646"/>
      <c r="R89" s="1646"/>
      <c r="S89" s="1646"/>
      <c r="T89" s="1646"/>
      <c r="U89" s="1646"/>
      <c r="V89" s="1646"/>
      <c r="W89" s="1650"/>
      <c r="X89" s="1650"/>
      <c r="Y89" s="1650"/>
      <c r="Z89" s="1650"/>
    </row>
    <row r="90" spans="1:26" s="1006" customFormat="1" ht="14.25">
      <c r="A90" s="351" t="s">
        <v>1352</v>
      </c>
      <c r="B90" s="352" t="s">
        <v>400</v>
      </c>
      <c r="C90" s="355" t="e">
        <f ca="1">ROUND(D63/(1+'数据-取费表'!C42),0)</f>
        <v>#REF!</v>
      </c>
      <c r="D90" s="348" t="s">
        <v>13</v>
      </c>
      <c r="E90" s="904"/>
      <c r="F90" s="903"/>
      <c r="G90" s="903"/>
      <c r="H90" s="364"/>
      <c r="I90" s="1119"/>
      <c r="J90" s="1651"/>
      <c r="K90" s="1646"/>
      <c r="L90" s="1646"/>
      <c r="M90" s="1646"/>
      <c r="N90" s="1646"/>
      <c r="O90" s="1646"/>
      <c r="P90" s="1646"/>
      <c r="Q90" s="1646"/>
      <c r="R90" s="1646"/>
      <c r="S90" s="1646"/>
      <c r="T90" s="1646"/>
      <c r="U90" s="1646"/>
      <c r="V90" s="1646"/>
      <c r="W90" s="1650"/>
      <c r="X90" s="1650"/>
      <c r="Y90" s="1650"/>
      <c r="Z90" s="1650"/>
    </row>
    <row r="91" spans="1:26" s="1006" customFormat="1" ht="14.25">
      <c r="A91" s="351" t="s">
        <v>1358</v>
      </c>
      <c r="B91" s="322" t="s">
        <v>401</v>
      </c>
      <c r="C91" s="355" t="e">
        <f ca="1">C92+C96</f>
        <v>#REF!</v>
      </c>
      <c r="D91" s="348" t="s">
        <v>13</v>
      </c>
      <c r="E91" s="904"/>
      <c r="F91" s="903"/>
      <c r="G91" s="903"/>
      <c r="H91" s="364"/>
      <c r="I91" s="1119"/>
      <c r="J91" s="1651"/>
      <c r="K91" s="1646"/>
      <c r="L91" s="1646"/>
      <c r="M91" s="1646"/>
      <c r="N91" s="1646"/>
      <c r="O91" s="1646"/>
      <c r="P91" s="1646"/>
      <c r="Q91" s="1646"/>
      <c r="R91" s="1646"/>
      <c r="S91" s="1646"/>
      <c r="T91" s="1646"/>
      <c r="U91" s="1646"/>
      <c r="V91" s="1646"/>
      <c r="W91" s="1650"/>
      <c r="X91" s="1650"/>
      <c r="Y91" s="1650"/>
      <c r="Z91" s="1650"/>
    </row>
    <row r="92" spans="1:26" s="1006" customFormat="1" ht="24">
      <c r="A92" s="365" t="s">
        <v>1359</v>
      </c>
      <c r="B92" s="346" t="s">
        <v>402</v>
      </c>
      <c r="C92" s="348">
        <f>ROUND(IF(G95="2016年5月1日后购买",C93/(1+'数据-取费表'!C30)+C94+C95,C93+C94+C95),0)</f>
        <v>0</v>
      </c>
      <c r="D92" s="348" t="s">
        <v>13</v>
      </c>
      <c r="E92" s="904"/>
      <c r="F92" s="903"/>
      <c r="G92" s="903"/>
      <c r="H92" s="364"/>
      <c r="I92" s="1119"/>
      <c r="J92" s="1651"/>
      <c r="K92" s="1646"/>
      <c r="L92" s="1646"/>
      <c r="M92" s="1646"/>
      <c r="N92" s="1646"/>
      <c r="O92" s="1646"/>
      <c r="P92" s="1646"/>
      <c r="Q92" s="1646"/>
      <c r="R92" s="1646"/>
      <c r="S92" s="1646"/>
      <c r="T92" s="1646"/>
      <c r="U92" s="1646"/>
      <c r="V92" s="1646"/>
      <c r="W92" s="1650"/>
      <c r="X92" s="1650"/>
      <c r="Y92" s="1650"/>
      <c r="Z92" s="1650"/>
    </row>
    <row r="93" spans="1:26" s="1006" customFormat="1" ht="14.25">
      <c r="A93" s="365" t="s">
        <v>1360</v>
      </c>
      <c r="B93" s="346" t="s">
        <v>403</v>
      </c>
      <c r="C93" s="366"/>
      <c r="D93" s="348" t="s">
        <v>13</v>
      </c>
      <c r="E93" s="367" t="s">
        <v>404</v>
      </c>
      <c r="F93" s="368"/>
      <c r="G93" s="367" t="s">
        <v>405</v>
      </c>
      <c r="H93" s="369">
        <v>5</v>
      </c>
      <c r="I93" s="9"/>
      <c r="J93" s="1646"/>
      <c r="K93" s="1646"/>
      <c r="L93" s="1646"/>
      <c r="M93" s="1646"/>
      <c r="N93" s="1646"/>
      <c r="O93" s="1646"/>
      <c r="P93" s="1646"/>
      <c r="Q93" s="1646"/>
      <c r="R93" s="1646"/>
      <c r="S93" s="1646"/>
      <c r="T93" s="1646"/>
      <c r="U93" s="1646"/>
      <c r="V93" s="1646"/>
      <c r="W93" s="1650"/>
      <c r="X93" s="1650"/>
      <c r="Y93" s="1650"/>
      <c r="Z93" s="1650"/>
    </row>
    <row r="94" spans="1:26" s="1006" customFormat="1" ht="24.75" customHeight="1">
      <c r="A94" s="365" t="s">
        <v>1361</v>
      </c>
      <c r="B94" s="370" t="s">
        <v>406</v>
      </c>
      <c r="C94" s="348">
        <f>IF(F93="购房发票",ROUND(C93*H93*5%,0),0)</f>
        <v>0</v>
      </c>
      <c r="D94" s="371">
        <v>0.05</v>
      </c>
      <c r="E94" s="3673" t="s">
        <v>407</v>
      </c>
      <c r="F94" s="3674"/>
      <c r="G94" s="3674"/>
      <c r="H94" s="3675"/>
      <c r="I94" s="1119"/>
      <c r="J94" s="1651"/>
      <c r="K94" s="1646"/>
      <c r="L94" s="1646"/>
      <c r="M94" s="1646"/>
      <c r="N94" s="1646"/>
      <c r="O94" s="1646"/>
      <c r="P94" s="1646"/>
      <c r="Q94" s="1646"/>
      <c r="R94" s="1646"/>
      <c r="S94" s="1646"/>
      <c r="T94" s="1646"/>
      <c r="U94" s="1646"/>
      <c r="V94" s="1646"/>
      <c r="W94" s="1650"/>
      <c r="X94" s="1650"/>
      <c r="Y94" s="1650"/>
      <c r="Z94" s="1650"/>
    </row>
    <row r="95" spans="1:26" s="1006" customFormat="1" ht="24.75" customHeight="1">
      <c r="A95" s="365" t="s">
        <v>1362</v>
      </c>
      <c r="B95" s="346" t="s">
        <v>408</v>
      </c>
      <c r="C95" s="348">
        <f>ROUND(IF(G95="个人买卖住房",0,IF(G95="2016年5月1日前购买",C93*D95,C93*D95/(1+'数据-取费表'!C42))),0)</f>
        <v>0</v>
      </c>
      <c r="D95" s="372">
        <f>'数据-取费表'!B48+'数据-取费表'!B49</f>
        <v>0</v>
      </c>
      <c r="E95" s="22" t="s">
        <v>409</v>
      </c>
      <c r="F95" s="373"/>
      <c r="G95" s="374"/>
      <c r="H95" s="911" t="str">
        <f>IF(G95="个人买卖住房","免征印花税"," ")</f>
        <v xml:space="preserve"> </v>
      </c>
      <c r="I95" s="1119"/>
      <c r="J95" s="1651"/>
      <c r="K95" s="1646"/>
      <c r="L95" s="1646"/>
      <c r="M95" s="1646"/>
      <c r="N95" s="1646"/>
      <c r="O95" s="1646"/>
      <c r="P95" s="1646"/>
      <c r="Q95" s="1646"/>
      <c r="R95" s="1646"/>
      <c r="S95" s="1646"/>
      <c r="T95" s="1646"/>
      <c r="U95" s="1646"/>
      <c r="V95" s="1646"/>
      <c r="W95" s="1650"/>
      <c r="X95" s="1650"/>
      <c r="Y95" s="1650"/>
      <c r="Z95" s="1650"/>
    </row>
    <row r="96" spans="1:26" s="1006" customFormat="1" ht="24.75" customHeight="1">
      <c r="A96" s="365" t="s">
        <v>1363</v>
      </c>
      <c r="B96" s="346" t="s">
        <v>410</v>
      </c>
      <c r="C96" s="375" t="e">
        <f ca="1">ROUND(D63*D96/(1+'数据-取费表'!C42),0)</f>
        <v>#REF!</v>
      </c>
      <c r="D96" s="376">
        <f>'数据-取费表'!B43</f>
        <v>0</v>
      </c>
      <c r="E96" s="3632" t="s">
        <v>1777</v>
      </c>
      <c r="F96" s="3633"/>
      <c r="G96" s="3633"/>
      <c r="H96" s="3634"/>
      <c r="I96" s="1120"/>
      <c r="J96" s="1652"/>
      <c r="K96" s="1646"/>
      <c r="L96" s="1646"/>
      <c r="M96" s="1646"/>
      <c r="N96" s="1646"/>
      <c r="O96" s="1646"/>
      <c r="P96" s="1646"/>
      <c r="Q96" s="1646"/>
      <c r="R96" s="1646"/>
      <c r="S96" s="1646"/>
      <c r="T96" s="1646"/>
      <c r="U96" s="1646"/>
      <c r="V96" s="1646"/>
      <c r="W96" s="1650"/>
      <c r="X96" s="1650"/>
      <c r="Y96" s="1650"/>
      <c r="Z96" s="1650"/>
    </row>
    <row r="97" spans="1:26" s="1006" customFormat="1" ht="14.25">
      <c r="A97" s="1338" t="s">
        <v>1364</v>
      </c>
      <c r="B97" s="352" t="s">
        <v>411</v>
      </c>
      <c r="C97" s="355" t="e">
        <f ca="1">C90-C91</f>
        <v>#REF!</v>
      </c>
      <c r="D97" s="348" t="s">
        <v>13</v>
      </c>
      <c r="E97" s="904"/>
      <c r="F97" s="903"/>
      <c r="G97" s="903"/>
      <c r="H97" s="364"/>
      <c r="I97" s="1119"/>
      <c r="J97" s="1651"/>
      <c r="K97" s="1646"/>
      <c r="L97" s="1646"/>
      <c r="M97" s="1646"/>
      <c r="N97" s="1646"/>
      <c r="O97" s="1646"/>
      <c r="P97" s="1646"/>
      <c r="Q97" s="1646"/>
      <c r="R97" s="1646"/>
      <c r="S97" s="1646"/>
      <c r="T97" s="1646"/>
      <c r="U97" s="1646"/>
      <c r="V97" s="1646"/>
      <c r="W97" s="1650"/>
      <c r="X97" s="1650"/>
      <c r="Y97" s="1650"/>
      <c r="Z97" s="1650"/>
    </row>
    <row r="98" spans="1:26" s="1006" customFormat="1" ht="24">
      <c r="A98" s="1338" t="s">
        <v>1365</v>
      </c>
      <c r="B98" s="352" t="s">
        <v>412</v>
      </c>
      <c r="C98" s="377" t="e">
        <f ca="1">IF(C97&lt;=0,0,C97/C91)</f>
        <v>#REF!</v>
      </c>
      <c r="D98" s="348" t="s">
        <v>13</v>
      </c>
      <c r="E98" s="22" t="e">
        <f ca="1">IF(C98&gt;=200%,"增值额超过扣除项目金额200%",IF(C98&gt;=100%,"增值额超过扣除项目金额100%，未超过200%",IF(C98&gt;=50%,"增值额超过扣除项目金额50%，未超过100%",IF(C98&lt;50%,"增值额未超过扣除项目金额50%"))))</f>
        <v>#REF!</v>
      </c>
      <c r="F98" s="903"/>
      <c r="G98" s="903"/>
      <c r="H98" s="364"/>
      <c r="I98" s="1119"/>
      <c r="J98" s="1651"/>
      <c r="K98" s="1646"/>
      <c r="L98" s="1646"/>
      <c r="M98" s="1646"/>
      <c r="N98" s="1646"/>
      <c r="O98" s="1646"/>
      <c r="P98" s="1646"/>
      <c r="Q98" s="1646"/>
      <c r="R98" s="1646"/>
      <c r="S98" s="1646"/>
      <c r="T98" s="1646"/>
      <c r="U98" s="1646"/>
      <c r="V98" s="1646"/>
      <c r="W98" s="1650"/>
      <c r="X98" s="1650"/>
      <c r="Y98" s="1650"/>
      <c r="Z98" s="1650"/>
    </row>
    <row r="99" spans="1:26" s="1006" customFormat="1" ht="24.75" thickBot="1">
      <c r="A99" s="1339" t="s">
        <v>1366</v>
      </c>
      <c r="B99" s="357" t="s">
        <v>413</v>
      </c>
      <c r="C99" s="378" t="e">
        <f ca="1">ROUND(IF(C97&lt;=0,0,IF(C98&gt;=200%,C97*60%-C91*35%,IF(C98&gt;=100%,C97*50%-C91*15%,IF(C98&gt;=50%,C97*40%-C91*5%,IF(C98&lt;50%,C97*30%,0))))),0)</f>
        <v>#REF!</v>
      </c>
      <c r="D99" s="379" t="s">
        <v>13</v>
      </c>
      <c r="E99" s="38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81"/>
      <c r="G99" s="381"/>
      <c r="H99" s="382"/>
      <c r="I99" s="1119"/>
      <c r="J99" s="1651"/>
      <c r="K99" s="1646"/>
      <c r="L99" s="1646"/>
      <c r="M99" s="1646"/>
      <c r="N99" s="1646"/>
      <c r="O99" s="1646"/>
      <c r="P99" s="1646"/>
      <c r="Q99" s="1646"/>
      <c r="R99" s="1646"/>
      <c r="S99" s="1646"/>
      <c r="T99" s="1646"/>
      <c r="U99" s="1646"/>
      <c r="V99" s="1646"/>
      <c r="W99" s="1650"/>
      <c r="X99" s="1650"/>
      <c r="Y99" s="1650"/>
      <c r="Z99" s="1650"/>
    </row>
    <row r="100" spans="1:26" s="1006" customFormat="1" ht="7.5" customHeight="1">
      <c r="A100" s="9"/>
      <c r="B100" s="1121"/>
      <c r="C100" s="9"/>
      <c r="D100" s="9"/>
      <c r="E100" s="1121"/>
      <c r="F100" s="1121"/>
      <c r="G100" s="1121"/>
      <c r="H100" s="1122"/>
      <c r="I100" s="1120"/>
      <c r="J100" s="1652"/>
      <c r="K100" s="1646"/>
      <c r="L100" s="1646"/>
      <c r="M100" s="1646"/>
      <c r="N100" s="1646"/>
      <c r="O100" s="1646"/>
      <c r="P100" s="1646"/>
      <c r="Q100" s="1646"/>
      <c r="R100" s="1646"/>
      <c r="S100" s="1646"/>
      <c r="T100" s="1646"/>
      <c r="U100" s="1646"/>
      <c r="V100" s="1646"/>
      <c r="W100" s="1650"/>
      <c r="X100" s="1650"/>
      <c r="Y100" s="1650"/>
      <c r="Z100" s="1650"/>
    </row>
    <row r="101" spans="1:26" s="1006" customFormat="1" ht="15" thickBot="1">
      <c r="A101" s="3676" t="s">
        <v>414</v>
      </c>
      <c r="B101" s="3677"/>
      <c r="C101" s="3677"/>
      <c r="D101" s="3677"/>
      <c r="E101" s="3677"/>
      <c r="F101" s="3677"/>
      <c r="G101" s="3677"/>
      <c r="H101" s="3677"/>
      <c r="I101" s="9"/>
      <c r="J101" s="1646"/>
      <c r="K101" s="1646"/>
      <c r="L101" s="1646"/>
      <c r="M101" s="1646"/>
      <c r="N101" s="1646"/>
      <c r="O101" s="1646"/>
      <c r="P101" s="1646"/>
      <c r="Q101" s="1646"/>
      <c r="R101" s="1646"/>
      <c r="S101" s="1646"/>
      <c r="T101" s="1646"/>
      <c r="U101" s="1646"/>
      <c r="V101" s="1646"/>
      <c r="W101" s="1650"/>
      <c r="X101" s="1650"/>
      <c r="Y101" s="1650"/>
      <c r="Z101" s="1650"/>
    </row>
    <row r="102" spans="1:26" s="1006" customFormat="1" ht="14.25">
      <c r="A102" s="3635" t="s">
        <v>389</v>
      </c>
      <c r="B102" s="3636"/>
      <c r="C102" s="906"/>
      <c r="D102" s="906" t="s">
        <v>390</v>
      </c>
      <c r="E102" s="361" t="s">
        <v>399</v>
      </c>
      <c r="F102" s="362"/>
      <c r="G102" s="362"/>
      <c r="H102" s="383"/>
      <c r="I102" s="9"/>
      <c r="J102" s="1646"/>
      <c r="K102" s="1646"/>
      <c r="L102" s="1646"/>
      <c r="M102" s="1646"/>
      <c r="N102" s="1646"/>
      <c r="O102" s="1646"/>
      <c r="P102" s="1646"/>
      <c r="Q102" s="1646"/>
      <c r="R102" s="1646"/>
      <c r="S102" s="1646"/>
      <c r="T102" s="1646"/>
      <c r="U102" s="1646"/>
      <c r="V102" s="1646"/>
      <c r="W102" s="1650"/>
      <c r="X102" s="1650"/>
      <c r="Y102" s="1650"/>
      <c r="Z102" s="1650"/>
    </row>
    <row r="103" spans="1:26" s="1006" customFormat="1" ht="14.25">
      <c r="A103" s="351" t="s">
        <v>1352</v>
      </c>
      <c r="B103" s="352" t="s">
        <v>400</v>
      </c>
      <c r="C103" s="355" t="e">
        <f ca="1">ROUND(D63/(1+'数据-取费表'!C42),0)</f>
        <v>#REF!</v>
      </c>
      <c r="D103" s="348" t="s">
        <v>13</v>
      </c>
      <c r="E103" s="904"/>
      <c r="F103" s="903"/>
      <c r="G103" s="903"/>
      <c r="H103" s="384"/>
      <c r="I103" s="9"/>
      <c r="J103" s="1646"/>
      <c r="K103" s="1646"/>
      <c r="L103" s="1646"/>
      <c r="M103" s="1646"/>
      <c r="N103" s="1646"/>
      <c r="O103" s="1646"/>
      <c r="P103" s="1646"/>
      <c r="Q103" s="1646"/>
      <c r="R103" s="1646"/>
      <c r="S103" s="1646"/>
      <c r="T103" s="1646"/>
      <c r="U103" s="1646"/>
      <c r="V103" s="1646"/>
      <c r="W103" s="1650"/>
      <c r="X103" s="1650"/>
      <c r="Y103" s="1650"/>
      <c r="Z103" s="1650"/>
    </row>
    <row r="104" spans="1:26" s="1006" customFormat="1" ht="14.25">
      <c r="A104" s="351" t="s">
        <v>1358</v>
      </c>
      <c r="B104" s="322" t="s">
        <v>401</v>
      </c>
      <c r="C104" s="355" t="e">
        <f ca="1">IF(H106="仅含出让金",C105+C108+C109+C110+C111+C112,C105+C109+C110+C111+C112)</f>
        <v>#REF!</v>
      </c>
      <c r="D104" s="385"/>
      <c r="E104" s="904"/>
      <c r="F104" s="903"/>
      <c r="G104" s="903"/>
      <c r="H104" s="384"/>
      <c r="I104" s="9"/>
      <c r="J104" s="1646"/>
      <c r="K104" s="1646"/>
      <c r="L104" s="1646"/>
      <c r="M104" s="1646"/>
      <c r="N104" s="1646"/>
      <c r="O104" s="1646"/>
      <c r="P104" s="1646"/>
      <c r="Q104" s="1646"/>
      <c r="R104" s="1646"/>
      <c r="S104" s="1646"/>
      <c r="T104" s="1646"/>
      <c r="U104" s="1646"/>
      <c r="V104" s="1646"/>
      <c r="W104" s="1650"/>
      <c r="X104" s="1650"/>
      <c r="Y104" s="1650"/>
      <c r="Z104" s="1650"/>
    </row>
    <row r="105" spans="1:26" s="1006" customFormat="1" ht="14.25">
      <c r="A105" s="365" t="s">
        <v>1359</v>
      </c>
      <c r="B105" s="346" t="s">
        <v>415</v>
      </c>
      <c r="C105" s="375">
        <f>C106+C107</f>
        <v>0</v>
      </c>
      <c r="D105" s="376"/>
      <c r="E105" s="898"/>
      <c r="F105" s="899"/>
      <c r="G105" s="899"/>
      <c r="H105" s="900"/>
      <c r="I105" s="9"/>
      <c r="J105" s="1646"/>
      <c r="K105" s="1646"/>
      <c r="L105" s="1646"/>
      <c r="M105" s="1646"/>
      <c r="N105" s="1646"/>
      <c r="O105" s="1646"/>
      <c r="P105" s="1646"/>
      <c r="Q105" s="1646"/>
      <c r="R105" s="1646"/>
      <c r="S105" s="1646"/>
      <c r="T105" s="1646"/>
      <c r="U105" s="1646"/>
      <c r="V105" s="1646"/>
      <c r="W105" s="1650"/>
      <c r="X105" s="1650"/>
      <c r="Y105" s="1650"/>
      <c r="Z105" s="1650"/>
    </row>
    <row r="106" spans="1:26" s="1006" customFormat="1" ht="14.25">
      <c r="A106" s="365" t="s">
        <v>1360</v>
      </c>
      <c r="B106" s="346" t="s">
        <v>416</v>
      </c>
      <c r="C106" s="386"/>
      <c r="D106" s="376"/>
      <c r="E106" s="387" t="s">
        <v>417</v>
      </c>
      <c r="F106" s="899"/>
      <c r="G106" s="388" t="s">
        <v>418</v>
      </c>
      <c r="H106" s="389"/>
      <c r="I106" s="9"/>
      <c r="J106" s="1646"/>
      <c r="K106" s="2744" t="s">
        <v>2274</v>
      </c>
      <c r="L106" s="1646"/>
      <c r="M106" s="1646"/>
      <c r="N106" s="1646"/>
      <c r="O106" s="1646"/>
      <c r="P106" s="1646"/>
      <c r="Q106" s="1646"/>
      <c r="R106" s="1646"/>
      <c r="S106" s="1646"/>
      <c r="T106" s="1646"/>
      <c r="U106" s="1646"/>
      <c r="V106" s="1646"/>
      <c r="W106" s="1650"/>
      <c r="X106" s="1650"/>
      <c r="Y106" s="1650"/>
      <c r="Z106" s="1650"/>
    </row>
    <row r="107" spans="1:26" s="1006" customFormat="1" ht="14.25">
      <c r="A107" s="365" t="s">
        <v>1361</v>
      </c>
      <c r="B107" s="346" t="s">
        <v>408</v>
      </c>
      <c r="C107" s="375">
        <f>ROUND(C106*D107,0)</f>
        <v>0</v>
      </c>
      <c r="D107" s="376">
        <f>'数据-取费表'!B48+'数据-取费表'!B49</f>
        <v>0</v>
      </c>
      <c r="E107" s="387" t="s">
        <v>419</v>
      </c>
      <c r="F107" s="899"/>
      <c r="G107" s="899"/>
      <c r="H107" s="900"/>
      <c r="I107" s="9"/>
      <c r="J107" s="1646"/>
      <c r="K107" s="1646"/>
      <c r="L107" s="1646"/>
      <c r="M107" s="1646"/>
      <c r="N107" s="1646"/>
      <c r="O107" s="1646"/>
      <c r="P107" s="1646"/>
      <c r="Q107" s="1646"/>
      <c r="R107" s="1646"/>
      <c r="S107" s="1646"/>
      <c r="T107" s="1646"/>
      <c r="U107" s="1646"/>
      <c r="V107" s="1646"/>
      <c r="W107" s="1650"/>
      <c r="X107" s="1650"/>
      <c r="Y107" s="1650"/>
      <c r="Z107" s="1650"/>
    </row>
    <row r="108" spans="1:26" s="1006" customFormat="1" ht="14.25">
      <c r="A108" s="365" t="s">
        <v>1363</v>
      </c>
      <c r="B108" s="346" t="s">
        <v>420</v>
      </c>
      <c r="C108" s="386"/>
      <c r="D108" s="376"/>
      <c r="E108" s="387" t="str">
        <f>IF(H106="-","土地取得成本中已包含该笔费用"," ")</f>
        <v xml:space="preserve"> </v>
      </c>
      <c r="F108" s="899"/>
      <c r="G108" s="3688" t="s">
        <v>2246</v>
      </c>
      <c r="H108" s="3689"/>
      <c r="I108" s="2416"/>
      <c r="J108" s="1646"/>
      <c r="K108" s="2744" t="s">
        <v>2275</v>
      </c>
      <c r="L108" s="1646"/>
      <c r="M108" s="1646"/>
      <c r="N108" s="1646"/>
      <c r="O108" s="1646"/>
      <c r="P108" s="1646"/>
      <c r="Q108" s="1646"/>
      <c r="R108" s="1646"/>
      <c r="S108" s="1646"/>
      <c r="T108" s="1646"/>
      <c r="U108" s="1646"/>
      <c r="V108" s="1646"/>
      <c r="W108" s="1650"/>
      <c r="X108" s="1650"/>
      <c r="Y108" s="1650"/>
      <c r="Z108" s="1650"/>
    </row>
    <row r="109" spans="1:26" s="1006" customFormat="1" ht="24" customHeight="1">
      <c r="A109" s="1340" t="s">
        <v>1367</v>
      </c>
      <c r="B109" s="346" t="s">
        <v>421</v>
      </c>
      <c r="C109" s="375">
        <f>IF(H109="——",IF(F1="现房",'剩余法-现房'!C18,0),I109)</f>
        <v>0</v>
      </c>
      <c r="D109" s="376"/>
      <c r="E109" s="3666" t="s">
        <v>422</v>
      </c>
      <c r="F109" s="3633"/>
      <c r="G109" s="3633"/>
      <c r="H109" s="1599" t="s">
        <v>877</v>
      </c>
      <c r="I109" s="1600"/>
      <c r="J109" s="1646"/>
      <c r="K109" s="1646"/>
      <c r="L109" s="1646"/>
      <c r="M109" s="1646"/>
      <c r="N109" s="1646"/>
      <c r="O109" s="1646"/>
      <c r="P109" s="1646"/>
      <c r="Q109" s="1646"/>
      <c r="R109" s="1646"/>
      <c r="S109" s="1646"/>
      <c r="T109" s="1646"/>
      <c r="U109" s="1646"/>
      <c r="V109" s="1646"/>
      <c r="W109" s="1650"/>
      <c r="X109" s="1650"/>
      <c r="Y109" s="1650"/>
      <c r="Z109" s="1650"/>
    </row>
    <row r="110" spans="1:26" s="1006" customFormat="1" ht="25.5" customHeight="1">
      <c r="A110" s="1340" t="s">
        <v>1368</v>
      </c>
      <c r="B110" s="346" t="s">
        <v>423</v>
      </c>
      <c r="C110" s="375">
        <f>ROUND((C105+C108+C109)*D110,0)</f>
        <v>0</v>
      </c>
      <c r="D110" s="2774">
        <v>0</v>
      </c>
      <c r="E110" s="3666" t="s">
        <v>424</v>
      </c>
      <c r="F110" s="3633"/>
      <c r="G110" s="3633"/>
      <c r="H110" s="3634"/>
      <c r="I110" s="9"/>
      <c r="J110" s="1646"/>
      <c r="K110" s="2745" t="s">
        <v>2276</v>
      </c>
      <c r="L110" s="1646"/>
      <c r="M110" s="1646"/>
      <c r="N110" s="1646"/>
      <c r="O110" s="1646"/>
      <c r="P110" s="1646"/>
      <c r="Q110" s="1646"/>
      <c r="R110" s="1646"/>
      <c r="S110" s="1646"/>
      <c r="T110" s="1646"/>
      <c r="U110" s="1646"/>
      <c r="V110" s="1646"/>
      <c r="W110" s="1650"/>
      <c r="X110" s="1650"/>
      <c r="Y110" s="1650"/>
      <c r="Z110" s="1650"/>
    </row>
    <row r="111" spans="1:26" s="1006" customFormat="1" ht="25.5" customHeight="1">
      <c r="A111" s="1340" t="s">
        <v>1369</v>
      </c>
      <c r="B111" s="346" t="s">
        <v>410</v>
      </c>
      <c r="C111" s="375" t="e">
        <f ca="1">ROUND(D63*D111/(1+'数据-取费表'!C42),0)</f>
        <v>#REF!</v>
      </c>
      <c r="D111" s="376">
        <f>'数据-取费表'!B43</f>
        <v>0</v>
      </c>
      <c r="E111" s="3632" t="s">
        <v>1777</v>
      </c>
      <c r="F111" s="3633"/>
      <c r="G111" s="3633"/>
      <c r="H111" s="3634"/>
      <c r="I111" s="9"/>
      <c r="J111" s="1646"/>
      <c r="K111" s="1646"/>
      <c r="L111" s="1646"/>
      <c r="M111" s="1646"/>
      <c r="N111" s="1646"/>
      <c r="O111" s="1646"/>
      <c r="P111" s="1646"/>
      <c r="Q111" s="1646"/>
      <c r="R111" s="1646"/>
      <c r="S111" s="1646"/>
      <c r="T111" s="1646"/>
      <c r="U111" s="1646"/>
      <c r="V111" s="1646"/>
      <c r="W111" s="1650"/>
      <c r="X111" s="1650"/>
      <c r="Y111" s="1650"/>
      <c r="Z111" s="1650"/>
    </row>
    <row r="112" spans="1:26" s="1006" customFormat="1" ht="25.5" customHeight="1">
      <c r="A112" s="1340" t="s">
        <v>1370</v>
      </c>
      <c r="B112" s="346" t="s">
        <v>425</v>
      </c>
      <c r="C112" s="375">
        <f>ROUND(C108*D112,0)</f>
        <v>0</v>
      </c>
      <c r="D112" s="376">
        <v>0.2</v>
      </c>
      <c r="E112" s="3666" t="s">
        <v>1796</v>
      </c>
      <c r="F112" s="3633"/>
      <c r="G112" s="3633"/>
      <c r="H112" s="3634"/>
      <c r="I112" s="9"/>
      <c r="J112" s="1646"/>
      <c r="K112" s="1646"/>
      <c r="L112" s="1646"/>
      <c r="M112" s="1646"/>
      <c r="N112" s="1646"/>
      <c r="O112" s="1646"/>
      <c r="P112" s="1646"/>
      <c r="Q112" s="1646"/>
      <c r="R112" s="1646"/>
      <c r="S112" s="1646"/>
      <c r="T112" s="1646"/>
      <c r="U112" s="1646"/>
      <c r="V112" s="1646"/>
      <c r="W112" s="1650"/>
      <c r="X112" s="1650"/>
      <c r="Y112" s="1650"/>
      <c r="Z112" s="1650"/>
    </row>
    <row r="113" spans="1:26" s="1006" customFormat="1" ht="14.25">
      <c r="A113" s="1338" t="s">
        <v>1364</v>
      </c>
      <c r="B113" s="352" t="s">
        <v>411</v>
      </c>
      <c r="C113" s="355" t="e">
        <f ca="1">ROUND(C103-C104,0)</f>
        <v>#REF!</v>
      </c>
      <c r="D113" s="348" t="s">
        <v>13</v>
      </c>
      <c r="E113" s="904"/>
      <c r="F113" s="903"/>
      <c r="G113" s="903"/>
      <c r="H113" s="384"/>
      <c r="I113" s="9"/>
      <c r="J113" s="1646"/>
      <c r="K113" s="1646"/>
      <c r="L113" s="1646"/>
      <c r="M113" s="1646"/>
      <c r="N113" s="1646"/>
      <c r="O113" s="1646"/>
      <c r="P113" s="1646"/>
      <c r="Q113" s="1646"/>
      <c r="R113" s="1646"/>
      <c r="S113" s="1646"/>
      <c r="T113" s="1646"/>
      <c r="U113" s="1646"/>
      <c r="V113" s="1646"/>
      <c r="W113" s="1650"/>
      <c r="X113" s="1650"/>
      <c r="Y113" s="1650"/>
      <c r="Z113" s="1650"/>
    </row>
    <row r="114" spans="1:26" s="1006" customFormat="1" ht="24">
      <c r="A114" s="1338" t="s">
        <v>1365</v>
      </c>
      <c r="B114" s="352" t="s">
        <v>412</v>
      </c>
      <c r="C114" s="377" t="e">
        <f ca="1">IF(C113&lt;=0,0,C113/C104)</f>
        <v>#REF!</v>
      </c>
      <c r="D114" s="348" t="s">
        <v>13</v>
      </c>
      <c r="E114" s="22" t="e">
        <f ca="1">IF(C114&gt;=200%,"增值额超过扣除项目金额200%",IF(C114&gt;=100%,"增值额超过扣除项目金额100%，未超过200%",IF(C114&gt;=50%,"增值额超过扣除项目金额50%，未超过100%",IF(C114&lt;50%,"增值额未超过扣除项目金额50%"))))</f>
        <v>#REF!</v>
      </c>
      <c r="F114" s="903"/>
      <c r="G114" s="903"/>
      <c r="H114" s="384"/>
      <c r="I114" s="9"/>
      <c r="J114" s="1646"/>
      <c r="K114" s="1646"/>
      <c r="L114" s="1646"/>
      <c r="M114" s="1646"/>
      <c r="N114" s="1646"/>
      <c r="O114" s="1646"/>
      <c r="P114" s="1646"/>
      <c r="Q114" s="1646"/>
      <c r="R114" s="1646"/>
      <c r="S114" s="1646"/>
      <c r="T114" s="1646"/>
      <c r="U114" s="1646"/>
      <c r="V114" s="1646"/>
      <c r="W114" s="1650"/>
      <c r="X114" s="1650"/>
      <c r="Y114" s="1650"/>
      <c r="Z114" s="1650"/>
    </row>
    <row r="115" spans="1:26" s="1006" customFormat="1" ht="24.75" thickBot="1">
      <c r="A115" s="1339" t="s">
        <v>1366</v>
      </c>
      <c r="B115" s="357" t="s">
        <v>413</v>
      </c>
      <c r="C115" s="378" t="e">
        <f ca="1">ROUND(IF(C113&lt;=0,0,IF(C114&gt;=200%,C113*60%-C104*35%,IF(C114&gt;=100%,C113*50%-C104*15%,IF(C114&gt;=50%,C113*40%-C104*5%,IF(C114&lt;50%,C113*30%,0))))),0)</f>
        <v>#REF!</v>
      </c>
      <c r="D115" s="379" t="s">
        <v>13</v>
      </c>
      <c r="E115" s="38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81"/>
      <c r="G115" s="381"/>
      <c r="H115" s="390"/>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7" customFormat="1" ht="21.75" customHeight="1">
      <c r="K185" s="1653"/>
      <c r="L185" s="1653"/>
      <c r="M185" s="1653"/>
      <c r="N185" s="1653"/>
      <c r="O185" s="1653"/>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53" priority="3" stopIfTrue="1">
      <formula>$H$106&lt;&gt;"仅含出让金"</formula>
    </cfRule>
  </conditionalFormatting>
  <conditionalFormatting sqref="C109">
    <cfRule type="expression" dxfId="152" priority="2" stopIfTrue="1">
      <formula>$H$109="由企业提供"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I33">
    <cfRule type="expression" dxfId="14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625" style="1731" customWidth="1"/>
    <col min="2" max="2" width="25.625" style="1721" customWidth="1"/>
    <col min="3" max="3" width="10.375" style="1732" customWidth="1"/>
    <col min="4" max="4" width="12" style="1721" customWidth="1"/>
    <col min="5" max="5" width="9.5" style="1731" customWidth="1"/>
    <col min="6" max="6" width="10.125" style="1721" customWidth="1"/>
    <col min="7" max="7" width="11.62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31" s="1653" customFormat="1" ht="20.25">
      <c r="A1" s="1710" t="s">
        <v>426</v>
      </c>
      <c r="B1" s="2118"/>
      <c r="C1" s="1711"/>
      <c r="D1" s="1711"/>
      <c r="E1" s="1711"/>
      <c r="F1" s="1711"/>
      <c r="G1" s="1711"/>
      <c r="H1" s="1711"/>
      <c r="I1" s="1711"/>
      <c r="J1" s="1711"/>
      <c r="K1" s="392">
        <f>MATCH(B1,'数据-取费表'!A6:A16,0)+5</f>
        <v>7</v>
      </c>
      <c r="L1" s="237"/>
      <c r="M1" s="237"/>
      <c r="N1" s="237"/>
      <c r="O1" s="237"/>
      <c r="P1" s="237"/>
      <c r="Q1" s="237"/>
      <c r="R1" s="237"/>
      <c r="S1" s="237"/>
      <c r="T1" s="237"/>
      <c r="U1" s="237"/>
      <c r="V1" s="237"/>
      <c r="W1" s="237"/>
      <c r="X1" s="237"/>
      <c r="Y1" s="237"/>
      <c r="Z1" s="237"/>
    </row>
    <row r="2" spans="1:31" s="1653" customFormat="1" ht="18" customHeight="1">
      <c r="A2" s="1708" t="s">
        <v>427</v>
      </c>
      <c r="B2" s="1712" t="e">
        <f ca="1">C36</f>
        <v>#DIV/0!</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31" s="1653" customFormat="1" ht="18" customHeight="1">
      <c r="A3" s="1713" t="s">
        <v>1217</v>
      </c>
      <c r="B3" s="1714" t="e">
        <f ca="1">ROUND(B2*10000/IF(B1="",'数据-汇总表'!E3,INDIRECT("'数据-取费表'!K"&amp;$K$1)),0)</f>
        <v>#DIV/0!</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31" s="1653" customFormat="1" ht="18" customHeight="1">
      <c r="A4" s="396" t="s">
        <v>428</v>
      </c>
      <c r="B4" s="397" t="e">
        <f ca="1">ROUND(B2*10000/IF(B1="",'数据-汇总表'!D3,INDIRECT("'数据-取费表'!R"&amp;$K$1)),0)</f>
        <v>#DIV/0!</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3" customFormat="1" ht="18" customHeight="1" thickBot="1">
      <c r="A5" s="399"/>
      <c r="B5" s="400" t="e">
        <f ca="1">ROUND(B2/(IF(B1="",'数据-汇总表'!D3,INDIRECT("'数据-取费表'!R"&amp;$K$1))/666.67),0)</f>
        <v>#DIV/0!</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8" customFormat="1" ht="16.5" customHeight="1">
      <c r="A6" s="2133" t="s">
        <v>1371</v>
      </c>
      <c r="B6" s="2134"/>
      <c r="C6" s="2135">
        <f>SUM(C10:K10)</f>
        <v>0</v>
      </c>
      <c r="D6" s="2134"/>
      <c r="E6" s="2134"/>
      <c r="F6" s="2134"/>
      <c r="G6" s="2134"/>
      <c r="H6" s="2134"/>
      <c r="I6" s="2134"/>
      <c r="J6" s="2134"/>
      <c r="K6" s="2136"/>
      <c r="L6" s="2704"/>
      <c r="M6" s="2704"/>
      <c r="N6" s="2704"/>
      <c r="O6" s="2704"/>
      <c r="P6" s="2704"/>
      <c r="Q6" s="2704"/>
      <c r="R6" s="2704"/>
      <c r="S6" s="2704"/>
      <c r="T6" s="2704"/>
      <c r="U6" s="2704"/>
      <c r="V6" s="2704"/>
      <c r="W6" s="2704"/>
      <c r="X6" s="2704"/>
      <c r="Y6" s="2704"/>
      <c r="Z6" s="2704"/>
    </row>
    <row r="7" spans="1:31" s="1720" customFormat="1" ht="15">
      <c r="A7" s="2137" t="s">
        <v>430</v>
      </c>
      <c r="B7" s="2138" t="s">
        <v>431</v>
      </c>
      <c r="C7" s="406"/>
      <c r="D7" s="406"/>
      <c r="E7" s="406"/>
      <c r="F7" s="406"/>
      <c r="G7" s="406"/>
      <c r="H7" s="406"/>
      <c r="I7" s="406"/>
      <c r="J7" s="406"/>
      <c r="K7" s="407"/>
      <c r="AA7" s="1719"/>
      <c r="AB7" s="1719"/>
      <c r="AC7" s="1719"/>
      <c r="AD7" s="1719"/>
      <c r="AE7" s="1719"/>
    </row>
    <row r="8" spans="1:31" s="1722" customFormat="1" ht="13.5" customHeight="1">
      <c r="A8" s="736" t="s">
        <v>1374</v>
      </c>
      <c r="B8" s="241" t="s">
        <v>432</v>
      </c>
      <c r="C8" s="2139"/>
      <c r="D8" s="2139"/>
      <c r="E8" s="2139"/>
      <c r="F8" s="2139"/>
      <c r="G8" s="2139"/>
      <c r="H8" s="2139"/>
      <c r="I8" s="2139"/>
      <c r="J8" s="2139"/>
      <c r="K8" s="2140"/>
      <c r="AA8" s="1721"/>
      <c r="AB8" s="1721"/>
      <c r="AC8" s="1721"/>
      <c r="AD8" s="1721"/>
      <c r="AE8" s="1721"/>
    </row>
    <row r="9" spans="1:31" s="1722" customFormat="1" ht="13.5" customHeight="1">
      <c r="A9" s="736" t="s">
        <v>1375</v>
      </c>
      <c r="B9" s="241" t="s">
        <v>433</v>
      </c>
      <c r="C9" s="411">
        <f>SUMIF('数据-汇总表'!$C19:$C33,'剩余法-待开发'!C7,'数据-汇总表'!$E19:$E33)</f>
        <v>0</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1"/>
      <c r="AB9" s="1721"/>
      <c r="AC9" s="1721"/>
      <c r="AD9" s="1721"/>
      <c r="AE9" s="1721"/>
    </row>
    <row r="10" spans="1:31" s="1722" customFormat="1" ht="13.5" customHeight="1" thickBot="1">
      <c r="A10" s="2141" t="s">
        <v>1376</v>
      </c>
      <c r="B10" s="2127" t="s">
        <v>434</v>
      </c>
      <c r="C10" s="2314"/>
      <c r="D10" s="2314"/>
      <c r="E10" s="2314"/>
      <c r="F10" s="2142"/>
      <c r="G10" s="2142"/>
      <c r="H10" s="2142"/>
      <c r="I10" s="2142"/>
      <c r="J10" s="2142"/>
      <c r="K10" s="2143"/>
      <c r="AA10" s="1721"/>
      <c r="AB10" s="1721"/>
      <c r="AC10" s="1721"/>
      <c r="AD10" s="1721"/>
      <c r="AE10" s="1721"/>
    </row>
    <row r="11" spans="1:31" s="1718" customFormat="1" ht="16.5" customHeight="1">
      <c r="A11" s="2144" t="s">
        <v>1372</v>
      </c>
      <c r="B11" s="2134"/>
      <c r="C11" s="2134"/>
      <c r="D11" s="2134"/>
      <c r="E11" s="2134"/>
      <c r="F11" s="2134"/>
      <c r="G11" s="2134"/>
      <c r="H11" s="2134"/>
      <c r="I11" s="2134"/>
      <c r="J11" s="2134"/>
      <c r="K11" s="2136"/>
      <c r="L11" s="2704"/>
      <c r="M11" s="2704"/>
      <c r="N11" s="2704"/>
      <c r="O11" s="2704"/>
      <c r="P11" s="2704"/>
      <c r="Q11" s="2704"/>
      <c r="R11" s="2704"/>
      <c r="S11" s="2704"/>
      <c r="T11" s="2704"/>
      <c r="U11" s="2704"/>
      <c r="V11" s="2704"/>
      <c r="W11" s="2704"/>
      <c r="X11" s="2704"/>
      <c r="Y11" s="2704"/>
      <c r="Z11" s="2704"/>
    </row>
    <row r="12" spans="1:31" s="1694" customFormat="1" ht="13.5" customHeight="1">
      <c r="A12" s="2145" t="s">
        <v>430</v>
      </c>
      <c r="B12" s="2121" t="s">
        <v>431</v>
      </c>
      <c r="C12" s="2146" t="s">
        <v>435</v>
      </c>
      <c r="D12" s="1630" t="s">
        <v>436</v>
      </c>
      <c r="E12" s="1630" t="s">
        <v>437</v>
      </c>
      <c r="F12" s="1630" t="s">
        <v>438</v>
      </c>
      <c r="G12" s="2121"/>
      <c r="H12" s="2122"/>
      <c r="I12" s="2122"/>
      <c r="J12" s="2122"/>
      <c r="K12" s="2123"/>
      <c r="L12" s="2705"/>
      <c r="M12" s="2705"/>
      <c r="N12" s="2705"/>
      <c r="O12" s="2705"/>
      <c r="P12" s="2705"/>
      <c r="Q12" s="2705"/>
      <c r="R12" s="2705"/>
      <c r="S12" s="2705"/>
      <c r="T12" s="2705"/>
      <c r="U12" s="2705"/>
      <c r="V12" s="2705"/>
      <c r="W12" s="2705"/>
      <c r="X12" s="2705"/>
      <c r="Y12" s="2705"/>
      <c r="Z12" s="2705"/>
    </row>
    <row r="13" spans="1:31" s="1723" customFormat="1" ht="13.5" customHeight="1">
      <c r="A13" s="2147" t="s">
        <v>1377</v>
      </c>
      <c r="B13" s="2148" t="s">
        <v>439</v>
      </c>
      <c r="C13" s="419">
        <f ca="1">IF(B1="",'数据-取费表'!P16,INDIRECT("'数据-取费表'!p"&amp;$K$1)+INDIRECT("'数据-取费表'!t"&amp;$K$1))</f>
        <v>0</v>
      </c>
      <c r="D13" s="2149"/>
      <c r="E13" s="339"/>
      <c r="F13" s="2150"/>
      <c r="G13" s="2121"/>
      <c r="H13" s="2122"/>
      <c r="I13" s="2122"/>
      <c r="J13" s="2122"/>
      <c r="K13" s="2123"/>
      <c r="L13" s="1724"/>
      <c r="M13" s="1724"/>
      <c r="N13" s="1724"/>
      <c r="O13" s="1724"/>
      <c r="P13" s="1724"/>
      <c r="Q13" s="1724"/>
      <c r="R13" s="1724"/>
      <c r="S13" s="1724"/>
      <c r="T13" s="1724"/>
      <c r="U13" s="1724"/>
      <c r="V13" s="1724"/>
      <c r="W13" s="1724"/>
      <c r="X13" s="1724"/>
      <c r="Y13" s="1724"/>
      <c r="Z13" s="1724"/>
    </row>
    <row r="14" spans="1:31" s="1723" customFormat="1" ht="13.5" customHeight="1">
      <c r="A14" s="2147" t="s">
        <v>1378</v>
      </c>
      <c r="B14" s="2148" t="s">
        <v>440</v>
      </c>
      <c r="C14" s="49">
        <f ca="1">ROUND(C13*F14,0)</f>
        <v>0</v>
      </c>
      <c r="D14" s="2149"/>
      <c r="E14" s="339"/>
      <c r="F14" s="2153">
        <f>'数据-取费表'!B33</f>
        <v>0</v>
      </c>
      <c r="G14" s="2121" t="s">
        <v>441</v>
      </c>
      <c r="H14" s="2122"/>
      <c r="I14" s="2122"/>
      <c r="J14" s="2122"/>
      <c r="K14" s="2123"/>
      <c r="L14" s="1724"/>
      <c r="M14" s="1724"/>
      <c r="N14" s="1724"/>
      <c r="O14" s="1724"/>
      <c r="P14" s="1724"/>
      <c r="Q14" s="1724"/>
      <c r="R14" s="1724"/>
      <c r="S14" s="1724"/>
      <c r="T14" s="1724"/>
      <c r="U14" s="1724"/>
      <c r="V14" s="1724"/>
      <c r="W14" s="1724"/>
      <c r="X14" s="1724"/>
      <c r="Y14" s="1724"/>
      <c r="Z14" s="1724"/>
    </row>
    <row r="15" spans="1:31" s="1723" customFormat="1" ht="13.5" customHeight="1">
      <c r="A15" s="2147" t="s">
        <v>1379</v>
      </c>
      <c r="B15" s="2148" t="s">
        <v>442</v>
      </c>
      <c r="C15" s="49">
        <f ca="1">ROUND(IF(B1="",SUMIF('数据-取费表'!C:C,"住宅",'数据-取费表'!P:P)*F15,IF(INDIRECT("'数据-取费表'!c"&amp;$K$1)="住宅",INDIRECT("'数据-取费表'!P"&amp;$K$1)*F15,0)),0)</f>
        <v>0</v>
      </c>
      <c r="D15" s="2149"/>
      <c r="E15" s="339"/>
      <c r="F15" s="2153">
        <f>'数据-取费表'!B34</f>
        <v>0</v>
      </c>
      <c r="G15" s="2121" t="s">
        <v>443</v>
      </c>
      <c r="H15" s="2122"/>
      <c r="I15" s="2122"/>
      <c r="J15" s="2122"/>
      <c r="K15" s="2123"/>
      <c r="L15" s="1724"/>
      <c r="M15" s="1724"/>
      <c r="N15" s="1724"/>
      <c r="O15" s="1724"/>
      <c r="P15" s="1724"/>
      <c r="Q15" s="1724"/>
      <c r="R15" s="1724"/>
      <c r="S15" s="1724"/>
      <c r="T15" s="1724"/>
      <c r="U15" s="1724"/>
      <c r="V15" s="1724"/>
      <c r="W15" s="1724"/>
      <c r="X15" s="1724"/>
      <c r="Y15" s="1724"/>
      <c r="Z15" s="1724"/>
    </row>
    <row r="16" spans="1:31" s="1724" customFormat="1" ht="13.5" customHeight="1">
      <c r="A16" s="2147" t="s">
        <v>1380</v>
      </c>
      <c r="B16" s="2148" t="s">
        <v>444</v>
      </c>
      <c r="C16" s="49">
        <f ca="1">ROUND(D16*E16/10000,0)</f>
        <v>0</v>
      </c>
      <c r="D16" s="2149">
        <f ca="1">IF(B1="",'数据-汇总表'!E3,INDIRECT("'数据-取费表'!K"&amp;$K$1)+INDIRECT("'数据-取费表'!S"&amp;$K$1))</f>
        <v>5006.88</v>
      </c>
      <c r="E16" s="49">
        <f>'数据-取费表'!B35</f>
        <v>0</v>
      </c>
      <c r="F16" s="2151"/>
      <c r="G16" s="2121"/>
      <c r="H16" s="2122"/>
      <c r="I16" s="2122"/>
      <c r="J16" s="2122"/>
      <c r="K16" s="2123"/>
      <c r="AA16" s="1723"/>
      <c r="AB16" s="1723"/>
      <c r="AC16" s="1723"/>
      <c r="AD16" s="1723"/>
      <c r="AE16" s="1723"/>
    </row>
    <row r="17" spans="1:26" s="1723" customFormat="1" ht="13.5" customHeight="1">
      <c r="A17" s="2147" t="s">
        <v>1381</v>
      </c>
      <c r="B17" s="2148" t="s">
        <v>445</v>
      </c>
      <c r="C17" s="2152">
        <f ca="1">ROUND(C13*F17,0)</f>
        <v>0</v>
      </c>
      <c r="D17" s="444"/>
      <c r="E17" s="2152"/>
      <c r="F17" s="2153">
        <f>'数据-取费表'!B36</f>
        <v>0</v>
      </c>
      <c r="G17" s="241" t="s">
        <v>446</v>
      </c>
      <c r="H17" s="1059"/>
      <c r="I17" s="1059"/>
      <c r="J17" s="1059"/>
      <c r="K17" s="258"/>
      <c r="L17" s="1724"/>
      <c r="M17" s="1724"/>
      <c r="N17" s="1724"/>
      <c r="O17" s="1724"/>
      <c r="P17" s="1724"/>
      <c r="Q17" s="1724"/>
      <c r="R17" s="1724"/>
      <c r="S17" s="1724"/>
      <c r="T17" s="1724"/>
      <c r="U17" s="1724"/>
      <c r="V17" s="1724"/>
      <c r="W17" s="1724"/>
      <c r="X17" s="1724"/>
      <c r="Y17" s="1724"/>
      <c r="Z17" s="1724"/>
    </row>
    <row r="18" spans="1:26" s="1723" customFormat="1" ht="13.5" customHeight="1">
      <c r="A18" s="2154" t="s">
        <v>1382</v>
      </c>
      <c r="B18" s="2155" t="s">
        <v>447</v>
      </c>
      <c r="C18" s="2156">
        <f ca="1">SUM(C13:C17)</f>
        <v>0</v>
      </c>
      <c r="D18" s="2157"/>
      <c r="E18" s="437"/>
      <c r="F18" s="437"/>
      <c r="G18" s="1040" t="s">
        <v>1778</v>
      </c>
      <c r="H18" s="1041"/>
      <c r="I18" s="1041"/>
      <c r="J18" s="1041"/>
      <c r="K18" s="130"/>
      <c r="L18" s="1724"/>
      <c r="M18" s="1724"/>
      <c r="N18" s="1724"/>
      <c r="O18" s="1724"/>
      <c r="P18" s="1724"/>
      <c r="Q18" s="1724"/>
      <c r="R18" s="1724"/>
      <c r="S18" s="1724"/>
      <c r="T18" s="1724"/>
      <c r="U18" s="1724"/>
      <c r="V18" s="1724"/>
      <c r="W18" s="1724"/>
      <c r="X18" s="1724"/>
      <c r="Y18" s="1724"/>
      <c r="Z18" s="1724"/>
    </row>
    <row r="19" spans="1:26" s="1723" customFormat="1" ht="13.5" customHeight="1">
      <c r="A19" s="2154" t="s">
        <v>1383</v>
      </c>
      <c r="B19" s="2155" t="s">
        <v>448</v>
      </c>
      <c r="C19" s="1630">
        <f ca="1">ROUND(D19*E19/10000,0)</f>
        <v>0</v>
      </c>
      <c r="D19" s="2158">
        <f ca="1">D16</f>
        <v>5006.88</v>
      </c>
      <c r="E19" s="1630">
        <f>'数据-取费表'!B32</f>
        <v>0</v>
      </c>
      <c r="F19" s="437"/>
      <c r="G19" s="2121" t="s">
        <v>449</v>
      </c>
      <c r="H19" s="2122"/>
      <c r="I19" s="1041"/>
      <c r="J19" s="1041"/>
      <c r="K19" s="130"/>
      <c r="L19" s="1724"/>
      <c r="M19" s="1724"/>
      <c r="N19" s="1724"/>
      <c r="O19" s="1724"/>
      <c r="P19" s="1724"/>
      <c r="Q19" s="1724"/>
      <c r="R19" s="1724"/>
      <c r="S19" s="1724"/>
      <c r="T19" s="1724"/>
      <c r="U19" s="1724"/>
      <c r="V19" s="1724"/>
      <c r="W19" s="1724"/>
      <c r="X19" s="1724"/>
      <c r="Y19" s="1724"/>
      <c r="Z19" s="1724"/>
    </row>
    <row r="20" spans="1:26" s="1723" customFormat="1" ht="13.5" customHeight="1">
      <c r="A20" s="2154" t="s">
        <v>1384</v>
      </c>
      <c r="B20" s="2155" t="s">
        <v>450</v>
      </c>
      <c r="C20" s="1630">
        <f ca="1">C21+C22-IF(B1="",'数据-取费表'!B29,IF(G20="已全部缴纳",C21+C22,H20))</f>
        <v>0</v>
      </c>
      <c r="D20" s="2158"/>
      <c r="E20" s="1630"/>
      <c r="F20" s="2159"/>
      <c r="G20" s="2343"/>
      <c r="H20" s="2119"/>
      <c r="I20" s="2120" t="s">
        <v>1930</v>
      </c>
      <c r="J20" s="1041"/>
      <c r="K20" s="130"/>
      <c r="L20" s="1724"/>
      <c r="M20" s="1724"/>
      <c r="N20" s="1724"/>
      <c r="O20" s="1724"/>
      <c r="P20" s="1724"/>
      <c r="Q20" s="1724"/>
      <c r="R20" s="1724"/>
      <c r="S20" s="1724"/>
      <c r="T20" s="1724"/>
      <c r="U20" s="1724"/>
      <c r="V20" s="1724"/>
      <c r="W20" s="1724"/>
      <c r="X20" s="1724"/>
      <c r="Y20" s="1724"/>
      <c r="Z20" s="1724"/>
    </row>
    <row r="21" spans="1:26" s="1723" customFormat="1" ht="13.5" customHeight="1">
      <c r="A21" s="2147" t="s">
        <v>1385</v>
      </c>
      <c r="B21" s="2148" t="s">
        <v>451</v>
      </c>
      <c r="C21" s="49">
        <f ca="1">ROUND(D21*E21/10000,0)</f>
        <v>0</v>
      </c>
      <c r="D21" s="2149">
        <f ca="1">IF(B1="",'数据-汇总表'!E5,IF(INDIRECT("'数据-取费表'!c"&amp;$K$1)="住宅",INDIRECT("'数据-取费表'!k"&amp;$K$1),0))</f>
        <v>0</v>
      </c>
      <c r="E21" s="49">
        <f>'数据-取费表'!B27</f>
        <v>0</v>
      </c>
      <c r="F21" s="2151"/>
      <c r="G21" s="22"/>
      <c r="H21" s="47"/>
      <c r="I21" s="47"/>
      <c r="J21" s="47"/>
      <c r="K21" s="2124"/>
      <c r="L21" s="1724"/>
      <c r="M21" s="1724"/>
      <c r="N21" s="1724"/>
      <c r="O21" s="1724"/>
      <c r="P21" s="1724"/>
      <c r="Q21" s="1724"/>
      <c r="R21" s="1724"/>
      <c r="S21" s="1724"/>
      <c r="T21" s="1724"/>
      <c r="U21" s="1724"/>
      <c r="V21" s="1724"/>
      <c r="W21" s="1724"/>
      <c r="X21" s="1724"/>
      <c r="Y21" s="1724"/>
      <c r="Z21" s="1724"/>
    </row>
    <row r="22" spans="1:26" s="1723" customFormat="1" ht="13.5" customHeight="1">
      <c r="A22" s="2147" t="s">
        <v>1386</v>
      </c>
      <c r="B22" s="2148" t="s">
        <v>452</v>
      </c>
      <c r="C22" s="49">
        <f ca="1">ROUND(D22*E22/10000,0)</f>
        <v>0</v>
      </c>
      <c r="D22" s="2149">
        <f ca="1">IF(B1="",'数据-汇总表'!E6,IF(INDIRECT("'数据-取费表'!c"&amp;$K$1)="住宅",INDIRECT("'数据-取费表'!s"&amp;$K$1),INDIRECT("'数据-取费表'!k"&amp;$K$1)+INDIRECT("'数据-取费表'!s"&amp;$K$1)))</f>
        <v>5006.88</v>
      </c>
      <c r="E22" s="49">
        <f>'数据-取费表'!B28</f>
        <v>0</v>
      </c>
      <c r="F22" s="2151"/>
      <c r="G22" s="22"/>
      <c r="H22" s="47"/>
      <c r="I22" s="47"/>
      <c r="J22" s="47"/>
      <c r="K22" s="2124"/>
      <c r="L22" s="1724"/>
      <c r="M22" s="1724"/>
      <c r="N22" s="1724"/>
      <c r="O22" s="1724"/>
      <c r="P22" s="1724"/>
      <c r="Q22" s="1724"/>
      <c r="R22" s="1724"/>
      <c r="S22" s="1724"/>
      <c r="T22" s="1724"/>
      <c r="U22" s="1724"/>
      <c r="V22" s="1724"/>
      <c r="W22" s="1724"/>
      <c r="X22" s="1724"/>
      <c r="Y22" s="1724"/>
      <c r="Z22" s="1724"/>
    </row>
    <row r="23" spans="1:26" s="1723" customFormat="1" ht="13.5" customHeight="1">
      <c r="A23" s="2154" t="s">
        <v>1387</v>
      </c>
      <c r="B23" s="2318" t="s">
        <v>2106</v>
      </c>
      <c r="C23" s="2156">
        <f ca="1">ROUND((C18+C19+C20)*F23,0)</f>
        <v>0</v>
      </c>
      <c r="D23" s="437"/>
      <c r="E23" s="437"/>
      <c r="F23" s="2160">
        <f>'数据-取费表'!B37</f>
        <v>0</v>
      </c>
      <c r="G23" s="2121" t="s">
        <v>1779</v>
      </c>
      <c r="H23" s="2122"/>
      <c r="I23" s="2122"/>
      <c r="J23" s="2122"/>
      <c r="K23" s="2123"/>
      <c r="L23" s="2706"/>
      <c r="M23" s="2706"/>
      <c r="N23" s="2706"/>
      <c r="O23" s="1724"/>
      <c r="P23" s="1724"/>
      <c r="Q23" s="1724"/>
      <c r="R23" s="1724"/>
      <c r="S23" s="1724"/>
      <c r="T23" s="1724"/>
      <c r="U23" s="1724"/>
      <c r="V23" s="1724"/>
      <c r="W23" s="1724"/>
      <c r="X23" s="1724"/>
      <c r="Y23" s="1724"/>
      <c r="Z23" s="1724"/>
    </row>
    <row r="24" spans="1:26" s="1723" customFormat="1" ht="13.5" customHeight="1">
      <c r="A24" s="2154" t="s">
        <v>1388</v>
      </c>
      <c r="B24" s="2318" t="s">
        <v>2109</v>
      </c>
      <c r="C24" s="2156">
        <f>ROUND(C6*F24,0)</f>
        <v>0</v>
      </c>
      <c r="D24" s="444"/>
      <c r="E24" s="442"/>
      <c r="F24" s="2160">
        <f>'数据-取费表'!B38</f>
        <v>0</v>
      </c>
      <c r="G24" s="2126" t="s">
        <v>459</v>
      </c>
      <c r="H24" s="1059"/>
      <c r="I24" s="1059"/>
      <c r="J24" s="1059"/>
      <c r="K24" s="258"/>
      <c r="L24" s="2706"/>
      <c r="M24" s="2706"/>
      <c r="N24" s="2706"/>
      <c r="O24" s="1724"/>
      <c r="P24" s="1724"/>
      <c r="Q24" s="1724"/>
      <c r="R24" s="1724"/>
      <c r="S24" s="1724"/>
      <c r="T24" s="1724"/>
      <c r="U24" s="1724"/>
      <c r="V24" s="1724"/>
      <c r="W24" s="1724"/>
      <c r="X24" s="1724"/>
      <c r="Y24" s="1724"/>
      <c r="Z24" s="1724"/>
    </row>
    <row r="25" spans="1:26" s="1726" customFormat="1" ht="13.5" customHeight="1">
      <c r="A25" s="2154" t="s">
        <v>1389</v>
      </c>
      <c r="B25" s="2318" t="s">
        <v>2107</v>
      </c>
      <c r="C25" s="436">
        <f>ROUND(F25/(1+'数据-取费表'!C42),4)</f>
        <v>0</v>
      </c>
      <c r="D25" s="431" t="s">
        <v>2102</v>
      </c>
      <c r="E25" s="438"/>
      <c r="F25" s="2160">
        <f>IF(项目基本情况!B8="出让",0,'数据-取费表'!B48+'数据-取费表'!B49)</f>
        <v>0</v>
      </c>
      <c r="G25" s="2125" t="s">
        <v>1645</v>
      </c>
      <c r="H25" s="2122"/>
      <c r="I25" s="2122"/>
      <c r="J25" s="2122"/>
      <c r="K25" s="2123"/>
      <c r="L25" s="2707"/>
      <c r="M25" s="2707"/>
      <c r="N25" s="2707"/>
      <c r="O25" s="2707"/>
      <c r="P25" s="2707"/>
      <c r="Q25" s="2707"/>
      <c r="R25" s="2707"/>
      <c r="S25" s="2707"/>
      <c r="T25" s="2707"/>
      <c r="U25" s="2707"/>
      <c r="V25" s="2707"/>
      <c r="W25" s="2707"/>
      <c r="X25" s="2707"/>
      <c r="Y25" s="2707"/>
      <c r="Z25" s="2707"/>
    </row>
    <row r="26" spans="1:26" s="1725" customFormat="1" ht="13.5" customHeight="1">
      <c r="A26" s="2154" t="s">
        <v>1390</v>
      </c>
      <c r="B26" s="2319" t="s">
        <v>2108</v>
      </c>
      <c r="C26" s="2161">
        <f ca="1">C28</f>
        <v>0</v>
      </c>
      <c r="D26" s="436">
        <f ca="1">C27</f>
        <v>0</v>
      </c>
      <c r="E26" s="438" t="s">
        <v>455</v>
      </c>
      <c r="F26" s="440">
        <f ca="1">'数据-取费表'!B40</f>
        <v>4.7500000000000001E-2</v>
      </c>
      <c r="G26" s="2044" t="str">
        <f>IF('数据-取费表'!B22&lt;=1,"单利计息。","复利计息。")&amp;"后续开发成本、管理费用及销售费用产生的利息。"</f>
        <v>复利计息。后续开发成本、管理费用及销售费用产生的利息。</v>
      </c>
      <c r="H26" s="1041"/>
      <c r="I26" s="1041"/>
      <c r="J26" s="1041"/>
      <c r="K26" s="130"/>
      <c r="L26" s="2706"/>
      <c r="M26" s="2706"/>
      <c r="N26" s="2706"/>
      <c r="O26" s="2706"/>
      <c r="P26" s="2706"/>
      <c r="Q26" s="2706"/>
      <c r="R26" s="2706"/>
      <c r="S26" s="2706"/>
      <c r="T26" s="2706"/>
      <c r="U26" s="2706"/>
      <c r="V26" s="2706"/>
      <c r="W26" s="2706"/>
      <c r="X26" s="2706"/>
      <c r="Y26" s="2706"/>
      <c r="Z26" s="2706"/>
    </row>
    <row r="27" spans="1:26" s="1727" customFormat="1" ht="13.5" customHeight="1">
      <c r="A27" s="736" t="s">
        <v>1385</v>
      </c>
      <c r="B27" s="2162" t="s">
        <v>456</v>
      </c>
      <c r="C27" s="2163">
        <f ca="1">ROUND(IF('数据-取费表'!B22&lt;=1,(1+C25)*F26*'数据-取费表'!B24,(1+C25)*(POWER((1+F26),'数据-取费表'!B24)-1)),4)</f>
        <v>0</v>
      </c>
      <c r="D27" s="441"/>
      <c r="E27" s="442"/>
      <c r="F27" s="443"/>
      <c r="G27" s="2044" t="str">
        <f>IF('数据-取费表'!B22&lt;=1,"（1+取得税费率/(1+5%)）×年利率×建设期","（1+取得税费率）/(1+5%)×((1+年利率)^建设期-1)")</f>
        <v>（1+取得税费率）/(1+5%)×((1+年利率)^建设期-1)</v>
      </c>
      <c r="H27" s="1059"/>
      <c r="I27" s="1059"/>
      <c r="J27" s="1059"/>
      <c r="K27" s="258"/>
      <c r="L27" s="2708"/>
      <c r="M27" s="2708"/>
      <c r="N27" s="2708"/>
      <c r="O27" s="2708"/>
      <c r="P27" s="2708"/>
      <c r="Q27" s="2708"/>
      <c r="R27" s="2708"/>
      <c r="S27" s="2708"/>
      <c r="T27" s="2708"/>
      <c r="U27" s="2708"/>
      <c r="V27" s="2708"/>
      <c r="W27" s="2708"/>
      <c r="X27" s="2708"/>
      <c r="Y27" s="2708"/>
      <c r="Z27" s="2708"/>
    </row>
    <row r="28" spans="1:26" s="1727" customFormat="1" ht="13.5" customHeight="1">
      <c r="A28" s="736" t="s">
        <v>1386</v>
      </c>
      <c r="B28" s="2162" t="s">
        <v>2110</v>
      </c>
      <c r="C28" s="2164">
        <f ca="1">ROUND(IF('数据-取费表'!B22&lt;=1,(C18+C19+C20+C23+C24)*F26*'数据-取费表'!B24/2,(C18+C19+C20+C23+C24)*(POWER((1+F26),'数据-取费表'!B24/2)-1)),0)</f>
        <v>0</v>
      </c>
      <c r="D28" s="441"/>
      <c r="E28" s="442"/>
      <c r="F28" s="443"/>
      <c r="G28" s="2044" t="str">
        <f>IF('数据-取费表'!B22&lt;=1,"（1）-（4）项×年利率×建设期÷2","（1）-（4）项×((1+年利率)^(建设期÷2)-1)")</f>
        <v>（1）-（4）项×((1+年利率)^(建设期÷2)-1)</v>
      </c>
      <c r="H28" s="1059"/>
      <c r="I28" s="1059"/>
      <c r="J28" s="1059"/>
      <c r="K28" s="258"/>
      <c r="L28" s="2708"/>
      <c r="M28" s="2708"/>
      <c r="N28" s="2708"/>
      <c r="O28" s="2708"/>
      <c r="P28" s="2708"/>
      <c r="Q28" s="2708"/>
      <c r="R28" s="2708"/>
      <c r="S28" s="2708"/>
      <c r="T28" s="2708"/>
      <c r="U28" s="2708"/>
      <c r="V28" s="2708"/>
      <c r="W28" s="2708"/>
      <c r="X28" s="2708"/>
      <c r="Y28" s="2708"/>
      <c r="Z28" s="2708"/>
    </row>
    <row r="29" spans="1:26" s="1727" customFormat="1" ht="13.5" customHeight="1">
      <c r="A29" s="2165" t="s">
        <v>1391</v>
      </c>
      <c r="B29" s="2155" t="s">
        <v>457</v>
      </c>
      <c r="C29" s="2156">
        <f>ROUND(C6*F29/(1+'数据-取费表'!C42),0)</f>
        <v>0</v>
      </c>
      <c r="D29" s="437"/>
      <c r="E29" s="437"/>
      <c r="F29" s="2320">
        <f>'数据-取费表'!B41</f>
        <v>0</v>
      </c>
      <c r="G29" s="2126" t="s">
        <v>458</v>
      </c>
      <c r="H29" s="2122"/>
      <c r="I29" s="2122"/>
      <c r="J29" s="2122"/>
      <c r="K29" s="2123"/>
      <c r="L29" s="2708"/>
      <c r="M29" s="2708"/>
      <c r="N29" s="2708"/>
      <c r="O29" s="2708"/>
      <c r="P29" s="2708"/>
      <c r="Q29" s="2708"/>
      <c r="R29" s="2708"/>
      <c r="S29" s="2708"/>
      <c r="T29" s="2708"/>
      <c r="U29" s="2708"/>
      <c r="V29" s="2708"/>
      <c r="W29" s="2708"/>
      <c r="X29" s="2708"/>
      <c r="Y29" s="2708"/>
      <c r="Z29" s="2708"/>
    </row>
    <row r="30" spans="1:26" s="1728" customFormat="1" ht="13.5" customHeight="1">
      <c r="A30" s="1356" t="s">
        <v>1392</v>
      </c>
      <c r="B30" s="2166" t="s">
        <v>460</v>
      </c>
      <c r="C30" s="2161">
        <f ca="1">C31</f>
        <v>0</v>
      </c>
      <c r="D30" s="446">
        <f ca="1">C32</f>
        <v>0</v>
      </c>
      <c r="E30" s="438" t="s">
        <v>455</v>
      </c>
      <c r="F30" s="440"/>
      <c r="G30" s="2125" t="s">
        <v>2224</v>
      </c>
      <c r="H30" s="2122"/>
      <c r="I30" s="2122"/>
      <c r="J30" s="2122"/>
      <c r="K30" s="2123"/>
      <c r="L30" s="2709"/>
      <c r="M30" s="2709"/>
      <c r="N30" s="2709"/>
      <c r="O30" s="2709"/>
      <c r="P30" s="2709"/>
      <c r="Q30" s="2709"/>
      <c r="R30" s="2709"/>
      <c r="S30" s="2709"/>
      <c r="T30" s="2709"/>
      <c r="U30" s="2709"/>
      <c r="V30" s="2709"/>
      <c r="W30" s="2709"/>
      <c r="X30" s="2709"/>
      <c r="Y30" s="2709"/>
      <c r="Z30" s="2709"/>
    </row>
    <row r="31" spans="1:26" s="1727" customFormat="1" ht="13.5" customHeight="1">
      <c r="A31" s="736" t="s">
        <v>1385</v>
      </c>
      <c r="B31" s="2162"/>
      <c r="C31" s="419">
        <f ca="1">C18+C19+C20+C23+C24+C26+C29</f>
        <v>0</v>
      </c>
      <c r="D31" s="441"/>
      <c r="E31" s="442"/>
      <c r="F31" s="443"/>
      <c r="G31" s="241"/>
      <c r="H31" s="1059"/>
      <c r="I31" s="1059"/>
      <c r="J31" s="1059"/>
      <c r="K31" s="258"/>
      <c r="L31" s="2708"/>
      <c r="M31" s="2708"/>
      <c r="N31" s="2708"/>
      <c r="O31" s="2708"/>
      <c r="P31" s="2708"/>
      <c r="Q31" s="2708"/>
      <c r="R31" s="2708"/>
      <c r="S31" s="2708"/>
      <c r="T31" s="2708"/>
      <c r="U31" s="2708"/>
      <c r="V31" s="2708"/>
      <c r="W31" s="2708"/>
      <c r="X31" s="2708"/>
      <c r="Y31" s="2708"/>
      <c r="Z31" s="2708"/>
    </row>
    <row r="32" spans="1:26" s="1727" customFormat="1" ht="13.5" customHeight="1">
      <c r="A32" s="736" t="s">
        <v>1386</v>
      </c>
      <c r="B32" s="2162"/>
      <c r="C32" s="49">
        <f ca="1">ROUND(C25+D26,4)</f>
        <v>0</v>
      </c>
      <c r="D32" s="441"/>
      <c r="E32" s="442"/>
      <c r="F32" s="443"/>
      <c r="G32" s="241"/>
      <c r="H32" s="1059"/>
      <c r="I32" s="1059"/>
      <c r="J32" s="1059"/>
      <c r="K32" s="258"/>
      <c r="L32" s="2708"/>
      <c r="M32" s="2708"/>
      <c r="N32" s="2708"/>
      <c r="O32" s="2708"/>
      <c r="P32" s="2708"/>
      <c r="Q32" s="2708"/>
      <c r="R32" s="2708"/>
      <c r="S32" s="2708"/>
      <c r="T32" s="2708"/>
      <c r="U32" s="2708"/>
      <c r="V32" s="2708"/>
      <c r="W32" s="2708"/>
      <c r="X32" s="2708"/>
      <c r="Y32" s="2708"/>
      <c r="Z32" s="2708"/>
    </row>
    <row r="33" spans="1:26" s="1729" customFormat="1" ht="13.5" customHeight="1">
      <c r="A33" s="2317" t="s">
        <v>2105</v>
      </c>
      <c r="B33" s="2315" t="s">
        <v>2103</v>
      </c>
      <c r="C33" s="447" t="e">
        <f ca="1">C35</f>
        <v>#DIV/0!</v>
      </c>
      <c r="D33" s="436" t="e">
        <f ca="1">C34</f>
        <v>#DIV/0!</v>
      </c>
      <c r="E33" s="438" t="s">
        <v>455</v>
      </c>
      <c r="F33" s="448" t="e">
        <f ca="1">IF(B1="",'数据-取费表'!Q16,INDIRECT("'数据-取费表'!q"&amp;$K$1))</f>
        <v>#DIV/0!</v>
      </c>
      <c r="G33" s="1040"/>
      <c r="H33" s="1041"/>
      <c r="I33" s="1041"/>
      <c r="J33" s="1041"/>
      <c r="K33" s="130"/>
      <c r="L33" s="2710"/>
      <c r="M33" s="2710"/>
      <c r="N33" s="2710"/>
      <c r="O33" s="2710"/>
      <c r="P33" s="2710"/>
      <c r="Q33" s="2710"/>
      <c r="R33" s="2710"/>
      <c r="S33" s="2710"/>
      <c r="T33" s="2710"/>
      <c r="U33" s="2710"/>
      <c r="V33" s="2710"/>
      <c r="W33" s="2710"/>
      <c r="X33" s="2710"/>
      <c r="Y33" s="2710"/>
      <c r="Z33" s="2710"/>
    </row>
    <row r="34" spans="1:26" s="1730" customFormat="1" ht="13.5" customHeight="1">
      <c r="A34" s="345" t="s">
        <v>1385</v>
      </c>
      <c r="B34" s="2167" t="s">
        <v>461</v>
      </c>
      <c r="C34" s="441" t="e">
        <f ca="1">ROUND((1+C25)*F33,4)</f>
        <v>#DIV/0!</v>
      </c>
      <c r="D34" s="441"/>
      <c r="E34" s="442"/>
      <c r="F34" s="449"/>
      <c r="G34" s="241" t="s">
        <v>1646</v>
      </c>
      <c r="H34" s="1059"/>
      <c r="I34" s="1059"/>
      <c r="J34" s="1059"/>
      <c r="K34" s="258"/>
      <c r="L34" s="2711"/>
      <c r="M34" s="2711"/>
      <c r="N34" s="2711"/>
      <c r="O34" s="2711"/>
      <c r="P34" s="2711"/>
      <c r="Q34" s="2711"/>
      <c r="R34" s="2711"/>
      <c r="S34" s="2711"/>
      <c r="T34" s="2711"/>
      <c r="U34" s="2711"/>
      <c r="V34" s="2711"/>
      <c r="W34" s="2711"/>
      <c r="X34" s="2711"/>
      <c r="Y34" s="2711"/>
      <c r="Z34" s="2711"/>
    </row>
    <row r="35" spans="1:26" s="1730" customFormat="1" ht="13.5" customHeight="1" thickBot="1">
      <c r="A35" s="1357" t="s">
        <v>1386</v>
      </c>
      <c r="B35" s="2316" t="s">
        <v>2111</v>
      </c>
      <c r="C35" s="1349" t="e">
        <f ca="1">ROUND((C18+C19+C20+C23+C24)*F33,0)</f>
        <v>#DIV/0!</v>
      </c>
      <c r="D35" s="1350"/>
      <c r="E35" s="2168"/>
      <c r="F35" s="1351"/>
      <c r="G35" s="2127"/>
      <c r="H35" s="2128"/>
      <c r="I35" s="2128"/>
      <c r="J35" s="2128"/>
      <c r="K35" s="2129"/>
      <c r="L35" s="2711"/>
      <c r="M35" s="2711"/>
      <c r="N35" s="2711"/>
      <c r="O35" s="2711"/>
      <c r="P35" s="2711"/>
      <c r="Q35" s="2711"/>
      <c r="R35" s="2711"/>
      <c r="S35" s="2711"/>
      <c r="T35" s="2711"/>
      <c r="U35" s="2711"/>
      <c r="V35" s="2711"/>
      <c r="W35" s="2711"/>
      <c r="X35" s="2711"/>
      <c r="Y35" s="2711"/>
      <c r="Z35" s="2711"/>
    </row>
    <row r="36" spans="1:26" s="1694" customFormat="1" ht="13.5" customHeight="1" thickBot="1">
      <c r="A36" s="262" t="s">
        <v>1373</v>
      </c>
      <c r="B36" s="2131"/>
      <c r="C36" s="2169" t="e">
        <f ca="1">ROUND((C6-C30-C33)/(1+D30+D33),0)</f>
        <v>#DIV/0!</v>
      </c>
      <c r="D36" s="2131"/>
      <c r="E36" s="2131"/>
      <c r="F36" s="2131"/>
      <c r="G36" s="2130" t="s">
        <v>2112</v>
      </c>
      <c r="H36" s="2131"/>
      <c r="I36" s="2131"/>
      <c r="J36" s="2131"/>
      <c r="K36" s="2132"/>
      <c r="L36" s="2705"/>
      <c r="M36" s="2705"/>
      <c r="N36" s="2705"/>
      <c r="O36" s="2705"/>
      <c r="P36" s="2705"/>
      <c r="Q36" s="2705"/>
      <c r="R36" s="2705"/>
      <c r="S36" s="2705"/>
      <c r="T36" s="2705"/>
      <c r="U36" s="2705"/>
      <c r="V36" s="2705"/>
      <c r="W36" s="2705"/>
      <c r="X36" s="2705"/>
      <c r="Y36" s="2705"/>
      <c r="Z36" s="2705"/>
    </row>
    <row r="37" spans="1:26" s="1722" customFormat="1">
      <c r="A37" s="2712"/>
      <c r="C37" s="2713"/>
      <c r="E37" s="2712"/>
    </row>
    <row r="38" spans="1:26" s="1722" customFormat="1" ht="12.75" customHeight="1">
      <c r="A38" s="2712"/>
      <c r="C38" s="2713"/>
      <c r="E38" s="2712"/>
    </row>
    <row r="39" spans="1:26" s="1722" customFormat="1">
      <c r="A39" s="2712"/>
      <c r="C39" s="2713"/>
      <c r="E39" s="2712"/>
    </row>
    <row r="40" spans="1:26" s="1722" customFormat="1">
      <c r="A40" s="2712"/>
      <c r="C40" s="2713"/>
      <c r="E40" s="2712"/>
    </row>
    <row r="41" spans="1:26" s="1722" customFormat="1">
      <c r="A41" s="2712"/>
      <c r="C41" s="2713"/>
      <c r="E41" s="2712"/>
    </row>
    <row r="42" spans="1:26" s="1722" customFormat="1">
      <c r="A42" s="2712"/>
      <c r="C42" s="2713"/>
      <c r="E42" s="2712"/>
    </row>
    <row r="43" spans="1:26" s="1722" customFormat="1">
      <c r="A43" s="2712"/>
      <c r="C43" s="2713"/>
      <c r="E43" s="2712"/>
    </row>
    <row r="44" spans="1:26" s="1722" customFormat="1">
      <c r="A44" s="2712"/>
      <c r="C44" s="2713"/>
      <c r="E44" s="2712"/>
    </row>
    <row r="45" spans="1:26" s="1722" customFormat="1">
      <c r="A45" s="2712"/>
      <c r="C45" s="2713"/>
      <c r="E45" s="2712"/>
    </row>
    <row r="46" spans="1:26" s="1722" customFormat="1">
      <c r="A46" s="2712"/>
      <c r="C46" s="2713"/>
      <c r="E46" s="2712"/>
    </row>
    <row r="47" spans="1:26" s="1722" customFormat="1">
      <c r="A47" s="2712"/>
      <c r="C47" s="2713"/>
      <c r="E47" s="2712"/>
    </row>
    <row r="48" spans="1:26" s="1722" customFormat="1">
      <c r="A48" s="2712"/>
      <c r="C48" s="2713"/>
      <c r="E48" s="2712"/>
    </row>
    <row r="49" spans="1:5" s="1722" customFormat="1">
      <c r="A49" s="2712"/>
      <c r="C49" s="2713"/>
      <c r="E49" s="2712"/>
    </row>
    <row r="50" spans="1:5" s="1722" customFormat="1">
      <c r="A50" s="2712"/>
      <c r="C50" s="2713"/>
      <c r="E50" s="2712"/>
    </row>
    <row r="51" spans="1:5" s="1722" customFormat="1">
      <c r="A51" s="2712"/>
      <c r="C51" s="2713"/>
      <c r="E51" s="2712"/>
    </row>
    <row r="52" spans="1:5" s="1722" customFormat="1">
      <c r="A52" s="2712"/>
      <c r="C52" s="2713"/>
      <c r="E52" s="2712"/>
    </row>
    <row r="53" spans="1:5" s="1722" customFormat="1">
      <c r="A53" s="2712"/>
      <c r="C53" s="2713"/>
      <c r="E53" s="2712"/>
    </row>
    <row r="54" spans="1:5" s="1722" customFormat="1">
      <c r="A54" s="2712"/>
      <c r="C54" s="2713"/>
      <c r="E54" s="2712"/>
    </row>
    <row r="55" spans="1:5" s="1722" customFormat="1">
      <c r="A55" s="2712"/>
      <c r="C55" s="2713"/>
      <c r="E55" s="2712"/>
    </row>
    <row r="56" spans="1:5" s="1722" customFormat="1">
      <c r="A56" s="2712"/>
      <c r="C56" s="2713"/>
      <c r="E56" s="2712"/>
    </row>
    <row r="57" spans="1:5" s="1722" customFormat="1">
      <c r="A57" s="2712"/>
      <c r="C57" s="2713"/>
      <c r="E57" s="2712"/>
    </row>
    <row r="58" spans="1:5" s="1722" customFormat="1">
      <c r="A58" s="2712"/>
      <c r="C58" s="2713"/>
      <c r="E58" s="2712"/>
    </row>
    <row r="59" spans="1:5" s="1722" customFormat="1">
      <c r="A59" s="2712"/>
      <c r="C59" s="2713"/>
      <c r="E59" s="2712"/>
    </row>
    <row r="60" spans="1:5" s="1722" customFormat="1">
      <c r="A60" s="2712"/>
      <c r="C60" s="2713"/>
      <c r="E60" s="2712"/>
    </row>
    <row r="61" spans="1:5" s="1722" customFormat="1">
      <c r="A61" s="2712"/>
      <c r="C61" s="2713"/>
      <c r="E61" s="2712"/>
    </row>
    <row r="62" spans="1:5" s="1722" customFormat="1">
      <c r="A62" s="2712"/>
      <c r="C62" s="2713"/>
      <c r="E62" s="2712"/>
    </row>
    <row r="63" spans="1:5" s="1722" customFormat="1">
      <c r="A63" s="2712"/>
      <c r="C63" s="2713"/>
      <c r="E63" s="2712"/>
    </row>
    <row r="64" spans="1:5" s="1722" customFormat="1">
      <c r="A64" s="2712"/>
      <c r="C64" s="2713"/>
      <c r="E64" s="2712"/>
    </row>
    <row r="65" spans="1:5" s="1722" customFormat="1">
      <c r="A65" s="2712"/>
      <c r="C65" s="2713"/>
      <c r="E65" s="2712"/>
    </row>
    <row r="66" spans="1:5" s="1722" customFormat="1">
      <c r="A66" s="2712"/>
      <c r="C66" s="2713"/>
      <c r="E66" s="2712"/>
    </row>
    <row r="67" spans="1:5" s="1722" customFormat="1">
      <c r="A67" s="2712"/>
      <c r="C67" s="2713"/>
      <c r="E67" s="2712"/>
    </row>
    <row r="68" spans="1:5" s="1722" customFormat="1">
      <c r="A68" s="2712"/>
      <c r="C68" s="2713"/>
      <c r="E68" s="2712"/>
    </row>
    <row r="69" spans="1:5" s="1722" customFormat="1">
      <c r="A69" s="2712"/>
      <c r="C69" s="2713"/>
      <c r="E69" s="2712"/>
    </row>
    <row r="70" spans="1:5" s="1722" customFormat="1">
      <c r="A70" s="2712"/>
      <c r="C70" s="2713"/>
      <c r="E70" s="2712"/>
    </row>
    <row r="71" spans="1:5" s="1722" customFormat="1">
      <c r="A71" s="2712"/>
      <c r="C71" s="2713"/>
      <c r="E71" s="2712"/>
    </row>
    <row r="72" spans="1:5" s="1722" customFormat="1">
      <c r="A72" s="2712"/>
      <c r="C72" s="2713"/>
      <c r="E72" s="2712"/>
    </row>
    <row r="73" spans="1:5" s="1722" customFormat="1">
      <c r="A73" s="2712"/>
      <c r="C73" s="2713"/>
      <c r="E73" s="2712"/>
    </row>
    <row r="74" spans="1:5" s="1722" customFormat="1">
      <c r="A74" s="2712"/>
      <c r="C74" s="2713"/>
      <c r="E74" s="2712"/>
    </row>
    <row r="75" spans="1:5" s="1722" customFormat="1">
      <c r="A75" s="2712"/>
      <c r="C75" s="2713"/>
      <c r="E75" s="2712"/>
    </row>
    <row r="76" spans="1:5" s="1722" customFormat="1">
      <c r="A76" s="2712"/>
      <c r="C76" s="2713"/>
      <c r="E76" s="2712"/>
    </row>
    <row r="77" spans="1:5" s="1722" customFormat="1">
      <c r="A77" s="2712"/>
      <c r="C77" s="2713"/>
      <c r="E77" s="2712"/>
    </row>
    <row r="78" spans="1:5" s="1722" customFormat="1">
      <c r="A78" s="2712"/>
      <c r="C78" s="2713"/>
      <c r="E78" s="2712"/>
    </row>
    <row r="79" spans="1:5" s="1722" customFormat="1">
      <c r="A79" s="2712"/>
      <c r="C79" s="2713"/>
      <c r="E79" s="2712"/>
    </row>
    <row r="80" spans="1:5" s="1722" customFormat="1">
      <c r="A80" s="2712"/>
      <c r="C80" s="2713"/>
      <c r="E80" s="2712"/>
    </row>
    <row r="81" spans="1:5" s="1722" customFormat="1">
      <c r="A81" s="2712"/>
      <c r="C81" s="2713"/>
      <c r="E81" s="2712"/>
    </row>
    <row r="82" spans="1:5" s="1722" customFormat="1">
      <c r="A82" s="2712"/>
      <c r="C82" s="2713"/>
      <c r="E82" s="2712"/>
    </row>
    <row r="83" spans="1:5" s="1722" customFormat="1">
      <c r="A83" s="2712"/>
      <c r="C83" s="2713"/>
      <c r="E83" s="2712"/>
    </row>
    <row r="84" spans="1:5" s="1722" customFormat="1">
      <c r="A84" s="2712"/>
      <c r="C84" s="2713"/>
      <c r="E84" s="2712"/>
    </row>
    <row r="85" spans="1:5" s="1722" customFormat="1">
      <c r="A85" s="2712"/>
      <c r="C85" s="2713"/>
      <c r="E85" s="2712"/>
    </row>
    <row r="86" spans="1:5" s="1722" customFormat="1">
      <c r="A86" s="2712"/>
      <c r="C86" s="2713"/>
      <c r="E86" s="2712"/>
    </row>
    <row r="87" spans="1:5" s="1722" customFormat="1">
      <c r="A87" s="2712"/>
      <c r="C87" s="2713"/>
      <c r="E87" s="2712"/>
    </row>
    <row r="88" spans="1:5" s="1722" customFormat="1">
      <c r="A88" s="2712"/>
      <c r="C88" s="2713"/>
      <c r="E88" s="2712"/>
    </row>
    <row r="89" spans="1:5" s="1722" customFormat="1">
      <c r="A89" s="2712"/>
      <c r="C89" s="2713"/>
      <c r="E89" s="2712"/>
    </row>
    <row r="90" spans="1:5" s="1722" customFormat="1">
      <c r="A90" s="2712"/>
      <c r="C90" s="2713"/>
      <c r="E90" s="2712"/>
    </row>
    <row r="91" spans="1:5" s="1722" customFormat="1">
      <c r="A91" s="2712"/>
      <c r="C91" s="2713"/>
      <c r="E91" s="2712"/>
    </row>
    <row r="92" spans="1:5" s="1722" customFormat="1">
      <c r="A92" s="2712"/>
      <c r="C92" s="2713"/>
      <c r="E92" s="2712"/>
    </row>
    <row r="93" spans="1:5" s="1722" customFormat="1">
      <c r="A93" s="2712"/>
      <c r="C93" s="2713"/>
      <c r="E93" s="2712"/>
    </row>
    <row r="94" spans="1:5" s="1722" customFormat="1">
      <c r="A94" s="2712"/>
      <c r="C94" s="2713"/>
      <c r="E94" s="2712"/>
    </row>
    <row r="95" spans="1:5" s="1722" customFormat="1">
      <c r="A95" s="2712"/>
      <c r="C95" s="2713"/>
      <c r="E95" s="2712"/>
    </row>
    <row r="96" spans="1:5" s="1722" customFormat="1">
      <c r="A96" s="2712"/>
      <c r="C96" s="2713"/>
      <c r="E96" s="2712"/>
    </row>
    <row r="97" spans="1:5" s="1722" customFormat="1">
      <c r="A97" s="2712"/>
      <c r="C97" s="2713"/>
      <c r="E97" s="2712"/>
    </row>
    <row r="98" spans="1:5" s="1722" customFormat="1">
      <c r="A98" s="2712"/>
      <c r="C98" s="2713"/>
      <c r="E98" s="2712"/>
    </row>
    <row r="99" spans="1:5" s="1722" customFormat="1">
      <c r="A99" s="2712"/>
      <c r="C99" s="2713"/>
      <c r="E99" s="2712"/>
    </row>
    <row r="100" spans="1:5" s="1722" customFormat="1">
      <c r="A100" s="2712"/>
      <c r="C100" s="2713"/>
      <c r="E100" s="2712"/>
    </row>
    <row r="101" spans="1:5" s="1722" customFormat="1">
      <c r="A101" s="2712"/>
      <c r="C101" s="2713"/>
      <c r="E101" s="2712"/>
    </row>
    <row r="102" spans="1:5" s="1722" customFormat="1">
      <c r="A102" s="2712"/>
      <c r="C102" s="2713"/>
      <c r="E102" s="2712"/>
    </row>
    <row r="103" spans="1:5" s="1722" customFormat="1">
      <c r="A103" s="2712"/>
      <c r="C103" s="2713"/>
      <c r="E103" s="2712"/>
    </row>
    <row r="104" spans="1:5" s="1722" customFormat="1">
      <c r="A104" s="2712"/>
      <c r="C104" s="2713"/>
      <c r="E104" s="2712"/>
    </row>
    <row r="105" spans="1:5" s="1722" customFormat="1">
      <c r="A105" s="2712"/>
      <c r="C105" s="2713"/>
      <c r="E105" s="2712"/>
    </row>
    <row r="106" spans="1:5" s="1722" customFormat="1">
      <c r="A106" s="2712"/>
      <c r="C106" s="2713"/>
      <c r="E106" s="2712"/>
    </row>
    <row r="107" spans="1:5" s="1722" customFormat="1">
      <c r="A107" s="2712"/>
      <c r="C107" s="2713"/>
      <c r="E107" s="2712"/>
    </row>
    <row r="108" spans="1:5" s="1722" customFormat="1">
      <c r="A108" s="2712"/>
      <c r="C108" s="2713"/>
      <c r="E108" s="2712"/>
    </row>
    <row r="109" spans="1:5" s="1722" customFormat="1">
      <c r="A109" s="2712"/>
      <c r="C109" s="2713"/>
      <c r="E109" s="2712"/>
    </row>
    <row r="110" spans="1:5" s="1722" customFormat="1">
      <c r="A110" s="2712"/>
      <c r="C110" s="2713"/>
      <c r="E110" s="2712"/>
    </row>
    <row r="111" spans="1:5" s="1722" customFormat="1">
      <c r="A111" s="2712"/>
      <c r="C111" s="2713"/>
      <c r="E111" s="2712"/>
    </row>
    <row r="112" spans="1:5" s="1722" customFormat="1">
      <c r="A112" s="2712"/>
      <c r="C112" s="2713"/>
      <c r="E112" s="2712"/>
    </row>
    <row r="113" spans="1:5" s="1722" customFormat="1">
      <c r="A113" s="2712"/>
      <c r="C113" s="2713"/>
      <c r="E113" s="2712"/>
    </row>
    <row r="114" spans="1:5" s="1722" customFormat="1">
      <c r="A114" s="2712"/>
      <c r="C114" s="2713"/>
      <c r="E114" s="2712"/>
    </row>
    <row r="115" spans="1:5" s="1722" customFormat="1">
      <c r="A115" s="2712"/>
      <c r="C115" s="2713"/>
      <c r="E115" s="2712"/>
    </row>
    <row r="116" spans="1:5" s="1722" customFormat="1">
      <c r="A116" s="2712"/>
      <c r="C116" s="2713"/>
      <c r="E116" s="2712"/>
    </row>
    <row r="117" spans="1:5" s="1722" customFormat="1">
      <c r="A117" s="2712"/>
      <c r="C117" s="2713"/>
      <c r="E117" s="2712"/>
    </row>
    <row r="118" spans="1:5" s="1722" customFormat="1">
      <c r="A118" s="2712"/>
      <c r="C118" s="2713"/>
      <c r="E118" s="2712"/>
    </row>
    <row r="119" spans="1:5" s="1722" customFormat="1">
      <c r="A119" s="2712"/>
      <c r="C119" s="2713"/>
      <c r="E119" s="2712"/>
    </row>
    <row r="120" spans="1:5" s="1722" customFormat="1">
      <c r="A120" s="2712"/>
      <c r="C120" s="2713"/>
      <c r="E120" s="2712"/>
    </row>
    <row r="121" spans="1:5" s="1722" customFormat="1">
      <c r="A121" s="2712"/>
      <c r="C121" s="2713"/>
      <c r="E121" s="2712"/>
    </row>
    <row r="122" spans="1:5" s="1722" customFormat="1">
      <c r="A122" s="2712"/>
      <c r="C122" s="2713"/>
      <c r="E122" s="2712"/>
    </row>
    <row r="123" spans="1:5" s="1722" customFormat="1">
      <c r="A123" s="2712"/>
      <c r="C123" s="2713"/>
      <c r="E123" s="2712"/>
    </row>
    <row r="124" spans="1:5" s="1722" customFormat="1">
      <c r="A124" s="2712"/>
      <c r="C124" s="2713"/>
      <c r="E124" s="2712"/>
    </row>
    <row r="125" spans="1:5" s="1722" customFormat="1">
      <c r="A125" s="2712"/>
      <c r="C125" s="2713"/>
      <c r="E125" s="2712"/>
    </row>
    <row r="126" spans="1:5" s="1722" customFormat="1">
      <c r="A126" s="2712"/>
      <c r="C126" s="2713"/>
      <c r="E126" s="2712"/>
    </row>
    <row r="127" spans="1:5" s="1722" customFormat="1">
      <c r="A127" s="2712"/>
      <c r="C127" s="2713"/>
      <c r="E127" s="2712"/>
    </row>
    <row r="128" spans="1:5" s="1722" customFormat="1">
      <c r="A128" s="2712"/>
      <c r="C128" s="2713"/>
      <c r="E128" s="2712"/>
    </row>
    <row r="129" spans="1:5" s="1722" customFormat="1">
      <c r="A129" s="2712"/>
      <c r="C129" s="2713"/>
      <c r="E129" s="2712"/>
    </row>
    <row r="130" spans="1:5" s="1722" customFormat="1">
      <c r="A130" s="2712"/>
      <c r="C130" s="2713"/>
      <c r="E130" s="2712"/>
    </row>
    <row r="131" spans="1:5" s="1722" customFormat="1">
      <c r="A131" s="2712"/>
      <c r="C131" s="2713"/>
      <c r="E131" s="2712"/>
    </row>
    <row r="132" spans="1:5" s="1722" customFormat="1">
      <c r="A132" s="2712"/>
      <c r="C132" s="2713"/>
      <c r="E132" s="2712"/>
    </row>
    <row r="133" spans="1:5" s="1722" customFormat="1">
      <c r="A133" s="2712"/>
      <c r="C133" s="2713"/>
      <c r="E133" s="2712"/>
    </row>
    <row r="134" spans="1:5" s="1722" customFormat="1">
      <c r="A134" s="2712"/>
      <c r="C134" s="2713"/>
      <c r="E134" s="2712"/>
    </row>
    <row r="135" spans="1:5" s="1722" customFormat="1">
      <c r="A135" s="2712"/>
      <c r="C135" s="2713"/>
      <c r="E135" s="2712"/>
    </row>
    <row r="136" spans="1:5" s="1722" customFormat="1">
      <c r="A136" s="2712"/>
      <c r="C136" s="2713"/>
      <c r="E136" s="2712"/>
    </row>
    <row r="137" spans="1:5" s="1722" customFormat="1">
      <c r="A137" s="2712"/>
      <c r="C137" s="2713"/>
      <c r="E137" s="2712"/>
    </row>
    <row r="138" spans="1:5" s="1722" customFormat="1">
      <c r="A138" s="2712"/>
      <c r="C138" s="2713"/>
      <c r="E138" s="2712"/>
    </row>
    <row r="139" spans="1:5" s="1722" customFormat="1">
      <c r="A139" s="2712"/>
      <c r="C139" s="2713"/>
      <c r="E139" s="2712"/>
    </row>
    <row r="140" spans="1:5" s="1722" customFormat="1">
      <c r="A140" s="2712"/>
      <c r="C140" s="2713"/>
      <c r="E140" s="2712"/>
    </row>
    <row r="141" spans="1:5" s="1722" customFormat="1">
      <c r="A141" s="2712"/>
      <c r="C141" s="2713"/>
      <c r="E141" s="2712"/>
    </row>
    <row r="142" spans="1:5" s="1722" customFormat="1">
      <c r="A142" s="2712"/>
      <c r="C142" s="2713"/>
      <c r="E142" s="2712"/>
    </row>
    <row r="143" spans="1:5" s="1722" customFormat="1">
      <c r="A143" s="2712"/>
      <c r="C143" s="2713"/>
      <c r="E143" s="2712"/>
    </row>
    <row r="144" spans="1:5" s="1722" customFormat="1">
      <c r="A144" s="2712"/>
      <c r="C144" s="2713"/>
      <c r="E144" s="2712"/>
    </row>
    <row r="145" spans="1:5" s="1722" customFormat="1">
      <c r="A145" s="2712"/>
      <c r="C145" s="2713"/>
      <c r="E145" s="2712"/>
    </row>
    <row r="146" spans="1:5" s="1722" customFormat="1">
      <c r="A146" s="2712"/>
      <c r="C146" s="2713"/>
      <c r="E146" s="2712"/>
    </row>
    <row r="147" spans="1:5" s="1722" customFormat="1">
      <c r="A147" s="2712"/>
      <c r="C147" s="2713"/>
      <c r="E147" s="2712"/>
    </row>
    <row r="148" spans="1:5" s="1722" customFormat="1">
      <c r="A148" s="2712"/>
      <c r="C148" s="2713"/>
      <c r="E148" s="2712"/>
    </row>
    <row r="149" spans="1:5" s="1722" customFormat="1">
      <c r="A149" s="2712"/>
      <c r="C149" s="2713"/>
      <c r="E149" s="2712"/>
    </row>
    <row r="150" spans="1:5" s="1722" customFormat="1">
      <c r="A150" s="2712"/>
      <c r="C150" s="2713"/>
      <c r="E150" s="2712"/>
    </row>
    <row r="151" spans="1:5" s="1722" customFormat="1">
      <c r="A151" s="2712"/>
      <c r="C151" s="2713"/>
      <c r="E151" s="2712"/>
    </row>
    <row r="152" spans="1:5" s="1722" customFormat="1">
      <c r="A152" s="2712"/>
      <c r="C152" s="2713"/>
      <c r="E152" s="2712"/>
    </row>
    <row r="153" spans="1:5" s="1722" customFormat="1">
      <c r="A153" s="2712"/>
      <c r="C153" s="2713"/>
      <c r="E153" s="2712"/>
    </row>
    <row r="154" spans="1:5" s="1722" customFormat="1">
      <c r="A154" s="2712"/>
      <c r="C154" s="2713"/>
      <c r="E154" s="2712"/>
    </row>
    <row r="155" spans="1:5" s="1722" customFormat="1">
      <c r="A155" s="2712"/>
      <c r="C155" s="2713"/>
      <c r="E155" s="2712"/>
    </row>
    <row r="156" spans="1:5" s="1722" customFormat="1">
      <c r="A156" s="2712"/>
      <c r="C156" s="2713"/>
      <c r="E156" s="2712"/>
    </row>
    <row r="157" spans="1:5" s="1722" customFormat="1">
      <c r="A157" s="2712"/>
      <c r="C157" s="2713"/>
      <c r="E157" s="2712"/>
    </row>
    <row r="158" spans="1:5" s="1722" customFormat="1">
      <c r="A158" s="2712"/>
      <c r="C158" s="2713"/>
      <c r="E158" s="2712"/>
    </row>
    <row r="159" spans="1:5" s="1722" customFormat="1">
      <c r="A159" s="2712"/>
      <c r="C159" s="2713"/>
      <c r="E159" s="2712"/>
    </row>
    <row r="160" spans="1:5" s="1722" customFormat="1">
      <c r="A160" s="2712"/>
      <c r="C160" s="2713"/>
      <c r="E160" s="2712"/>
    </row>
    <row r="161" spans="1:5" s="1722" customFormat="1">
      <c r="A161" s="2712"/>
      <c r="C161" s="2713"/>
      <c r="E161" s="2712"/>
    </row>
    <row r="162" spans="1:5" s="1722" customFormat="1">
      <c r="A162" s="2712"/>
      <c r="C162" s="2713"/>
      <c r="E162" s="2712"/>
    </row>
    <row r="163" spans="1:5" s="1722" customFormat="1">
      <c r="A163" s="2712"/>
      <c r="C163" s="2713"/>
      <c r="E163" s="2712"/>
    </row>
    <row r="164" spans="1:5" s="1722" customFormat="1">
      <c r="A164" s="2712"/>
      <c r="C164" s="2713"/>
      <c r="E164" s="2712"/>
    </row>
    <row r="165" spans="1:5" s="1722" customFormat="1">
      <c r="A165" s="2712"/>
      <c r="C165" s="2713"/>
      <c r="E165" s="2712"/>
    </row>
    <row r="166" spans="1:5" s="1722" customFormat="1">
      <c r="A166" s="2712"/>
      <c r="C166" s="2713"/>
      <c r="E166" s="2712"/>
    </row>
    <row r="167" spans="1:5" s="1722" customFormat="1">
      <c r="A167" s="2712"/>
      <c r="C167" s="2713"/>
      <c r="E167" s="2712"/>
    </row>
    <row r="168" spans="1:5" s="1722" customFormat="1">
      <c r="A168" s="2712"/>
      <c r="C168" s="2713"/>
      <c r="E168" s="2712"/>
    </row>
    <row r="169" spans="1:5" s="1722" customFormat="1">
      <c r="A169" s="2712"/>
      <c r="C169" s="2713"/>
      <c r="E169" s="2712"/>
    </row>
    <row r="170" spans="1:5" s="1722" customFormat="1">
      <c r="A170" s="2712"/>
      <c r="C170" s="2713"/>
      <c r="E170" s="2712"/>
    </row>
    <row r="171" spans="1:5" s="1722" customFormat="1">
      <c r="A171" s="2712"/>
      <c r="C171" s="2713"/>
      <c r="E171" s="2712"/>
    </row>
    <row r="172" spans="1:5" s="1722" customFormat="1">
      <c r="A172" s="2712"/>
      <c r="C172" s="2713"/>
      <c r="E172" s="2712"/>
    </row>
    <row r="173" spans="1:5" s="1722" customFormat="1">
      <c r="A173" s="2712"/>
      <c r="C173" s="2713"/>
      <c r="E173" s="2712"/>
    </row>
    <row r="174" spans="1:5" s="1722" customFormat="1">
      <c r="A174" s="2712"/>
      <c r="C174" s="2713"/>
      <c r="E174" s="2712"/>
    </row>
    <row r="175" spans="1:5" s="1722" customFormat="1">
      <c r="A175" s="2712"/>
      <c r="C175" s="2713"/>
      <c r="E175" s="2712"/>
    </row>
    <row r="176" spans="1:5" s="1722" customFormat="1">
      <c r="A176" s="2712"/>
      <c r="C176" s="2713"/>
      <c r="E176" s="2712"/>
    </row>
    <row r="177" spans="1:5" s="1722" customFormat="1">
      <c r="A177" s="2712"/>
      <c r="C177" s="2713"/>
      <c r="E177" s="2712"/>
    </row>
    <row r="178" spans="1:5" s="1722" customFormat="1">
      <c r="A178" s="2712"/>
      <c r="C178" s="2713"/>
      <c r="E178" s="2712"/>
    </row>
    <row r="179" spans="1:5" s="1722" customFormat="1">
      <c r="A179" s="2712"/>
      <c r="C179" s="2713"/>
      <c r="E179" s="2712"/>
    </row>
    <row r="180" spans="1:5" s="1722" customFormat="1">
      <c r="A180" s="2712"/>
      <c r="C180" s="2713"/>
      <c r="E180" s="2712"/>
    </row>
    <row r="181" spans="1:5" s="1722" customFormat="1">
      <c r="A181" s="2712"/>
      <c r="C181" s="2713"/>
      <c r="E181" s="2712"/>
    </row>
    <row r="182" spans="1:5" s="1722" customFormat="1">
      <c r="A182" s="2712"/>
      <c r="C182" s="2713"/>
      <c r="E182" s="2712"/>
    </row>
    <row r="183" spans="1:5" s="1722" customFormat="1">
      <c r="A183" s="2712"/>
      <c r="C183" s="2713"/>
      <c r="E183" s="2712"/>
    </row>
    <row r="184" spans="1:5" s="1722" customFormat="1">
      <c r="A184" s="2712"/>
      <c r="C184" s="2713"/>
      <c r="E184" s="2712"/>
    </row>
    <row r="185" spans="1:5" s="1722" customFormat="1">
      <c r="A185" s="2712"/>
      <c r="C185" s="2713"/>
      <c r="E185" s="2712"/>
    </row>
    <row r="186" spans="1:5" s="1722" customFormat="1">
      <c r="A186" s="2712"/>
      <c r="C186" s="2713"/>
      <c r="E186" s="2712"/>
    </row>
    <row r="187" spans="1:5" s="1722" customFormat="1">
      <c r="A187" s="2712"/>
      <c r="C187" s="2713"/>
      <c r="E187" s="2712"/>
    </row>
    <row r="188" spans="1:5" s="1722" customFormat="1">
      <c r="A188" s="2712"/>
      <c r="C188" s="2713"/>
      <c r="E188" s="2712"/>
    </row>
    <row r="189" spans="1:5" s="1722" customFormat="1">
      <c r="A189" s="2712"/>
      <c r="C189" s="2713"/>
      <c r="E189" s="2712"/>
    </row>
    <row r="190" spans="1:5" s="1722" customFormat="1">
      <c r="A190" s="2712"/>
      <c r="C190" s="2713"/>
      <c r="E190" s="2712"/>
    </row>
    <row r="191" spans="1:5" s="1722" customFormat="1">
      <c r="A191" s="2712"/>
      <c r="C191" s="2713"/>
      <c r="E191" s="2712"/>
    </row>
    <row r="192" spans="1:5" s="1722" customFormat="1">
      <c r="A192" s="2712"/>
      <c r="C192" s="2713"/>
      <c r="E192" s="2712"/>
    </row>
    <row r="193" spans="1:5" s="1722" customFormat="1">
      <c r="A193" s="2712"/>
      <c r="C193" s="2713"/>
      <c r="E193" s="2712"/>
    </row>
    <row r="194" spans="1:5" s="1722" customFormat="1">
      <c r="A194" s="2712"/>
      <c r="C194" s="2713"/>
      <c r="E194" s="2712"/>
    </row>
    <row r="195" spans="1:5" s="1722" customFormat="1">
      <c r="A195" s="2712"/>
      <c r="C195" s="2713"/>
      <c r="E195" s="2712"/>
    </row>
    <row r="196" spans="1:5" s="1722" customFormat="1">
      <c r="A196" s="2712"/>
      <c r="C196" s="2713"/>
      <c r="E196" s="2712"/>
    </row>
    <row r="197" spans="1:5" s="1722" customFormat="1">
      <c r="A197" s="2712"/>
      <c r="C197" s="2713"/>
      <c r="E197" s="2712"/>
    </row>
    <row r="198" spans="1:5" s="1722" customFormat="1">
      <c r="A198" s="2712"/>
      <c r="C198" s="2713"/>
      <c r="E198" s="2712"/>
    </row>
    <row r="199" spans="1:5" s="1722" customFormat="1">
      <c r="A199" s="2712"/>
      <c r="C199" s="2713"/>
      <c r="E199" s="2712"/>
    </row>
    <row r="200" spans="1:5" s="1722" customFormat="1">
      <c r="A200" s="2712"/>
      <c r="C200" s="2713"/>
      <c r="E200" s="2712"/>
    </row>
    <row r="201" spans="1:5" s="1722" customFormat="1">
      <c r="A201" s="2712"/>
      <c r="C201" s="2713"/>
      <c r="E201" s="2712"/>
    </row>
    <row r="202" spans="1:5" s="1722" customFormat="1">
      <c r="A202" s="2712"/>
      <c r="C202" s="2713"/>
      <c r="E202" s="2712"/>
    </row>
    <row r="203" spans="1:5" s="1722" customFormat="1">
      <c r="A203" s="2712"/>
      <c r="C203" s="2713"/>
      <c r="E203" s="2712"/>
    </row>
    <row r="204" spans="1:5" s="1722" customFormat="1">
      <c r="A204" s="2712"/>
      <c r="C204" s="2713"/>
      <c r="E204" s="2712"/>
    </row>
    <row r="205" spans="1:5" s="1722" customFormat="1">
      <c r="A205" s="2712"/>
      <c r="C205" s="2713"/>
      <c r="E205" s="2712"/>
    </row>
    <row r="206" spans="1:5" s="1722" customFormat="1">
      <c r="A206" s="2712"/>
      <c r="C206" s="2713"/>
      <c r="E206" s="2712"/>
    </row>
    <row r="207" spans="1:5" s="1722" customFormat="1">
      <c r="A207" s="2712"/>
      <c r="C207" s="2713"/>
      <c r="E207" s="2712"/>
    </row>
    <row r="208" spans="1:5" s="1722" customFormat="1">
      <c r="A208" s="2712"/>
      <c r="C208" s="2713"/>
      <c r="E208" s="2712"/>
    </row>
    <row r="209" spans="1:5" s="1722" customFormat="1">
      <c r="A209" s="2712"/>
      <c r="C209" s="2713"/>
      <c r="E209" s="2712"/>
    </row>
    <row r="210" spans="1:5" s="1722" customFormat="1">
      <c r="A210" s="2712"/>
      <c r="C210" s="2713"/>
      <c r="E210" s="2712"/>
    </row>
    <row r="211" spans="1:5" s="1722" customFormat="1">
      <c r="A211" s="2712"/>
      <c r="C211" s="2713"/>
      <c r="E211" s="2712"/>
    </row>
    <row r="212" spans="1:5" s="1722" customFormat="1">
      <c r="A212" s="2712"/>
      <c r="C212" s="2713"/>
      <c r="E212" s="2712"/>
    </row>
    <row r="213" spans="1:5" s="1722" customFormat="1">
      <c r="A213" s="2712"/>
      <c r="C213" s="2713"/>
      <c r="E213" s="2712"/>
    </row>
    <row r="214" spans="1:5" s="1722" customFormat="1">
      <c r="A214" s="2712"/>
      <c r="C214" s="2713"/>
      <c r="E214" s="2712"/>
    </row>
    <row r="215" spans="1:5" s="1722" customFormat="1">
      <c r="A215" s="2712"/>
      <c r="C215" s="2713"/>
      <c r="E215" s="2712"/>
    </row>
    <row r="216" spans="1:5" s="1722" customFormat="1">
      <c r="A216" s="2712"/>
      <c r="C216" s="2713"/>
      <c r="E216" s="2712"/>
    </row>
    <row r="217" spans="1:5" s="1722" customFormat="1">
      <c r="A217" s="2712"/>
      <c r="C217" s="2713"/>
      <c r="E217" s="2712"/>
    </row>
    <row r="218" spans="1:5" s="1722" customFormat="1">
      <c r="A218" s="2712"/>
      <c r="C218" s="2713"/>
      <c r="E218" s="2712"/>
    </row>
    <row r="219" spans="1:5" s="1722" customFormat="1">
      <c r="A219" s="2712"/>
      <c r="C219" s="2713"/>
      <c r="E219" s="2712"/>
    </row>
    <row r="220" spans="1:5" s="1722" customFormat="1">
      <c r="A220" s="2712"/>
      <c r="C220" s="2713"/>
      <c r="E220" s="2712"/>
    </row>
    <row r="221" spans="1:5" s="1722" customFormat="1">
      <c r="A221" s="2712"/>
      <c r="C221" s="2713"/>
      <c r="E221" s="2712"/>
    </row>
    <row r="222" spans="1:5" s="1722" customFormat="1">
      <c r="A222" s="2712"/>
      <c r="C222" s="2713"/>
      <c r="E222" s="2712"/>
    </row>
    <row r="223" spans="1:5" s="1722" customFormat="1">
      <c r="A223" s="2712"/>
      <c r="C223" s="2713"/>
      <c r="E223" s="2712"/>
    </row>
    <row r="224" spans="1:5" s="1722" customFormat="1">
      <c r="A224" s="2712"/>
      <c r="C224" s="2713"/>
      <c r="E224" s="2712"/>
    </row>
    <row r="225" spans="1:5" s="1722" customFormat="1">
      <c r="A225" s="2712"/>
      <c r="C225" s="2713"/>
      <c r="E225" s="2712"/>
    </row>
    <row r="226" spans="1:5" s="1722" customFormat="1">
      <c r="A226" s="2712"/>
      <c r="C226" s="2713"/>
      <c r="E226" s="2712"/>
    </row>
    <row r="227" spans="1:5" s="1722" customFormat="1">
      <c r="A227" s="2712"/>
      <c r="C227" s="2713"/>
      <c r="E227" s="2712"/>
    </row>
    <row r="228" spans="1:5" s="1722" customFormat="1">
      <c r="A228" s="2712"/>
      <c r="C228" s="2713"/>
      <c r="E228" s="2712"/>
    </row>
    <row r="229" spans="1:5" s="1722" customFormat="1">
      <c r="A229" s="2712"/>
      <c r="C229" s="2713"/>
      <c r="E229" s="2712"/>
    </row>
    <row r="230" spans="1:5" s="1722" customFormat="1">
      <c r="A230" s="2712"/>
      <c r="C230" s="2713"/>
      <c r="E230" s="2712"/>
    </row>
    <row r="231" spans="1:5" s="1722" customFormat="1">
      <c r="A231" s="2712"/>
      <c r="C231" s="2713"/>
      <c r="E231" s="2712"/>
    </row>
    <row r="232" spans="1:5" s="1722" customFormat="1">
      <c r="A232" s="2712"/>
      <c r="C232" s="2713"/>
      <c r="E232" s="2712"/>
    </row>
    <row r="233" spans="1:5" s="1722" customFormat="1">
      <c r="A233" s="2712"/>
      <c r="C233" s="2713"/>
      <c r="E233" s="2712"/>
    </row>
    <row r="234" spans="1:5" s="1722" customFormat="1">
      <c r="A234" s="2712"/>
      <c r="C234" s="2713"/>
      <c r="E234" s="2712"/>
    </row>
    <row r="235" spans="1:5" s="1722" customFormat="1">
      <c r="A235" s="2712"/>
      <c r="C235" s="2713"/>
      <c r="E235" s="2712"/>
    </row>
    <row r="236" spans="1:5" s="1722" customFormat="1">
      <c r="A236" s="2712"/>
      <c r="C236" s="2713"/>
      <c r="E236" s="2712"/>
    </row>
    <row r="237" spans="1:5" s="1722" customFormat="1">
      <c r="A237" s="2712"/>
      <c r="C237" s="2713"/>
      <c r="E237" s="2712"/>
    </row>
    <row r="238" spans="1:5" s="1722" customFormat="1">
      <c r="A238" s="2712"/>
      <c r="C238" s="2713"/>
      <c r="E238" s="2712"/>
    </row>
    <row r="239" spans="1:5" s="1722" customFormat="1">
      <c r="A239" s="2712"/>
      <c r="C239" s="2713"/>
      <c r="E239" s="2712"/>
    </row>
    <row r="240" spans="1:5" s="1722" customFormat="1">
      <c r="A240" s="2712"/>
      <c r="C240" s="2713"/>
      <c r="E240" s="2712"/>
    </row>
    <row r="241" spans="1:5" s="1722" customFormat="1">
      <c r="A241" s="2712"/>
      <c r="C241" s="2713"/>
      <c r="E241" s="2712"/>
    </row>
    <row r="242" spans="1:5" s="1722" customFormat="1">
      <c r="A242" s="2712"/>
      <c r="C242" s="2713"/>
      <c r="E242" s="2712"/>
    </row>
    <row r="243" spans="1:5" s="1722" customFormat="1">
      <c r="A243" s="2712"/>
      <c r="C243" s="2713"/>
      <c r="E243" s="2712"/>
    </row>
    <row r="244" spans="1:5" s="1722" customFormat="1">
      <c r="A244" s="2712"/>
      <c r="C244" s="2713"/>
      <c r="E244" s="2712"/>
    </row>
    <row r="245" spans="1:5" s="1722" customFormat="1">
      <c r="A245" s="2712"/>
      <c r="C245" s="2713"/>
      <c r="E245" s="2712"/>
    </row>
    <row r="246" spans="1:5" s="1722" customFormat="1">
      <c r="A246" s="2712"/>
      <c r="C246" s="2713"/>
      <c r="E246" s="2712"/>
    </row>
    <row r="247" spans="1:5" s="1722" customFormat="1">
      <c r="A247" s="2712"/>
      <c r="C247" s="2713"/>
      <c r="E247" s="2712"/>
    </row>
    <row r="248" spans="1:5" s="1722" customFormat="1">
      <c r="A248" s="2712"/>
      <c r="C248" s="2713"/>
      <c r="E248" s="2712"/>
    </row>
    <row r="249" spans="1:5" s="1722" customFormat="1">
      <c r="A249" s="2712"/>
      <c r="C249" s="2713"/>
      <c r="E249" s="2712"/>
    </row>
    <row r="250" spans="1:5" s="1722" customFormat="1">
      <c r="A250" s="2712"/>
      <c r="C250" s="2713"/>
      <c r="E250" s="2712"/>
    </row>
    <row r="251" spans="1:5" s="1722" customFormat="1">
      <c r="A251" s="2712"/>
      <c r="C251" s="2713"/>
      <c r="E251" s="2712"/>
    </row>
    <row r="252" spans="1:5" s="1722" customFormat="1">
      <c r="A252" s="2712"/>
      <c r="C252" s="2713"/>
      <c r="E252" s="2712"/>
    </row>
    <row r="253" spans="1:5" s="1722" customFormat="1">
      <c r="A253" s="2712"/>
      <c r="C253" s="2713"/>
      <c r="E253" s="2712"/>
    </row>
    <row r="254" spans="1:5" s="1722" customFormat="1">
      <c r="A254" s="2712"/>
      <c r="C254" s="2713"/>
      <c r="E254" s="2712"/>
    </row>
    <row r="255" spans="1:5" s="1722" customFormat="1">
      <c r="A255" s="2712"/>
      <c r="C255" s="2713"/>
      <c r="E255" s="2712"/>
    </row>
    <row r="256" spans="1:5" s="1722" customFormat="1">
      <c r="A256" s="2712"/>
      <c r="C256" s="2713"/>
      <c r="E256" s="2712"/>
    </row>
    <row r="257" spans="1:5" s="1722" customFormat="1">
      <c r="A257" s="2712"/>
      <c r="C257" s="2713"/>
      <c r="E257" s="2712"/>
    </row>
    <row r="258" spans="1:5" s="1722" customFormat="1">
      <c r="A258" s="2712"/>
      <c r="C258" s="2713"/>
      <c r="E258" s="2712"/>
    </row>
    <row r="259" spans="1:5" s="1722" customFormat="1">
      <c r="A259" s="2712"/>
      <c r="C259" s="2713"/>
      <c r="E259" s="2712"/>
    </row>
    <row r="260" spans="1:5" s="1722" customFormat="1">
      <c r="A260" s="2712"/>
      <c r="C260" s="2713"/>
      <c r="E260" s="2712"/>
    </row>
    <row r="261" spans="1:5" s="1722" customFormat="1">
      <c r="A261" s="2712"/>
      <c r="C261" s="2713"/>
      <c r="E261" s="2712"/>
    </row>
    <row r="262" spans="1:5" s="1722" customFormat="1">
      <c r="A262" s="2712"/>
      <c r="C262" s="2713"/>
      <c r="E262" s="2712"/>
    </row>
    <row r="263" spans="1:5" s="1722" customFormat="1">
      <c r="A263" s="2712"/>
      <c r="C263" s="2713"/>
      <c r="E263" s="2712"/>
    </row>
    <row r="264" spans="1:5" s="1722" customFormat="1">
      <c r="A264" s="2712"/>
      <c r="C264" s="2713"/>
      <c r="E264" s="2712"/>
    </row>
    <row r="265" spans="1:5" s="1722" customFormat="1">
      <c r="A265" s="2712"/>
      <c r="C265" s="2713"/>
      <c r="E265" s="2712"/>
    </row>
    <row r="266" spans="1:5" s="1722" customFormat="1">
      <c r="A266" s="2712"/>
      <c r="C266" s="2713"/>
      <c r="E266" s="2712"/>
    </row>
    <row r="267" spans="1:5" s="1722" customFormat="1">
      <c r="A267" s="2712"/>
      <c r="C267" s="2713"/>
      <c r="E267" s="2712"/>
    </row>
    <row r="268" spans="1:5" s="1722" customFormat="1">
      <c r="A268" s="2712"/>
      <c r="C268" s="2713"/>
      <c r="E268" s="2712"/>
    </row>
    <row r="269" spans="1:5" s="1722" customFormat="1">
      <c r="A269" s="2712"/>
      <c r="C269" s="2713"/>
      <c r="E269" s="2712"/>
    </row>
    <row r="270" spans="1:5" s="1722" customFormat="1">
      <c r="A270" s="2712"/>
      <c r="C270" s="2713"/>
      <c r="E270" s="2712"/>
    </row>
    <row r="271" spans="1:5" s="1722" customFormat="1">
      <c r="A271" s="2712"/>
      <c r="C271" s="2713"/>
      <c r="E271" s="2712"/>
    </row>
    <row r="272" spans="1:5" s="1722" customFormat="1">
      <c r="A272" s="2712"/>
      <c r="C272" s="2713"/>
      <c r="E272" s="2712"/>
    </row>
    <row r="273" spans="1:5" s="1722" customFormat="1">
      <c r="A273" s="2712"/>
      <c r="C273" s="2713"/>
      <c r="E273" s="2712"/>
    </row>
    <row r="274" spans="1:5" s="1722" customFormat="1">
      <c r="A274" s="2712"/>
      <c r="C274" s="2713"/>
      <c r="E274" s="2712"/>
    </row>
    <row r="275" spans="1:5" s="1722" customFormat="1">
      <c r="A275" s="2712"/>
      <c r="C275" s="2713"/>
      <c r="E275" s="2712"/>
    </row>
    <row r="276" spans="1:5" s="1722" customFormat="1">
      <c r="A276" s="2712"/>
      <c r="C276" s="2713"/>
      <c r="E276" s="2712"/>
    </row>
    <row r="277" spans="1:5" s="1722" customFormat="1">
      <c r="A277" s="2712"/>
      <c r="C277" s="2713"/>
      <c r="E277" s="2712"/>
    </row>
    <row r="278" spans="1:5" s="1722" customFormat="1">
      <c r="A278" s="2712"/>
      <c r="C278" s="2713"/>
      <c r="E278" s="2712"/>
    </row>
    <row r="279" spans="1:5" s="1722" customFormat="1">
      <c r="A279" s="2712"/>
      <c r="C279" s="2713"/>
      <c r="E279" s="2712"/>
    </row>
    <row r="280" spans="1:5" s="1722" customFormat="1">
      <c r="A280" s="2712"/>
      <c r="C280" s="2713"/>
      <c r="E280" s="2712"/>
    </row>
    <row r="281" spans="1:5" s="1722" customFormat="1">
      <c r="A281" s="2712"/>
      <c r="C281" s="2713"/>
      <c r="E281" s="2712"/>
    </row>
    <row r="282" spans="1:5" s="1722" customFormat="1">
      <c r="A282" s="2712"/>
      <c r="C282" s="2713"/>
      <c r="E282" s="2712"/>
    </row>
    <row r="283" spans="1:5" s="1722" customFormat="1">
      <c r="A283" s="2712"/>
      <c r="C283" s="2713"/>
      <c r="E283" s="2712"/>
    </row>
    <row r="284" spans="1:5" s="1722" customFormat="1">
      <c r="A284" s="2712"/>
      <c r="C284" s="2713"/>
      <c r="E284" s="2712"/>
    </row>
    <row r="285" spans="1:5" s="1722" customFormat="1">
      <c r="A285" s="2712"/>
      <c r="C285" s="2713"/>
      <c r="E285" s="2712"/>
    </row>
    <row r="286" spans="1:5" s="1722" customFormat="1">
      <c r="A286" s="2712"/>
      <c r="C286" s="2713"/>
      <c r="E286" s="2712"/>
    </row>
    <row r="287" spans="1:5" s="1722" customFormat="1">
      <c r="A287" s="2712"/>
      <c r="C287" s="2713"/>
      <c r="E287" s="2712"/>
    </row>
    <row r="288" spans="1:5" s="1722" customFormat="1">
      <c r="A288" s="2712"/>
      <c r="C288" s="2713"/>
      <c r="E288" s="2712"/>
    </row>
    <row r="289" spans="1:5" s="1722" customFormat="1">
      <c r="A289" s="2712"/>
      <c r="C289" s="2713"/>
      <c r="E289" s="2712"/>
    </row>
    <row r="290" spans="1:5" s="1722" customFormat="1">
      <c r="A290" s="2712"/>
      <c r="C290" s="2713"/>
      <c r="E290" s="2712"/>
    </row>
    <row r="291" spans="1:5" s="1722" customFormat="1">
      <c r="A291" s="2712"/>
      <c r="C291" s="2713"/>
      <c r="E291" s="2712"/>
    </row>
    <row r="292" spans="1:5" s="1722" customFormat="1">
      <c r="A292" s="2712"/>
      <c r="C292" s="2713"/>
      <c r="E292" s="2712"/>
    </row>
    <row r="293" spans="1:5" s="1722" customFormat="1">
      <c r="A293" s="2712"/>
      <c r="C293" s="2713"/>
      <c r="E293" s="2712"/>
    </row>
    <row r="294" spans="1:5" s="1722" customFormat="1">
      <c r="A294" s="2712"/>
      <c r="C294" s="2713"/>
      <c r="E294" s="2712"/>
    </row>
    <row r="295" spans="1:5" s="1722" customFormat="1">
      <c r="A295" s="2712"/>
      <c r="C295" s="2713"/>
      <c r="E295" s="2712"/>
    </row>
    <row r="296" spans="1:5" s="1722" customFormat="1">
      <c r="A296" s="2712"/>
      <c r="C296" s="2713"/>
      <c r="E296" s="2712"/>
    </row>
    <row r="297" spans="1:5" s="1722" customFormat="1">
      <c r="A297" s="2712"/>
      <c r="C297" s="2713"/>
      <c r="E297" s="2712"/>
    </row>
    <row r="298" spans="1:5" s="1722" customFormat="1">
      <c r="A298" s="2712"/>
      <c r="C298" s="2713"/>
      <c r="E298" s="2712"/>
    </row>
    <row r="299" spans="1:5" s="1722" customFormat="1">
      <c r="A299" s="2712"/>
      <c r="C299" s="2713"/>
      <c r="E299" s="2712"/>
    </row>
    <row r="300" spans="1:5" s="1722" customFormat="1">
      <c r="A300" s="2712"/>
      <c r="C300" s="2713"/>
      <c r="E300" s="2712"/>
    </row>
    <row r="301" spans="1:5" s="1722" customFormat="1">
      <c r="A301" s="2712"/>
      <c r="C301" s="2713"/>
      <c r="E301" s="2712"/>
    </row>
    <row r="302" spans="1:5" s="1722" customFormat="1">
      <c r="A302" s="2712"/>
      <c r="C302" s="2713"/>
      <c r="E302" s="2712"/>
    </row>
    <row r="303" spans="1:5" s="1722" customFormat="1">
      <c r="A303" s="2712"/>
      <c r="C303" s="2713"/>
      <c r="E303" s="2712"/>
    </row>
    <row r="304" spans="1:5" s="1722" customFormat="1">
      <c r="A304" s="2712"/>
      <c r="C304" s="2713"/>
      <c r="E304" s="2712"/>
    </row>
    <row r="305" spans="1:5" s="1722" customFormat="1">
      <c r="A305" s="2712"/>
      <c r="C305" s="2713"/>
      <c r="E305" s="2712"/>
    </row>
    <row r="306" spans="1:5" s="1722" customFormat="1">
      <c r="A306" s="2712"/>
      <c r="C306" s="2713"/>
      <c r="E306" s="2712"/>
    </row>
    <row r="307" spans="1:5" s="1722" customFormat="1">
      <c r="A307" s="2712"/>
      <c r="C307" s="2713"/>
      <c r="E307" s="2712"/>
    </row>
    <row r="308" spans="1:5" s="1722" customFormat="1">
      <c r="A308" s="2712"/>
      <c r="C308" s="2713"/>
      <c r="E308" s="2712"/>
    </row>
    <row r="309" spans="1:5" s="1722" customFormat="1">
      <c r="A309" s="2712"/>
      <c r="C309" s="2713"/>
      <c r="E309" s="2712"/>
    </row>
    <row r="310" spans="1:5" s="1722" customFormat="1">
      <c r="A310" s="2712"/>
      <c r="C310" s="2713"/>
      <c r="E310" s="2712"/>
    </row>
    <row r="311" spans="1:5" s="1722" customFormat="1">
      <c r="A311" s="2712"/>
      <c r="C311" s="2713"/>
      <c r="E311" s="2712"/>
    </row>
    <row r="312" spans="1:5" s="1722" customFormat="1">
      <c r="A312" s="2712"/>
      <c r="C312" s="2713"/>
      <c r="E312" s="2712"/>
    </row>
    <row r="313" spans="1:5" s="1722" customFormat="1">
      <c r="A313" s="2712"/>
      <c r="C313" s="2713"/>
      <c r="E313" s="2712"/>
    </row>
    <row r="314" spans="1:5" s="1722" customFormat="1">
      <c r="A314" s="2712"/>
      <c r="C314" s="2713"/>
      <c r="E314" s="2712"/>
    </row>
    <row r="315" spans="1:5" s="1722" customFormat="1">
      <c r="A315" s="2712"/>
      <c r="C315" s="2713"/>
      <c r="E315" s="2712"/>
    </row>
    <row r="316" spans="1:5" s="1722" customFormat="1">
      <c r="A316" s="2712"/>
      <c r="C316" s="2713"/>
      <c r="E316" s="2712"/>
    </row>
    <row r="317" spans="1:5" s="1722" customFormat="1">
      <c r="A317" s="2712"/>
      <c r="C317" s="2713"/>
      <c r="E317" s="2712"/>
    </row>
    <row r="318" spans="1:5" s="1722" customFormat="1">
      <c r="A318" s="2712"/>
      <c r="C318" s="2713"/>
      <c r="E318" s="2712"/>
    </row>
    <row r="319" spans="1:5" s="1722" customFormat="1">
      <c r="A319" s="2712"/>
      <c r="C319" s="2713"/>
      <c r="E319" s="2712"/>
    </row>
    <row r="320" spans="1:5" s="1722" customFormat="1">
      <c r="A320" s="2712"/>
      <c r="C320" s="2713"/>
      <c r="E320" s="2712"/>
    </row>
    <row r="321" spans="1:5" s="1722" customFormat="1">
      <c r="A321" s="2712"/>
      <c r="C321" s="2713"/>
      <c r="E321" s="2712"/>
    </row>
    <row r="322" spans="1:5" s="1722" customFormat="1">
      <c r="A322" s="2712"/>
      <c r="C322" s="2713"/>
      <c r="E322" s="2712"/>
    </row>
    <row r="323" spans="1:5" s="1722" customFormat="1">
      <c r="A323" s="2712"/>
      <c r="C323" s="2713"/>
      <c r="E323" s="2712"/>
    </row>
    <row r="324" spans="1:5" s="1722" customFormat="1">
      <c r="A324" s="2712"/>
      <c r="C324" s="2713"/>
      <c r="E324" s="2712"/>
    </row>
    <row r="325" spans="1:5" s="1722" customFormat="1">
      <c r="A325" s="2712"/>
      <c r="C325" s="2713"/>
      <c r="E325" s="2712"/>
    </row>
    <row r="326" spans="1:5" s="1722" customFormat="1">
      <c r="A326" s="2712"/>
      <c r="C326" s="2713"/>
      <c r="E326" s="2712"/>
    </row>
    <row r="327" spans="1:5" s="1722" customFormat="1">
      <c r="A327" s="2712"/>
      <c r="C327" s="2713"/>
      <c r="E327" s="2712"/>
    </row>
    <row r="328" spans="1:5" s="1722" customFormat="1">
      <c r="A328" s="2712"/>
      <c r="C328" s="2713"/>
      <c r="E328" s="2712"/>
    </row>
    <row r="329" spans="1:5" s="1722" customFormat="1">
      <c r="A329" s="2712"/>
      <c r="C329" s="2713"/>
      <c r="E329" s="2712"/>
    </row>
    <row r="330" spans="1:5" s="1722" customFormat="1">
      <c r="A330" s="2712"/>
      <c r="C330" s="2713"/>
      <c r="E330" s="2712"/>
    </row>
    <row r="331" spans="1:5" s="1722" customFormat="1">
      <c r="A331" s="2712"/>
      <c r="C331" s="2713"/>
      <c r="E331" s="2712"/>
    </row>
    <row r="332" spans="1:5" s="1722" customFormat="1">
      <c r="A332" s="2712"/>
      <c r="C332" s="2713"/>
      <c r="E332" s="2712"/>
    </row>
    <row r="333" spans="1:5" s="1722" customFormat="1">
      <c r="A333" s="2712"/>
      <c r="C333" s="2713"/>
      <c r="E333" s="2712"/>
    </row>
    <row r="334" spans="1:5" s="1722" customFormat="1">
      <c r="A334" s="2712"/>
      <c r="C334" s="2713"/>
      <c r="E334" s="2712"/>
    </row>
    <row r="335" spans="1:5" s="1722" customFormat="1">
      <c r="A335" s="2712"/>
      <c r="C335" s="2713"/>
      <c r="E335" s="2712"/>
    </row>
    <row r="336" spans="1:5" s="1722" customFormat="1">
      <c r="A336" s="2712"/>
      <c r="C336" s="2713"/>
      <c r="E336" s="2712"/>
    </row>
    <row r="337" spans="1:5" s="1722" customFormat="1">
      <c r="A337" s="2712"/>
      <c r="C337" s="2713"/>
      <c r="E337" s="2712"/>
    </row>
    <row r="338" spans="1:5" s="1722" customFormat="1">
      <c r="A338" s="2712"/>
      <c r="C338" s="2713"/>
      <c r="E338" s="2712"/>
    </row>
    <row r="339" spans="1:5" s="1722" customFormat="1">
      <c r="A339" s="2712"/>
      <c r="C339" s="2713"/>
      <c r="E339" s="2712"/>
    </row>
    <row r="340" spans="1:5" s="1722" customFormat="1">
      <c r="A340" s="2712"/>
      <c r="C340" s="2713"/>
      <c r="E340" s="2712"/>
    </row>
    <row r="341" spans="1:5" s="1722" customFormat="1">
      <c r="A341" s="2712"/>
      <c r="C341" s="2713"/>
      <c r="E341" s="2712"/>
    </row>
    <row r="342" spans="1:5" s="1722" customFormat="1">
      <c r="A342" s="2712"/>
      <c r="C342" s="2713"/>
      <c r="E342" s="2712"/>
    </row>
    <row r="343" spans="1:5" s="1722" customFormat="1">
      <c r="A343" s="2712"/>
      <c r="C343" s="2713"/>
      <c r="E343" s="2712"/>
    </row>
    <row r="344" spans="1:5" s="1722" customFormat="1">
      <c r="A344" s="2712"/>
      <c r="C344" s="2713"/>
      <c r="E344" s="2712"/>
    </row>
    <row r="345" spans="1:5" s="1722" customFormat="1">
      <c r="A345" s="2712"/>
      <c r="C345" s="2713"/>
      <c r="E345" s="2712"/>
    </row>
    <row r="346" spans="1:5" s="1722" customFormat="1">
      <c r="A346" s="2712"/>
      <c r="C346" s="2713"/>
      <c r="E346" s="2712"/>
    </row>
    <row r="347" spans="1:5" s="1722" customFormat="1">
      <c r="A347" s="2712"/>
      <c r="C347" s="2713"/>
      <c r="E347" s="2712"/>
    </row>
    <row r="348" spans="1:5" s="1722" customFormat="1">
      <c r="A348" s="2712"/>
      <c r="C348" s="2713"/>
      <c r="E348" s="2712"/>
    </row>
    <row r="349" spans="1:5" s="1722" customFormat="1">
      <c r="A349" s="2712"/>
      <c r="C349" s="2713"/>
      <c r="E349" s="2712"/>
    </row>
    <row r="350" spans="1:5" s="1722" customFormat="1">
      <c r="A350" s="2712"/>
      <c r="C350" s="2713"/>
      <c r="E350" s="2712"/>
    </row>
    <row r="351" spans="1:5" s="1722" customFormat="1">
      <c r="A351" s="2712"/>
      <c r="C351" s="2713"/>
      <c r="E351" s="2712"/>
    </row>
    <row r="352" spans="1:5" s="1722" customFormat="1">
      <c r="A352" s="2712"/>
      <c r="C352" s="2713"/>
      <c r="E352" s="2712"/>
    </row>
    <row r="353" spans="1:5" s="1722" customFormat="1">
      <c r="A353" s="2712"/>
      <c r="C353" s="2713"/>
      <c r="E353" s="2712"/>
    </row>
    <row r="354" spans="1:5" s="1722" customFormat="1">
      <c r="A354" s="2712"/>
      <c r="C354" s="2713"/>
      <c r="E354" s="2712"/>
    </row>
    <row r="355" spans="1:5" s="1722" customFormat="1">
      <c r="A355" s="2712"/>
      <c r="C355" s="2713"/>
      <c r="E355" s="2712"/>
    </row>
    <row r="356" spans="1:5" s="1722" customFormat="1">
      <c r="A356" s="2712"/>
      <c r="C356" s="2713"/>
      <c r="E356" s="2712"/>
    </row>
    <row r="357" spans="1:5" s="1722" customFormat="1">
      <c r="A357" s="2712"/>
      <c r="C357" s="2713"/>
      <c r="E357" s="2712"/>
    </row>
    <row r="358" spans="1:5" s="1722" customFormat="1">
      <c r="A358" s="2712"/>
      <c r="C358" s="2713"/>
      <c r="E358" s="2712"/>
    </row>
    <row r="359" spans="1:5" s="1722" customFormat="1">
      <c r="A359" s="2712"/>
      <c r="C359" s="2713"/>
      <c r="E359" s="2712"/>
    </row>
    <row r="360" spans="1:5" s="1722" customFormat="1">
      <c r="A360" s="2712"/>
      <c r="C360" s="2713"/>
      <c r="E360" s="2712"/>
    </row>
    <row r="361" spans="1:5" s="1722" customFormat="1">
      <c r="A361" s="2712"/>
      <c r="C361" s="2713"/>
      <c r="E361" s="2712"/>
    </row>
    <row r="362" spans="1:5" s="1722" customFormat="1">
      <c r="A362" s="2712"/>
      <c r="C362" s="2713"/>
      <c r="E362" s="2712"/>
    </row>
    <row r="363" spans="1:5" s="1722" customFormat="1">
      <c r="A363" s="2712"/>
      <c r="C363" s="2713"/>
      <c r="E363" s="2712"/>
    </row>
    <row r="364" spans="1:5" s="1722" customFormat="1">
      <c r="A364" s="2712"/>
      <c r="C364" s="2713"/>
      <c r="E364" s="2712"/>
    </row>
    <row r="365" spans="1:5" s="1722" customFormat="1">
      <c r="A365" s="2712"/>
      <c r="C365" s="2713"/>
      <c r="E365" s="2712"/>
    </row>
    <row r="366" spans="1:5" s="1722" customFormat="1">
      <c r="A366" s="2712"/>
      <c r="C366" s="2713"/>
      <c r="E366" s="2712"/>
    </row>
    <row r="367" spans="1:5" s="1722" customFormat="1">
      <c r="A367" s="2712"/>
      <c r="C367" s="2713"/>
      <c r="E367" s="2712"/>
    </row>
    <row r="368" spans="1:5" s="1722" customFormat="1">
      <c r="A368" s="2712"/>
      <c r="C368" s="2713"/>
      <c r="E368" s="2712"/>
    </row>
    <row r="369" spans="1:5" s="1722" customFormat="1">
      <c r="A369" s="2712"/>
      <c r="C369" s="2713"/>
      <c r="E369" s="2712"/>
    </row>
    <row r="370" spans="1:5" s="1722" customFormat="1">
      <c r="A370" s="2712"/>
      <c r="C370" s="2713"/>
      <c r="E370" s="2712"/>
    </row>
    <row r="371" spans="1:5" s="1722" customFormat="1">
      <c r="A371" s="2712"/>
      <c r="C371" s="2713"/>
      <c r="E371" s="2712"/>
    </row>
    <row r="372" spans="1:5" s="1722" customFormat="1">
      <c r="A372" s="2712"/>
      <c r="C372" s="2713"/>
      <c r="E372" s="2712"/>
    </row>
    <row r="373" spans="1:5" s="1722" customFormat="1">
      <c r="A373" s="2712"/>
      <c r="C373" s="2713"/>
      <c r="E373" s="2712"/>
    </row>
    <row r="374" spans="1:5" s="1722" customFormat="1">
      <c r="A374" s="2712"/>
      <c r="C374" s="2713"/>
      <c r="E374" s="2712"/>
    </row>
    <row r="375" spans="1:5" s="1722" customFormat="1">
      <c r="A375" s="2712"/>
      <c r="C375" s="2713"/>
      <c r="E375" s="2712"/>
    </row>
    <row r="376" spans="1:5" s="1722" customFormat="1">
      <c r="A376" s="2712"/>
      <c r="C376" s="2713"/>
      <c r="E376" s="2712"/>
    </row>
    <row r="377" spans="1:5" s="1722" customFormat="1">
      <c r="A377" s="2712"/>
      <c r="C377" s="2713"/>
      <c r="E377" s="2712"/>
    </row>
    <row r="378" spans="1:5" s="1722" customFormat="1">
      <c r="A378" s="2712"/>
      <c r="C378" s="2713"/>
      <c r="E378" s="2712"/>
    </row>
    <row r="379" spans="1:5" s="1722" customFormat="1">
      <c r="A379" s="2712"/>
      <c r="C379" s="2713"/>
      <c r="E379" s="2712"/>
    </row>
    <row r="380" spans="1:5" s="1722" customFormat="1">
      <c r="A380" s="2712"/>
      <c r="C380" s="2713"/>
      <c r="E380" s="2712"/>
    </row>
    <row r="381" spans="1:5" s="1722" customFormat="1">
      <c r="A381" s="2712"/>
      <c r="C381" s="2713"/>
      <c r="E381" s="2712"/>
    </row>
    <row r="382" spans="1:5" s="1722" customFormat="1">
      <c r="A382" s="2712"/>
      <c r="C382" s="2713"/>
      <c r="E382" s="2712"/>
    </row>
    <row r="383" spans="1:5" s="1722" customFormat="1">
      <c r="A383" s="2712"/>
      <c r="C383" s="2713"/>
      <c r="E383" s="2712"/>
    </row>
    <row r="384" spans="1:5" s="1722" customFormat="1">
      <c r="A384" s="2712"/>
      <c r="C384" s="2713"/>
      <c r="E384" s="2712"/>
    </row>
    <row r="385" spans="1:5" s="1722" customFormat="1">
      <c r="A385" s="2712"/>
      <c r="C385" s="2713"/>
      <c r="E385" s="2712"/>
    </row>
    <row r="386" spans="1:5" s="1722" customFormat="1">
      <c r="A386" s="2712"/>
      <c r="C386" s="2713"/>
      <c r="E386" s="2712"/>
    </row>
    <row r="387" spans="1:5" s="1722" customFormat="1">
      <c r="A387" s="2712"/>
      <c r="C387" s="2713"/>
      <c r="E387" s="2712"/>
    </row>
    <row r="388" spans="1:5" s="1722" customFormat="1">
      <c r="A388" s="2712"/>
      <c r="C388" s="2713"/>
      <c r="E388" s="2712"/>
    </row>
    <row r="389" spans="1:5" s="1722" customFormat="1">
      <c r="A389" s="2712"/>
      <c r="C389" s="2713"/>
      <c r="E389" s="2712"/>
    </row>
    <row r="390" spans="1:5" s="1722" customFormat="1">
      <c r="A390" s="2712"/>
      <c r="C390" s="2713"/>
      <c r="E390" s="2712"/>
    </row>
    <row r="391" spans="1:5" s="1722" customFormat="1">
      <c r="A391" s="2712"/>
      <c r="C391" s="2713"/>
      <c r="E391" s="2712"/>
    </row>
    <row r="392" spans="1:5" s="1722" customFormat="1">
      <c r="A392" s="2712"/>
      <c r="C392" s="2713"/>
      <c r="E392" s="2712"/>
    </row>
    <row r="393" spans="1:5" s="1722" customFormat="1">
      <c r="A393" s="2712"/>
      <c r="C393" s="2713"/>
      <c r="E393" s="2712"/>
    </row>
    <row r="394" spans="1:5" s="1722" customFormat="1">
      <c r="A394" s="2712"/>
      <c r="C394" s="2713"/>
      <c r="E394" s="2712"/>
    </row>
    <row r="395" spans="1:5" s="1722" customFormat="1">
      <c r="A395" s="2712"/>
      <c r="C395" s="2713"/>
      <c r="E395" s="2712"/>
    </row>
    <row r="396" spans="1:5" s="1722" customFormat="1">
      <c r="A396" s="2712"/>
      <c r="C396" s="2713"/>
      <c r="E396" s="2712"/>
    </row>
    <row r="397" spans="1:5" s="1722" customFormat="1">
      <c r="A397" s="2712"/>
      <c r="C397" s="2713"/>
      <c r="E397" s="2712"/>
    </row>
    <row r="398" spans="1:5" s="1722" customFormat="1">
      <c r="A398" s="2712"/>
      <c r="C398" s="2713"/>
      <c r="E398" s="2712"/>
    </row>
    <row r="399" spans="1:5" s="1722" customFormat="1">
      <c r="A399" s="2712"/>
      <c r="C399" s="2713"/>
      <c r="E399" s="2712"/>
    </row>
    <row r="400" spans="1:5" s="1722" customFormat="1">
      <c r="A400" s="2712"/>
      <c r="C400" s="2713"/>
      <c r="E400" s="2712"/>
    </row>
    <row r="401" spans="1:5" s="1722" customFormat="1">
      <c r="A401" s="2712"/>
      <c r="C401" s="2713"/>
      <c r="E401" s="2712"/>
    </row>
    <row r="402" spans="1:5" s="1722" customFormat="1">
      <c r="A402" s="2712"/>
      <c r="C402" s="2713"/>
      <c r="E402" s="2712"/>
    </row>
    <row r="403" spans="1:5" s="1722" customFormat="1">
      <c r="A403" s="2712"/>
      <c r="C403" s="2713"/>
      <c r="E403" s="2712"/>
    </row>
    <row r="404" spans="1:5" s="1722" customFormat="1">
      <c r="A404" s="2712"/>
      <c r="C404" s="2713"/>
      <c r="E404" s="2712"/>
    </row>
    <row r="405" spans="1:5" s="1722" customFormat="1">
      <c r="A405" s="2712"/>
      <c r="C405" s="2713"/>
      <c r="E405" s="2712"/>
    </row>
    <row r="406" spans="1:5" s="1722" customFormat="1">
      <c r="A406" s="2712"/>
      <c r="C406" s="2713"/>
      <c r="E406" s="2712"/>
    </row>
    <row r="407" spans="1:5" s="1722" customFormat="1">
      <c r="A407" s="2712"/>
      <c r="C407" s="2713"/>
      <c r="E407" s="2712"/>
    </row>
    <row r="408" spans="1:5" s="1722" customFormat="1">
      <c r="A408" s="2712"/>
      <c r="C408" s="2713"/>
      <c r="E408" s="2712"/>
    </row>
    <row r="409" spans="1:5" s="1722" customFormat="1">
      <c r="A409" s="2712"/>
      <c r="C409" s="2713"/>
      <c r="E409" s="2712"/>
    </row>
    <row r="410" spans="1:5" s="1722" customFormat="1">
      <c r="A410" s="2712"/>
      <c r="C410" s="2713"/>
      <c r="E410" s="2712"/>
    </row>
    <row r="411" spans="1:5" s="1722" customFormat="1">
      <c r="A411" s="2712"/>
      <c r="C411" s="2713"/>
      <c r="E411" s="2712"/>
    </row>
    <row r="412" spans="1:5" s="1722" customFormat="1">
      <c r="A412" s="2712"/>
      <c r="C412" s="2713"/>
      <c r="E412" s="2712"/>
    </row>
    <row r="413" spans="1:5" s="1722" customFormat="1">
      <c r="A413" s="2712"/>
      <c r="C413" s="2713"/>
      <c r="E413" s="2712"/>
    </row>
    <row r="414" spans="1:5" s="1722" customFormat="1">
      <c r="A414" s="2712"/>
      <c r="C414" s="2713"/>
      <c r="E414" s="2712"/>
    </row>
    <row r="415" spans="1:5" s="1722" customFormat="1">
      <c r="A415" s="2712"/>
      <c r="C415" s="2713"/>
      <c r="E415" s="2712"/>
    </row>
    <row r="416" spans="1:5" s="1722" customFormat="1">
      <c r="A416" s="2712"/>
      <c r="C416" s="2713"/>
      <c r="E416" s="2712"/>
    </row>
    <row r="417" spans="1:5" s="1722" customFormat="1">
      <c r="A417" s="2712"/>
      <c r="C417" s="2713"/>
      <c r="E417" s="2712"/>
    </row>
    <row r="418" spans="1:5" s="1722" customFormat="1">
      <c r="A418" s="2712"/>
      <c r="C418" s="2713"/>
      <c r="E418" s="2712"/>
    </row>
    <row r="419" spans="1:5" s="1722" customFormat="1">
      <c r="A419" s="2712"/>
      <c r="C419" s="2713"/>
      <c r="E419" s="2712"/>
    </row>
    <row r="420" spans="1:5" s="1722" customFormat="1">
      <c r="A420" s="2712"/>
      <c r="C420" s="2713"/>
      <c r="E420" s="2712"/>
    </row>
    <row r="421" spans="1:5" s="1722" customFormat="1">
      <c r="A421" s="2712"/>
      <c r="C421" s="2713"/>
      <c r="E421" s="2712"/>
    </row>
    <row r="422" spans="1:5" s="1722" customFormat="1">
      <c r="A422" s="2712"/>
      <c r="C422" s="2713"/>
      <c r="E422" s="2712"/>
    </row>
    <row r="423" spans="1:5" s="1722" customFormat="1">
      <c r="A423" s="2712"/>
      <c r="C423" s="2713"/>
      <c r="E423" s="2712"/>
    </row>
    <row r="424" spans="1:5" s="1722" customFormat="1">
      <c r="A424" s="2712"/>
      <c r="C424" s="2713"/>
      <c r="E424" s="2712"/>
    </row>
    <row r="425" spans="1:5" s="1722" customFormat="1">
      <c r="A425" s="2712"/>
      <c r="C425" s="2713"/>
      <c r="E425" s="2712"/>
    </row>
    <row r="426" spans="1:5" s="1722" customFormat="1">
      <c r="A426" s="2712"/>
      <c r="C426" s="2713"/>
      <c r="E426" s="2712"/>
    </row>
    <row r="427" spans="1:5" s="1722" customFormat="1">
      <c r="A427" s="2712"/>
      <c r="C427" s="2713"/>
      <c r="E427" s="2712"/>
    </row>
    <row r="428" spans="1:5" s="1722" customFormat="1">
      <c r="A428" s="2712"/>
      <c r="C428" s="2713"/>
      <c r="E428" s="2712"/>
    </row>
    <row r="429" spans="1:5" s="1722" customFormat="1">
      <c r="A429" s="2712"/>
      <c r="C429" s="2713"/>
      <c r="E429" s="2712"/>
    </row>
    <row r="430" spans="1:5" s="1722" customFormat="1">
      <c r="A430" s="2712"/>
      <c r="C430" s="2713"/>
      <c r="E430" s="2712"/>
    </row>
    <row r="431" spans="1:5" s="1722" customFormat="1">
      <c r="A431" s="2712"/>
      <c r="C431" s="2713"/>
      <c r="E431" s="2712"/>
    </row>
    <row r="432" spans="1:5" s="1722" customFormat="1">
      <c r="A432" s="2712"/>
      <c r="C432" s="2713"/>
      <c r="E432" s="2712"/>
    </row>
    <row r="433" spans="1:5" s="1722" customFormat="1">
      <c r="A433" s="2712"/>
      <c r="C433" s="2713"/>
      <c r="E433" s="2712"/>
    </row>
    <row r="434" spans="1:5" s="1722" customFormat="1">
      <c r="A434" s="2712"/>
      <c r="C434" s="2713"/>
      <c r="E434" s="2712"/>
    </row>
    <row r="435" spans="1:5" s="1722" customFormat="1">
      <c r="A435" s="2712"/>
      <c r="C435" s="2713"/>
      <c r="E435" s="2712"/>
    </row>
    <row r="436" spans="1:5" s="1722" customFormat="1">
      <c r="A436" s="2712"/>
      <c r="C436" s="2713"/>
      <c r="E436" s="2712"/>
    </row>
    <row r="437" spans="1:5" s="1722" customFormat="1">
      <c r="A437" s="2712"/>
      <c r="C437" s="2713"/>
      <c r="E437" s="2712"/>
    </row>
    <row r="438" spans="1:5" s="1722" customFormat="1">
      <c r="A438" s="2712"/>
      <c r="C438" s="2713"/>
      <c r="E438" s="2712"/>
    </row>
    <row r="439" spans="1:5" s="1722" customFormat="1">
      <c r="A439" s="2712"/>
      <c r="C439" s="2713"/>
      <c r="E439" s="2712"/>
    </row>
    <row r="440" spans="1:5" s="1722" customFormat="1">
      <c r="A440" s="2712"/>
      <c r="C440" s="2713"/>
      <c r="E440" s="2712"/>
    </row>
    <row r="441" spans="1:5" s="1722" customFormat="1">
      <c r="A441" s="2712"/>
      <c r="C441" s="2713"/>
      <c r="E441" s="2712"/>
    </row>
    <row r="442" spans="1:5" s="1722" customFormat="1">
      <c r="A442" s="2712"/>
      <c r="C442" s="2713"/>
      <c r="E442" s="2712"/>
    </row>
    <row r="443" spans="1:5" s="1722" customFormat="1">
      <c r="A443" s="2712"/>
      <c r="C443" s="2713"/>
      <c r="E443" s="2712"/>
    </row>
    <row r="444" spans="1:5" s="1722" customFormat="1">
      <c r="A444" s="2712"/>
      <c r="C444" s="2713"/>
      <c r="E444" s="2712"/>
    </row>
    <row r="445" spans="1:5" s="1722" customFormat="1">
      <c r="A445" s="2712"/>
      <c r="C445" s="2713"/>
      <c r="E445" s="2712"/>
    </row>
    <row r="446" spans="1:5" s="1722" customFormat="1">
      <c r="A446" s="2712"/>
      <c r="C446" s="2713"/>
      <c r="E446" s="2712"/>
    </row>
    <row r="447" spans="1:5" s="1722" customFormat="1">
      <c r="A447" s="2712"/>
      <c r="C447" s="2713"/>
      <c r="E447" s="2712"/>
    </row>
    <row r="448" spans="1:5" s="1722" customFormat="1">
      <c r="A448" s="2712"/>
      <c r="C448" s="2713"/>
      <c r="E448" s="2712"/>
    </row>
    <row r="449" spans="1:5" s="1722" customFormat="1">
      <c r="A449" s="2712"/>
      <c r="C449" s="2713"/>
      <c r="E449" s="2712"/>
    </row>
    <row r="450" spans="1:5" s="1722" customFormat="1">
      <c r="A450" s="2712"/>
      <c r="C450" s="2713"/>
      <c r="E450" s="2712"/>
    </row>
    <row r="451" spans="1:5" s="1722" customFormat="1">
      <c r="A451" s="2712"/>
      <c r="C451" s="2713"/>
      <c r="E451" s="2712"/>
    </row>
    <row r="452" spans="1:5" s="1722" customFormat="1">
      <c r="A452" s="2712"/>
      <c r="C452" s="2713"/>
      <c r="E452" s="2712"/>
    </row>
    <row r="453" spans="1:5" s="1722" customFormat="1">
      <c r="A453" s="2712"/>
      <c r="C453" s="2713"/>
      <c r="E453" s="2712"/>
    </row>
    <row r="454" spans="1:5" s="1722" customFormat="1">
      <c r="A454" s="2712"/>
      <c r="C454" s="2713"/>
      <c r="E454" s="2712"/>
    </row>
    <row r="455" spans="1:5" s="1722" customFormat="1">
      <c r="A455" s="2712"/>
      <c r="C455" s="2713"/>
      <c r="E455" s="2712"/>
    </row>
    <row r="456" spans="1:5" s="1722" customFormat="1">
      <c r="A456" s="2712"/>
      <c r="C456" s="2713"/>
      <c r="E456" s="2712"/>
    </row>
    <row r="457" spans="1:5" s="1722" customFormat="1">
      <c r="A457" s="2712"/>
      <c r="C457" s="2713"/>
      <c r="E457" s="2712"/>
    </row>
    <row r="458" spans="1:5" s="1722" customFormat="1">
      <c r="A458" s="2712"/>
      <c r="C458" s="2713"/>
      <c r="E458" s="2712"/>
    </row>
    <row r="459" spans="1:5" s="1722" customFormat="1">
      <c r="A459" s="2712"/>
      <c r="C459" s="2713"/>
      <c r="E459" s="2712"/>
    </row>
    <row r="460" spans="1:5" s="1722" customFormat="1">
      <c r="A460" s="2712"/>
      <c r="C460" s="2713"/>
      <c r="E460" s="2712"/>
    </row>
    <row r="461" spans="1:5" s="1722" customFormat="1">
      <c r="A461" s="2712"/>
      <c r="C461" s="2713"/>
      <c r="E461" s="2712"/>
    </row>
    <row r="462" spans="1:5" s="1722" customFormat="1">
      <c r="A462" s="2712"/>
      <c r="C462" s="2713"/>
      <c r="E462" s="2712"/>
    </row>
    <row r="463" spans="1:5" s="1722" customFormat="1">
      <c r="A463" s="2712"/>
      <c r="C463" s="2713"/>
      <c r="E463" s="2712"/>
    </row>
    <row r="464" spans="1:5" s="1722" customFormat="1">
      <c r="A464" s="2712"/>
      <c r="C464" s="2713"/>
      <c r="E464" s="2712"/>
    </row>
    <row r="465" spans="1:5" s="1722" customFormat="1">
      <c r="A465" s="2712"/>
      <c r="C465" s="2713"/>
      <c r="E465" s="2712"/>
    </row>
    <row r="466" spans="1:5" s="1722" customFormat="1">
      <c r="A466" s="2712"/>
      <c r="C466" s="2713"/>
      <c r="E466" s="2712"/>
    </row>
    <row r="467" spans="1:5" s="1722" customFormat="1">
      <c r="A467" s="2712"/>
      <c r="C467" s="2713"/>
      <c r="E467" s="2712"/>
    </row>
    <row r="468" spans="1:5" s="1722" customFormat="1">
      <c r="A468" s="2712"/>
      <c r="C468" s="2713"/>
      <c r="E468" s="2712"/>
    </row>
    <row r="469" spans="1:5" s="1722" customFormat="1">
      <c r="A469" s="2712"/>
      <c r="C469" s="2713"/>
      <c r="E469" s="2712"/>
    </row>
    <row r="470" spans="1:5" s="1722" customFormat="1">
      <c r="A470" s="2712"/>
      <c r="C470" s="2713"/>
      <c r="E470" s="2712"/>
    </row>
    <row r="471" spans="1:5" s="1722" customFormat="1">
      <c r="A471" s="2712"/>
      <c r="C471" s="2713"/>
      <c r="E471" s="2712"/>
    </row>
    <row r="472" spans="1:5" s="1722" customFormat="1">
      <c r="A472" s="2712"/>
      <c r="C472" s="2713"/>
      <c r="E472" s="2712"/>
    </row>
    <row r="473" spans="1:5" s="1722" customFormat="1">
      <c r="A473" s="2712"/>
      <c r="C473" s="2713"/>
      <c r="E473" s="2712"/>
    </row>
    <row r="474" spans="1:5" s="1722" customFormat="1">
      <c r="A474" s="2712"/>
      <c r="C474" s="2713"/>
      <c r="E474" s="2712"/>
    </row>
    <row r="475" spans="1:5" s="1722" customFormat="1">
      <c r="A475" s="2712"/>
      <c r="C475" s="2713"/>
      <c r="E475" s="2712"/>
    </row>
    <row r="476" spans="1:5" s="1722" customFormat="1">
      <c r="A476" s="2712"/>
      <c r="C476" s="2713"/>
      <c r="E476" s="2712"/>
    </row>
    <row r="477" spans="1:5" s="1722" customFormat="1">
      <c r="A477" s="2712"/>
      <c r="C477" s="2713"/>
      <c r="E477" s="2712"/>
    </row>
    <row r="478" spans="1:5" s="1722" customFormat="1">
      <c r="A478" s="2712"/>
      <c r="C478" s="2713"/>
      <c r="E478" s="2712"/>
    </row>
    <row r="479" spans="1:5" s="1722" customFormat="1">
      <c r="A479" s="2712"/>
      <c r="C479" s="2713"/>
      <c r="E479" s="2712"/>
    </row>
    <row r="480" spans="1:5" s="1722" customFormat="1">
      <c r="A480" s="2712"/>
      <c r="C480" s="2713"/>
      <c r="E480" s="2712"/>
    </row>
    <row r="481" spans="1:5" s="1722" customFormat="1">
      <c r="A481" s="2712"/>
      <c r="C481" s="2713"/>
      <c r="E481" s="2712"/>
    </row>
    <row r="482" spans="1:5" s="1722" customFormat="1">
      <c r="A482" s="2712"/>
      <c r="C482" s="2713"/>
      <c r="E482" s="2712"/>
    </row>
    <row r="483" spans="1:5" s="1722" customFormat="1">
      <c r="A483" s="2712"/>
      <c r="C483" s="2713"/>
      <c r="E483" s="2712"/>
    </row>
    <row r="484" spans="1:5" s="1722" customFormat="1">
      <c r="A484" s="2712"/>
      <c r="C484" s="2713"/>
      <c r="E484" s="2712"/>
    </row>
    <row r="485" spans="1:5" s="1722" customFormat="1">
      <c r="A485" s="2712"/>
      <c r="C485" s="2713"/>
      <c r="E485" s="2712"/>
    </row>
    <row r="486" spans="1:5" s="1722" customFormat="1">
      <c r="A486" s="2712"/>
      <c r="C486" s="2713"/>
      <c r="E486" s="2712"/>
    </row>
    <row r="487" spans="1:5" s="1722" customFormat="1">
      <c r="A487" s="2712"/>
      <c r="C487" s="2713"/>
      <c r="E487" s="2712"/>
    </row>
    <row r="488" spans="1:5" s="1722" customFormat="1">
      <c r="A488" s="2712"/>
      <c r="C488" s="2713"/>
      <c r="E488" s="2712"/>
    </row>
    <row r="489" spans="1:5" s="1722" customFormat="1">
      <c r="A489" s="2712"/>
      <c r="C489" s="2713"/>
      <c r="E489" s="2712"/>
    </row>
    <row r="490" spans="1:5" s="1722" customFormat="1">
      <c r="A490" s="2712"/>
      <c r="C490" s="2713"/>
      <c r="E490" s="271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25" defaultRowHeight="12.75"/>
  <cols>
    <col min="1" max="1" width="10.125" style="1731" customWidth="1"/>
    <col min="2" max="2" width="25.625" style="1721" customWidth="1"/>
    <col min="3" max="3" width="11.5" style="1732" customWidth="1"/>
    <col min="4" max="4" width="12" style="1721" customWidth="1"/>
    <col min="5" max="5" width="9.5" style="1731" customWidth="1"/>
    <col min="6" max="6" width="10.125" style="1721" customWidth="1"/>
    <col min="7" max="7" width="9.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41" s="1653" customFormat="1" ht="20.25">
      <c r="A1" s="391" t="s">
        <v>426</v>
      </c>
      <c r="B1" s="2118"/>
      <c r="C1" s="1711"/>
      <c r="D1" s="1711"/>
      <c r="E1" s="1711"/>
      <c r="F1" s="1711"/>
      <c r="G1" s="1711"/>
      <c r="H1" s="1711"/>
      <c r="I1" s="1711"/>
      <c r="J1" s="1711"/>
      <c r="K1" s="392">
        <f>MATCH(B1,'数据-取费表'!A6:A16,0)+5</f>
        <v>7</v>
      </c>
      <c r="L1" s="237"/>
      <c r="M1" s="237"/>
      <c r="N1" s="237"/>
      <c r="O1" s="237"/>
      <c r="P1" s="237"/>
      <c r="Q1" s="237"/>
      <c r="R1" s="237"/>
      <c r="S1" s="237"/>
      <c r="T1" s="237"/>
      <c r="U1" s="237"/>
      <c r="V1" s="237"/>
      <c r="W1" s="237"/>
      <c r="X1" s="237"/>
      <c r="Y1" s="237"/>
      <c r="Z1" s="237"/>
    </row>
    <row r="2" spans="1:41" s="1653" customFormat="1" ht="18" customHeight="1">
      <c r="A2" s="393" t="s">
        <v>427</v>
      </c>
      <c r="B2" s="394" t="e">
        <f ca="1">C27</f>
        <v>#DIV/0!</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41" s="1653" customFormat="1" ht="18" customHeight="1">
      <c r="A3" s="1169" t="s">
        <v>1217</v>
      </c>
      <c r="B3" s="395" t="e">
        <f ca="1">ROUND(B2*10000/IF(B1="",'数据-汇总表'!E3,INDIRECT("'数据-取费表'!K"&amp;$K$1)),0)</f>
        <v>#DIV/0!</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41" s="1653" customFormat="1" ht="18" customHeight="1">
      <c r="A4" s="396" t="s">
        <v>428</v>
      </c>
      <c r="B4" s="397" t="e">
        <f ca="1">ROUND(B2*10000/IF(B1="",'数据-汇总表'!D3,INDIRECT("'数据-取费表'!R"&amp;$K$1)),0)</f>
        <v>#DIV/0!</v>
      </c>
      <c r="C4" s="1673"/>
      <c r="D4" s="1711"/>
      <c r="E4" s="1711"/>
      <c r="F4" s="1711"/>
      <c r="G4" s="1711"/>
      <c r="H4" s="1711"/>
      <c r="I4" s="1711"/>
      <c r="J4" s="1711"/>
      <c r="K4" s="1711"/>
      <c r="L4" s="237"/>
      <c r="M4" s="237"/>
      <c r="N4" s="237"/>
      <c r="O4" s="237"/>
      <c r="P4" s="237"/>
      <c r="Q4" s="237"/>
      <c r="R4" s="237"/>
      <c r="S4" s="237"/>
      <c r="T4" s="237"/>
      <c r="U4" s="237"/>
      <c r="V4" s="237"/>
      <c r="W4" s="237"/>
      <c r="X4" s="237"/>
      <c r="Y4" s="237"/>
      <c r="Z4" s="237"/>
    </row>
    <row r="5" spans="1:41" s="1653" customFormat="1" ht="18" customHeight="1" thickBot="1">
      <c r="A5" s="399"/>
      <c r="B5" s="400" t="e">
        <f ca="1">ROUND(B2/(IF(B1="",'数据-汇总表'!D3,INDIRECT("'数据-取费表'!R"&amp;$K$1))/666.67),0)</f>
        <v>#DIV/0!</v>
      </c>
      <c r="C5" s="401" t="s">
        <v>429</v>
      </c>
      <c r="D5" s="1711"/>
      <c r="E5" s="1711"/>
      <c r="F5" s="1711"/>
      <c r="G5" s="1711"/>
      <c r="H5" s="1711"/>
      <c r="I5" s="1711"/>
      <c r="J5" s="1711"/>
      <c r="K5" s="1711"/>
      <c r="L5" s="237"/>
      <c r="M5" s="237"/>
      <c r="N5" s="237"/>
      <c r="O5" s="237"/>
      <c r="P5" s="237"/>
      <c r="Q5" s="237"/>
      <c r="R5" s="237"/>
      <c r="S5" s="237"/>
      <c r="T5" s="237"/>
      <c r="U5" s="237"/>
      <c r="V5" s="237"/>
      <c r="W5" s="237"/>
      <c r="X5" s="237"/>
      <c r="Y5" s="237"/>
      <c r="Z5" s="237"/>
    </row>
    <row r="6" spans="1:41" s="1718" customFormat="1" ht="16.5" customHeight="1">
      <c r="A6" s="402" t="s">
        <v>1931</v>
      </c>
      <c r="B6" s="403"/>
      <c r="C6" s="1344">
        <f>SUM(C10:K10)</f>
        <v>0</v>
      </c>
      <c r="D6" s="1716"/>
      <c r="E6" s="1716"/>
      <c r="F6" s="1716"/>
      <c r="G6" s="1716"/>
      <c r="H6" s="1716"/>
      <c r="I6" s="1716"/>
      <c r="J6" s="1716"/>
      <c r="K6" s="1717"/>
      <c r="L6" s="2704"/>
      <c r="M6" s="2704"/>
      <c r="N6" s="2704"/>
      <c r="O6" s="2704"/>
      <c r="P6" s="2704"/>
      <c r="Q6" s="2704"/>
      <c r="R6" s="2704"/>
      <c r="S6" s="2704"/>
      <c r="T6" s="2704"/>
      <c r="U6" s="2704"/>
      <c r="V6" s="2704"/>
      <c r="W6" s="2704"/>
      <c r="X6" s="2704"/>
      <c r="Y6" s="2704"/>
      <c r="Z6" s="2704"/>
    </row>
    <row r="7" spans="1:41" s="1720" customFormat="1" ht="15">
      <c r="A7" s="404" t="s">
        <v>430</v>
      </c>
      <c r="B7" s="405" t="s">
        <v>431</v>
      </c>
      <c r="C7" s="2814"/>
      <c r="D7" s="406"/>
      <c r="E7" s="406"/>
      <c r="F7" s="406"/>
      <c r="G7" s="406"/>
      <c r="H7" s="406"/>
      <c r="I7" s="406"/>
      <c r="J7" s="406"/>
      <c r="K7" s="407"/>
      <c r="AA7" s="1719"/>
      <c r="AB7" s="1719"/>
      <c r="AC7" s="1719"/>
      <c r="AD7" s="1719"/>
      <c r="AE7" s="1719"/>
      <c r="AF7" s="1719"/>
      <c r="AG7" s="1719"/>
      <c r="AH7" s="1719"/>
      <c r="AI7" s="1719"/>
      <c r="AJ7" s="1719"/>
      <c r="AK7" s="1719"/>
      <c r="AL7" s="1719"/>
      <c r="AM7" s="1719"/>
      <c r="AN7" s="1719"/>
      <c r="AO7" s="1719"/>
    </row>
    <row r="8" spans="1:41" s="1722" customFormat="1" ht="13.5" customHeight="1">
      <c r="A8" s="1352" t="s">
        <v>1374</v>
      </c>
      <c r="B8" s="408" t="s">
        <v>432</v>
      </c>
      <c r="C8" s="409"/>
      <c r="D8" s="409"/>
      <c r="E8" s="409"/>
      <c r="F8" s="409"/>
      <c r="G8" s="409"/>
      <c r="H8" s="409"/>
      <c r="I8" s="409"/>
      <c r="J8" s="409"/>
      <c r="K8" s="410"/>
      <c r="AA8" s="1721"/>
      <c r="AB8" s="1721"/>
      <c r="AC8" s="1721"/>
      <c r="AD8" s="1721"/>
      <c r="AE8" s="1721"/>
      <c r="AF8" s="1721"/>
      <c r="AG8" s="1721"/>
      <c r="AH8" s="1721"/>
      <c r="AI8" s="1721"/>
      <c r="AJ8" s="1721"/>
      <c r="AK8" s="1721"/>
      <c r="AL8" s="1721"/>
      <c r="AM8" s="1721"/>
      <c r="AN8" s="1721"/>
      <c r="AO8" s="1721"/>
    </row>
    <row r="9" spans="1:41" s="1722" customFormat="1" ht="13.5" customHeight="1">
      <c r="A9" s="1352"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3" t="s">
        <v>1376</v>
      </c>
      <c r="B10" s="1345" t="s">
        <v>434</v>
      </c>
      <c r="C10" s="1346"/>
      <c r="D10" s="1346"/>
      <c r="E10" s="1346"/>
      <c r="F10" s="1347"/>
      <c r="G10" s="1347"/>
      <c r="H10" s="1347"/>
      <c r="I10" s="1347"/>
      <c r="J10" s="1347"/>
      <c r="K10" s="1348"/>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1" t="s">
        <v>1393</v>
      </c>
      <c r="B11" s="1342"/>
      <c r="C11" s="1342"/>
      <c r="D11" s="1342"/>
      <c r="E11" s="1342"/>
      <c r="F11" s="1342"/>
      <c r="G11" s="1342"/>
      <c r="H11" s="1342"/>
      <c r="I11" s="1342"/>
      <c r="J11" s="1342"/>
      <c r="K11" s="1343"/>
      <c r="L11" s="2704"/>
      <c r="M11" s="2704"/>
      <c r="N11" s="2704"/>
      <c r="O11" s="2704"/>
      <c r="P11" s="2704"/>
      <c r="Q11" s="2704"/>
      <c r="R11" s="2704"/>
      <c r="S11" s="2704"/>
      <c r="T11" s="2704"/>
      <c r="U11" s="2704"/>
      <c r="V11" s="2704"/>
      <c r="W11" s="2704"/>
      <c r="X11" s="2704"/>
      <c r="Y11" s="2704"/>
      <c r="Z11" s="2704"/>
    </row>
    <row r="12" spans="1:41" s="1694" customFormat="1" ht="13.5" customHeight="1">
      <c r="A12" s="404" t="s">
        <v>430</v>
      </c>
      <c r="B12" s="413" t="s">
        <v>431</v>
      </c>
      <c r="C12" s="414" t="s">
        <v>435</v>
      </c>
      <c r="D12" s="415" t="s">
        <v>436</v>
      </c>
      <c r="E12" s="415" t="s">
        <v>437</v>
      </c>
      <c r="F12" s="415" t="s">
        <v>438</v>
      </c>
      <c r="G12" s="413"/>
      <c r="H12" s="416"/>
      <c r="I12" s="416"/>
      <c r="J12" s="416"/>
      <c r="K12" s="417"/>
      <c r="L12" s="2705"/>
      <c r="M12" s="2705"/>
      <c r="N12" s="2705"/>
      <c r="O12" s="2705"/>
      <c r="P12" s="2705"/>
      <c r="Q12" s="2705"/>
      <c r="R12" s="2705"/>
      <c r="S12" s="2705"/>
      <c r="T12" s="2705"/>
      <c r="U12" s="2705"/>
      <c r="V12" s="2705"/>
      <c r="W12" s="2705"/>
      <c r="X12" s="2705"/>
      <c r="Y12" s="2705"/>
      <c r="Z12" s="2705"/>
    </row>
    <row r="13" spans="1:41" s="1723" customFormat="1" ht="13.5" customHeight="1">
      <c r="A13" s="1354" t="s">
        <v>1377</v>
      </c>
      <c r="B13" s="418" t="s">
        <v>439</v>
      </c>
      <c r="C13" s="419">
        <f ca="1">IF(B1="",'数据-取费表'!M16,INDIRECT("'数据-取费表'!M"&amp;$K$1)+INDIRECT("'数据-取费表'!t"&amp;$K$1))</f>
        <v>0</v>
      </c>
      <c r="D13" s="420"/>
      <c r="E13" s="339"/>
      <c r="F13" s="421"/>
      <c r="G13" s="413"/>
      <c r="H13" s="416"/>
      <c r="I13" s="416"/>
      <c r="J13" s="416"/>
      <c r="K13" s="417"/>
      <c r="L13" s="1724"/>
      <c r="M13" s="1724"/>
      <c r="N13" s="1724"/>
      <c r="O13" s="1724"/>
      <c r="P13" s="1724"/>
      <c r="Q13" s="1724"/>
      <c r="R13" s="1724"/>
      <c r="S13" s="1724"/>
      <c r="T13" s="1724"/>
      <c r="U13" s="1724"/>
      <c r="V13" s="1724"/>
      <c r="W13" s="1724"/>
      <c r="X13" s="1724"/>
      <c r="Y13" s="1724"/>
      <c r="Z13" s="1724"/>
    </row>
    <row r="14" spans="1:41" s="1723" customFormat="1" ht="13.5" customHeight="1">
      <c r="A14" s="1354" t="s">
        <v>1378</v>
      </c>
      <c r="B14" s="418" t="s">
        <v>440</v>
      </c>
      <c r="C14" s="49">
        <f ca="1">ROUND(C13*F14,0)</f>
        <v>0</v>
      </c>
      <c r="D14" s="420"/>
      <c r="E14" s="339"/>
      <c r="F14" s="425">
        <f>'数据-取费表'!B33</f>
        <v>0</v>
      </c>
      <c r="G14" s="413" t="s">
        <v>462</v>
      </c>
      <c r="H14" s="416"/>
      <c r="I14" s="416"/>
      <c r="J14" s="416"/>
      <c r="K14" s="417"/>
      <c r="L14" s="1724"/>
      <c r="M14" s="1724"/>
      <c r="N14" s="1724"/>
      <c r="O14" s="1724"/>
      <c r="P14" s="1724"/>
      <c r="Q14" s="1724"/>
      <c r="R14" s="1724"/>
      <c r="S14" s="1724"/>
      <c r="T14" s="1724"/>
      <c r="U14" s="1724"/>
      <c r="V14" s="1724"/>
      <c r="W14" s="1724"/>
      <c r="X14" s="1724"/>
      <c r="Y14" s="1724"/>
      <c r="Z14" s="1724"/>
    </row>
    <row r="15" spans="1:41" s="1723" customFormat="1" ht="13.5" customHeight="1">
      <c r="A15" s="1354"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4"/>
      <c r="M15" s="1724"/>
      <c r="N15" s="1724"/>
      <c r="O15" s="1724"/>
      <c r="P15" s="1724"/>
      <c r="Q15" s="1724"/>
      <c r="R15" s="1724"/>
      <c r="S15" s="1724"/>
      <c r="T15" s="1724"/>
      <c r="U15" s="1724"/>
      <c r="V15" s="1724"/>
      <c r="W15" s="1724"/>
      <c r="X15" s="1724"/>
      <c r="Y15" s="1724"/>
      <c r="Z15" s="1724"/>
    </row>
    <row r="16" spans="1:41" s="1724" customFormat="1" ht="13.5" customHeight="1">
      <c r="A16" s="1354" t="s">
        <v>1380</v>
      </c>
      <c r="B16" s="418" t="s">
        <v>444</v>
      </c>
      <c r="C16" s="49">
        <f ca="1">ROUND(D16*E16/10000,0)</f>
        <v>0</v>
      </c>
      <c r="D16" s="420">
        <f ca="1">IF(B1="",'数据-汇总表'!E3,INDIRECT("'数据-取费表'!K"&amp;$K$1)+INDIRECT("'数据-取费表'!S"&amp;$K$1))</f>
        <v>5006.88</v>
      </c>
      <c r="E16" s="49">
        <f>'数据-取费表'!B35</f>
        <v>0</v>
      </c>
      <c r="F16" s="422"/>
      <c r="G16" s="413"/>
      <c r="H16" s="416"/>
      <c r="I16" s="416"/>
      <c r="J16" s="416"/>
      <c r="K16" s="417"/>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4" t="s">
        <v>1381</v>
      </c>
      <c r="B17" s="418" t="s">
        <v>445</v>
      </c>
      <c r="C17" s="423">
        <f ca="1">ROUND(C13*F17,0)</f>
        <v>0</v>
      </c>
      <c r="D17" s="424"/>
      <c r="E17" s="423"/>
      <c r="F17" s="425">
        <f>'数据-取费表'!B36</f>
        <v>0</v>
      </c>
      <c r="G17" s="413" t="s">
        <v>462</v>
      </c>
      <c r="H17" s="426"/>
      <c r="I17" s="426"/>
      <c r="J17" s="426"/>
      <c r="K17" s="427"/>
      <c r="L17" s="1724"/>
      <c r="M17" s="1724"/>
      <c r="N17" s="1724"/>
      <c r="O17" s="1724"/>
      <c r="P17" s="1724"/>
      <c r="Q17" s="1724"/>
      <c r="R17" s="1724"/>
      <c r="S17" s="1724"/>
      <c r="T17" s="1724"/>
      <c r="U17" s="1724"/>
      <c r="V17" s="1724"/>
      <c r="W17" s="1724"/>
      <c r="X17" s="1724"/>
      <c r="Y17" s="1724"/>
      <c r="Z17" s="1724"/>
    </row>
    <row r="18" spans="1:26" s="1726" customFormat="1" ht="13.5" customHeight="1">
      <c r="A18" s="1355" t="s">
        <v>1382</v>
      </c>
      <c r="B18" s="428" t="s">
        <v>447</v>
      </c>
      <c r="C18" s="429">
        <f ca="1">SUM(C13:C17)</f>
        <v>0</v>
      </c>
      <c r="D18" s="430"/>
      <c r="E18" s="431"/>
      <c r="F18" s="431"/>
      <c r="G18" s="1128" t="s">
        <v>1780</v>
      </c>
      <c r="H18" s="416"/>
      <c r="I18" s="416"/>
      <c r="J18" s="416"/>
      <c r="K18" s="417"/>
      <c r="L18" s="2707"/>
      <c r="M18" s="2707"/>
      <c r="N18" s="2707"/>
      <c r="O18" s="2707"/>
      <c r="P18" s="2707"/>
      <c r="Q18" s="2707"/>
      <c r="R18" s="2707"/>
      <c r="S18" s="2707"/>
      <c r="T18" s="2707"/>
      <c r="U18" s="2707"/>
      <c r="V18" s="2707"/>
      <c r="W18" s="2707"/>
      <c r="X18" s="2707"/>
      <c r="Y18" s="2707"/>
      <c r="Z18" s="2707"/>
    </row>
    <row r="19" spans="1:26" s="1726" customFormat="1" ht="13.5" customHeight="1">
      <c r="A19" s="1355" t="s">
        <v>1383</v>
      </c>
      <c r="B19" s="428" t="s">
        <v>453</v>
      </c>
      <c r="C19" s="429">
        <f ca="1">ROUND(C18*F19,0)</f>
        <v>0</v>
      </c>
      <c r="D19" s="430"/>
      <c r="E19" s="431"/>
      <c r="F19" s="435">
        <f>'数据-取费表'!B37</f>
        <v>0</v>
      </c>
      <c r="G19" s="413" t="s">
        <v>463</v>
      </c>
      <c r="H19" s="416"/>
      <c r="I19" s="416"/>
      <c r="J19" s="416"/>
      <c r="K19" s="417"/>
      <c r="L19" s="2709"/>
      <c r="M19" s="2709"/>
      <c r="N19" s="2709"/>
      <c r="O19" s="2707"/>
      <c r="P19" s="2707"/>
      <c r="Q19" s="2707"/>
      <c r="R19" s="2707"/>
      <c r="S19" s="2707"/>
      <c r="T19" s="2707"/>
      <c r="U19" s="2707"/>
      <c r="V19" s="2707"/>
      <c r="W19" s="2707"/>
      <c r="X19" s="2707"/>
      <c r="Y19" s="2707"/>
      <c r="Z19" s="2707"/>
    </row>
    <row r="20" spans="1:26" s="1728" customFormat="1" ht="13.5" customHeight="1">
      <c r="A20" s="1355" t="s">
        <v>1384</v>
      </c>
      <c r="B20" s="430" t="s">
        <v>454</v>
      </c>
      <c r="C20" s="439">
        <f ca="1">ROUND(IF('数据-取费表'!B22&lt;=1,(C18+C19)*F20*'数据-取费表'!B20/2,(C18+C19)*(POWER((1+F20),'数据-取费表'!B20/2)-1)),0)</f>
        <v>0</v>
      </c>
      <c r="D20" s="431">
        <f ca="1">ROUND(((1+F20)^'数据-取费表'!B20)-1,4)</f>
        <v>0</v>
      </c>
      <c r="E20" s="431"/>
      <c r="F20" s="440">
        <f ca="1">'数据-取费表'!B40</f>
        <v>4.7500000000000001E-2</v>
      </c>
      <c r="G20" s="1128" t="str">
        <f>IF('数据-取费表'!B22&lt;=1,"单利计息。","复利计息。")&amp;"建造成本、管理费用产生的利息 / 地价及税费产生的利息。"</f>
        <v>复利计息。建造成本、管理费用产生的利息 / 地价及税费产生的利息。</v>
      </c>
      <c r="H20" s="416"/>
      <c r="I20" s="416"/>
      <c r="J20" s="416"/>
      <c r="K20" s="417"/>
      <c r="L20" s="2715" t="s">
        <v>1797</v>
      </c>
      <c r="M20" s="2716"/>
      <c r="N20" s="2716"/>
      <c r="O20" s="2716"/>
      <c r="P20" s="2716"/>
      <c r="Q20" s="2709"/>
      <c r="R20" s="2709"/>
      <c r="S20" s="2709"/>
      <c r="T20" s="2709"/>
      <c r="U20" s="2709"/>
      <c r="V20" s="2709"/>
      <c r="W20" s="2709"/>
      <c r="X20" s="2709"/>
      <c r="Y20" s="2709"/>
      <c r="Z20" s="2709"/>
    </row>
    <row r="21" spans="1:26" s="1727" customFormat="1" ht="13.5" customHeight="1">
      <c r="A21" s="1355" t="s">
        <v>2292</v>
      </c>
      <c r="B21" s="2315" t="s">
        <v>2104</v>
      </c>
      <c r="C21" s="447" t="e">
        <f ca="1">ROUND((C18+C19)*F21,0)</f>
        <v>#DIV/0!</v>
      </c>
      <c r="D21" s="2786"/>
      <c r="E21" s="431"/>
      <c r="F21" s="448" t="e">
        <f ca="1">IF(B1="",'数据-取费表'!Q16,INDIRECT("'数据-取费表'!q"&amp;$K$1))</f>
        <v>#DIV/0!</v>
      </c>
      <c r="G21" s="413"/>
      <c r="H21" s="416"/>
      <c r="I21" s="416"/>
      <c r="J21" s="416"/>
      <c r="K21" s="417"/>
      <c r="L21" s="2708"/>
      <c r="M21" s="2708"/>
      <c r="N21" s="2708"/>
      <c r="O21" s="2708"/>
      <c r="P21" s="2708"/>
      <c r="Q21" s="2708"/>
      <c r="R21" s="2708"/>
      <c r="S21" s="2708"/>
      <c r="T21" s="2708"/>
      <c r="U21" s="2708"/>
      <c r="V21" s="2708"/>
      <c r="W21" s="2708"/>
      <c r="X21" s="2708"/>
      <c r="Y21" s="2708"/>
      <c r="Z21" s="2708"/>
    </row>
    <row r="22" spans="1:26" s="1728" customFormat="1" ht="13.5" customHeight="1">
      <c r="A22" s="1355" t="s">
        <v>1388</v>
      </c>
      <c r="B22" s="445" t="s">
        <v>464</v>
      </c>
      <c r="C22" s="450"/>
      <c r="D22" s="450"/>
      <c r="E22" s="451"/>
      <c r="F22" s="2788" t="e">
        <f ca="1">IF(B1="",'数据-取费表'!N16,INDIRECT("'数据-取费表'!N"&amp;$K$1))</f>
        <v>#DIV/0!</v>
      </c>
      <c r="G22" s="413"/>
      <c r="H22" s="416"/>
      <c r="I22" s="416"/>
      <c r="J22" s="416"/>
      <c r="K22" s="417"/>
      <c r="L22" s="2709"/>
      <c r="M22" s="2709"/>
      <c r="N22" s="2709"/>
      <c r="O22" s="2709"/>
      <c r="P22" s="2709"/>
      <c r="Q22" s="2709"/>
      <c r="R22" s="2709"/>
      <c r="S22" s="2709"/>
      <c r="T22" s="2709"/>
      <c r="U22" s="2709"/>
      <c r="V22" s="2709"/>
      <c r="W22" s="2709"/>
      <c r="X22" s="2709"/>
      <c r="Y22" s="2709"/>
      <c r="Z22" s="2709"/>
    </row>
    <row r="23" spans="1:26" s="1728" customFormat="1" ht="13.5" customHeight="1" thickBot="1">
      <c r="A23" s="2789" t="s">
        <v>1389</v>
      </c>
      <c r="B23" s="2790" t="s">
        <v>2293</v>
      </c>
      <c r="C23" s="2791" t="e">
        <f ca="1">ROUND((C18+C19+C20+C21)*F22,0)</f>
        <v>#DIV/0!</v>
      </c>
      <c r="D23" s="2792"/>
      <c r="E23" s="2793"/>
      <c r="F23" s="452"/>
      <c r="G23" s="405"/>
      <c r="H23" s="2794"/>
      <c r="I23" s="2794"/>
      <c r="J23" s="2794"/>
      <c r="K23" s="2795"/>
      <c r="L23" s="2709"/>
      <c r="M23" s="2709"/>
      <c r="N23" s="2709"/>
      <c r="O23" s="2709"/>
      <c r="P23" s="2709"/>
      <c r="Q23" s="2709"/>
      <c r="R23" s="2709"/>
      <c r="S23" s="2709"/>
      <c r="T23" s="2709"/>
      <c r="U23" s="2709"/>
      <c r="V23" s="2709"/>
      <c r="W23" s="2709"/>
      <c r="X23" s="2709"/>
      <c r="Y23" s="2709"/>
      <c r="Z23" s="2709"/>
    </row>
    <row r="24" spans="1:26" s="1728" customFormat="1" ht="13.5" customHeight="1" thickBot="1">
      <c r="A24" s="3705" t="s">
        <v>1394</v>
      </c>
      <c r="B24" s="3706"/>
      <c r="C24" s="2796">
        <f>ROUND(C6*F24/(1+'数据-取费表'!B42),0)</f>
        <v>0</v>
      </c>
      <c r="D24" s="2797"/>
      <c r="E24" s="2798"/>
      <c r="F24" s="2799">
        <f>'数据-取费表'!B41</f>
        <v>0</v>
      </c>
      <c r="G24" s="2800"/>
      <c r="H24" s="2800"/>
      <c r="I24" s="2800"/>
      <c r="J24" s="2800"/>
      <c r="K24" s="2801"/>
      <c r="L24" s="2709"/>
      <c r="M24" s="2709"/>
      <c r="N24" s="2709"/>
      <c r="O24" s="2709"/>
      <c r="P24" s="2709"/>
      <c r="Q24" s="2709"/>
      <c r="R24" s="2709"/>
      <c r="S24" s="2709"/>
      <c r="T24" s="2709"/>
      <c r="U24" s="2709"/>
      <c r="V24" s="2709"/>
      <c r="W24" s="2709"/>
      <c r="X24" s="2709"/>
      <c r="Y24" s="2709"/>
      <c r="Z24" s="2709"/>
    </row>
    <row r="25" spans="1:26" s="1728" customFormat="1" ht="13.5" customHeight="1" thickBot="1">
      <c r="A25" s="3705" t="s">
        <v>2290</v>
      </c>
      <c r="B25" s="3706"/>
      <c r="C25" s="2796">
        <f>ROUND(C6*F25,0)</f>
        <v>0</v>
      </c>
      <c r="D25" s="2797"/>
      <c r="E25" s="2798"/>
      <c r="F25" s="2802">
        <f>'数据-取费表'!B38</f>
        <v>0</v>
      </c>
      <c r="G25" s="2803"/>
      <c r="H25" s="2800"/>
      <c r="I25" s="2800"/>
      <c r="J25" s="2800"/>
      <c r="K25" s="2801"/>
      <c r="L25" s="2709"/>
      <c r="M25" s="2709"/>
      <c r="N25" s="2709"/>
      <c r="O25" s="2709"/>
      <c r="P25" s="2709"/>
      <c r="Q25" s="2709"/>
      <c r="R25" s="2709"/>
      <c r="S25" s="2709"/>
      <c r="T25" s="2709"/>
      <c r="U25" s="2709"/>
      <c r="V25" s="2709"/>
      <c r="W25" s="2709"/>
      <c r="X25" s="2709"/>
      <c r="Y25" s="2709"/>
      <c r="Z25" s="2709"/>
    </row>
    <row r="26" spans="1:26" s="1733" customFormat="1" ht="13.5" customHeight="1" thickBot="1">
      <c r="A26" s="3705" t="s">
        <v>2291</v>
      </c>
      <c r="B26" s="3706"/>
      <c r="C26" s="2808"/>
      <c r="D26" s="2809"/>
      <c r="E26" s="2809"/>
      <c r="F26" s="2810">
        <f>'数据-取费表'!B48+'数据-取费表'!B49</f>
        <v>0</v>
      </c>
      <c r="G26" s="2811"/>
      <c r="H26" s="2811"/>
      <c r="I26" s="2811"/>
      <c r="J26" s="2812"/>
      <c r="K26" s="2813"/>
      <c r="L26" s="2714"/>
      <c r="M26" s="2714"/>
      <c r="N26" s="2714"/>
      <c r="O26" s="2714"/>
      <c r="P26" s="2714"/>
      <c r="Q26" s="2714"/>
      <c r="R26" s="2714"/>
      <c r="S26" s="2714"/>
      <c r="T26" s="2714"/>
      <c r="U26" s="2714"/>
      <c r="V26" s="2714"/>
      <c r="W26" s="2714"/>
      <c r="X26" s="2714"/>
      <c r="Y26" s="2714"/>
      <c r="Z26" s="2714"/>
    </row>
    <row r="27" spans="1:26" s="2787" customFormat="1" ht="13.5" customHeight="1" thickBot="1">
      <c r="A27" s="3707" t="s">
        <v>2289</v>
      </c>
      <c r="B27" s="3708"/>
      <c r="C27" s="2804" t="e">
        <f ca="1">(C6-C23-C24-C25)/((1+F26)*(1+D20+F21))</f>
        <v>#DIV/0!</v>
      </c>
      <c r="D27" s="2805"/>
      <c r="E27" s="2805"/>
      <c r="F27" s="2805"/>
      <c r="G27" s="2806" t="s">
        <v>2225</v>
      </c>
      <c r="H27" s="2805"/>
      <c r="I27" s="2805"/>
      <c r="J27" s="2805"/>
      <c r="K27" s="2807"/>
    </row>
    <row r="28" spans="1:26" s="1722" customFormat="1">
      <c r="A28" s="2712"/>
      <c r="C28" s="2713"/>
      <c r="E28" s="2712"/>
    </row>
    <row r="29" spans="1:26" s="1722" customFormat="1" ht="12.75" customHeight="1">
      <c r="A29" s="2712"/>
      <c r="C29" s="2713"/>
      <c r="E29" s="2712"/>
    </row>
    <row r="30" spans="1:26" s="1722" customFormat="1">
      <c r="A30" s="2712"/>
      <c r="C30" s="2713"/>
      <c r="E30" s="2712"/>
    </row>
    <row r="31" spans="1:26" s="1722" customFormat="1">
      <c r="A31" s="2712"/>
      <c r="C31" s="2713"/>
      <c r="E31" s="2712"/>
    </row>
    <row r="32" spans="1:26" s="1722" customFormat="1">
      <c r="A32" s="2712"/>
      <c r="C32" s="2713"/>
      <c r="E32" s="2712"/>
    </row>
    <row r="33" spans="1:5" s="1722" customFormat="1">
      <c r="A33" s="2712"/>
      <c r="C33" s="2713"/>
      <c r="E33" s="2712"/>
    </row>
    <row r="34" spans="1:5" s="1722" customFormat="1">
      <c r="A34" s="2712"/>
      <c r="C34" s="2713"/>
      <c r="E34" s="2712"/>
    </row>
    <row r="35" spans="1:5" s="1722" customFormat="1">
      <c r="A35" s="2712"/>
      <c r="C35" s="2713"/>
      <c r="E35" s="2712"/>
    </row>
    <row r="36" spans="1:5" s="1722" customFormat="1">
      <c r="A36" s="2712"/>
      <c r="C36" s="2713"/>
      <c r="E36" s="2712"/>
    </row>
    <row r="37" spans="1:5" s="1722" customFormat="1">
      <c r="A37" s="2712"/>
      <c r="C37" s="2713"/>
      <c r="E37" s="2712"/>
    </row>
    <row r="38" spans="1:5" s="1722" customFormat="1">
      <c r="A38" s="2712"/>
      <c r="C38" s="2713"/>
      <c r="E38" s="2712"/>
    </row>
    <row r="39" spans="1:5" s="1722" customFormat="1">
      <c r="A39" s="2712"/>
      <c r="C39" s="2713"/>
      <c r="E39" s="2712"/>
    </row>
    <row r="40" spans="1:5" s="1722" customFormat="1">
      <c r="A40" s="2712"/>
      <c r="C40" s="2713"/>
      <c r="E40" s="2712"/>
    </row>
    <row r="41" spans="1:5" s="1722" customFormat="1">
      <c r="A41" s="2712"/>
      <c r="C41" s="2713"/>
      <c r="E41" s="2712"/>
    </row>
    <row r="42" spans="1:5" s="1722" customFormat="1">
      <c r="A42" s="2712"/>
      <c r="C42" s="2713"/>
      <c r="E42" s="2712"/>
    </row>
    <row r="43" spans="1:5" s="1722" customFormat="1">
      <c r="A43" s="2712"/>
      <c r="C43" s="2713"/>
      <c r="E43" s="2712"/>
    </row>
    <row r="44" spans="1:5" s="1722" customFormat="1">
      <c r="A44" s="2712"/>
      <c r="C44" s="2713"/>
      <c r="E44" s="2712"/>
    </row>
    <row r="45" spans="1:5" s="1722" customFormat="1">
      <c r="A45" s="2712"/>
      <c r="C45" s="2713"/>
      <c r="E45" s="2712"/>
    </row>
    <row r="46" spans="1:5" s="1722" customFormat="1">
      <c r="A46" s="2712"/>
      <c r="C46" s="2713"/>
      <c r="E46" s="2712"/>
    </row>
    <row r="47" spans="1:5" s="1722" customFormat="1">
      <c r="A47" s="2712"/>
      <c r="C47" s="2713"/>
      <c r="E47" s="2712"/>
    </row>
    <row r="48" spans="1:5" s="1722" customFormat="1">
      <c r="A48" s="2712"/>
      <c r="C48" s="2713"/>
      <c r="E48" s="2712"/>
    </row>
    <row r="49" spans="1:5" s="1722" customFormat="1">
      <c r="A49" s="2712"/>
      <c r="C49" s="2713"/>
      <c r="E49" s="2712"/>
    </row>
    <row r="50" spans="1:5" s="1722" customFormat="1">
      <c r="A50" s="2712"/>
      <c r="C50" s="2713"/>
      <c r="E50" s="2712"/>
    </row>
    <row r="51" spans="1:5" s="1722" customFormat="1">
      <c r="A51" s="2712"/>
      <c r="C51" s="2713"/>
      <c r="E51" s="2712"/>
    </row>
    <row r="52" spans="1:5" s="1722" customFormat="1">
      <c r="A52" s="2712"/>
      <c r="C52" s="2713"/>
      <c r="E52" s="2712"/>
    </row>
    <row r="53" spans="1:5" s="1722" customFormat="1">
      <c r="A53" s="2712"/>
      <c r="C53" s="2713"/>
      <c r="E53" s="2712"/>
    </row>
    <row r="54" spans="1:5" s="1722" customFormat="1">
      <c r="A54" s="2712"/>
      <c r="C54" s="2713"/>
      <c r="E54" s="2712"/>
    </row>
    <row r="55" spans="1:5" s="1722" customFormat="1">
      <c r="A55" s="2712"/>
      <c r="C55" s="2713"/>
      <c r="E55" s="2712"/>
    </row>
    <row r="56" spans="1:5" s="1722" customFormat="1">
      <c r="A56" s="2712"/>
      <c r="C56" s="2713"/>
      <c r="E56" s="2712"/>
    </row>
    <row r="57" spans="1:5" s="1722" customFormat="1">
      <c r="A57" s="2712"/>
      <c r="C57" s="2713"/>
      <c r="E57" s="2712"/>
    </row>
    <row r="58" spans="1:5" s="1722" customFormat="1">
      <c r="A58" s="2712"/>
      <c r="C58" s="2713"/>
      <c r="E58" s="2712"/>
    </row>
    <row r="59" spans="1:5" s="1722" customFormat="1">
      <c r="A59" s="2712"/>
      <c r="C59" s="2713"/>
      <c r="E59" s="2712"/>
    </row>
    <row r="60" spans="1:5" s="1722" customFormat="1">
      <c r="A60" s="2712"/>
      <c r="C60" s="2713"/>
      <c r="E60" s="2712"/>
    </row>
    <row r="61" spans="1:5" s="1722" customFormat="1">
      <c r="A61" s="2712"/>
      <c r="C61" s="2713"/>
      <c r="E61" s="2712"/>
    </row>
    <row r="62" spans="1:5" s="1722" customFormat="1">
      <c r="A62" s="2712"/>
      <c r="C62" s="2713"/>
      <c r="E62" s="2712"/>
    </row>
    <row r="63" spans="1:5" s="1722" customFormat="1">
      <c r="A63" s="2712"/>
      <c r="C63" s="2713"/>
      <c r="E63" s="2712"/>
    </row>
    <row r="64" spans="1:5" s="1722" customFormat="1">
      <c r="A64" s="2712"/>
      <c r="C64" s="2713"/>
      <c r="E64" s="2712"/>
    </row>
    <row r="65" spans="1:5" s="1722" customFormat="1">
      <c r="A65" s="2712"/>
      <c r="C65" s="2713"/>
      <c r="E65" s="2712"/>
    </row>
    <row r="66" spans="1:5" s="1722" customFormat="1">
      <c r="A66" s="2712"/>
      <c r="C66" s="2713"/>
      <c r="E66" s="2712"/>
    </row>
    <row r="67" spans="1:5" s="1722" customFormat="1">
      <c r="A67" s="2712"/>
      <c r="C67" s="2713"/>
      <c r="E67" s="2712"/>
    </row>
    <row r="68" spans="1:5" s="1722" customFormat="1">
      <c r="A68" s="2712"/>
      <c r="C68" s="2713"/>
      <c r="E68" s="2712"/>
    </row>
    <row r="69" spans="1:5" s="1722" customFormat="1">
      <c r="A69" s="2712"/>
      <c r="C69" s="2713"/>
      <c r="E69" s="2712"/>
    </row>
    <row r="70" spans="1:5" s="1722" customFormat="1">
      <c r="A70" s="2712"/>
      <c r="C70" s="2713"/>
      <c r="E70" s="2712"/>
    </row>
    <row r="71" spans="1:5" s="1722" customFormat="1">
      <c r="A71" s="2712"/>
      <c r="C71" s="2713"/>
      <c r="E71" s="2712"/>
    </row>
    <row r="72" spans="1:5" s="1722" customFormat="1">
      <c r="A72" s="2712"/>
      <c r="C72" s="2713"/>
      <c r="E72" s="2712"/>
    </row>
    <row r="73" spans="1:5" s="1722" customFormat="1">
      <c r="A73" s="2712"/>
      <c r="C73" s="2713"/>
      <c r="E73" s="2712"/>
    </row>
    <row r="74" spans="1:5" s="1722" customFormat="1">
      <c r="A74" s="2712"/>
      <c r="C74" s="2713"/>
      <c r="E74" s="2712"/>
    </row>
    <row r="75" spans="1:5" s="1722" customFormat="1">
      <c r="A75" s="2712"/>
      <c r="C75" s="2713"/>
      <c r="E75" s="2712"/>
    </row>
    <row r="76" spans="1:5" s="1722" customFormat="1">
      <c r="A76" s="2712"/>
      <c r="C76" s="2713"/>
      <c r="E76" s="2712"/>
    </row>
    <row r="77" spans="1:5" s="1722" customFormat="1">
      <c r="A77" s="2712"/>
      <c r="C77" s="2713"/>
      <c r="E77" s="2712"/>
    </row>
    <row r="78" spans="1:5" s="1722" customFormat="1">
      <c r="A78" s="2712"/>
      <c r="C78" s="2713"/>
      <c r="E78" s="2712"/>
    </row>
    <row r="79" spans="1:5" s="1722" customFormat="1">
      <c r="A79" s="2712"/>
      <c r="C79" s="2713"/>
      <c r="E79" s="2712"/>
    </row>
    <row r="80" spans="1:5" s="1722" customFormat="1">
      <c r="A80" s="2712"/>
      <c r="C80" s="2713"/>
      <c r="E80" s="2712"/>
    </row>
    <row r="81" spans="1:5" s="1722" customFormat="1">
      <c r="A81" s="2712"/>
      <c r="C81" s="2713"/>
      <c r="E81" s="2712"/>
    </row>
    <row r="82" spans="1:5" s="1722" customFormat="1">
      <c r="A82" s="2712"/>
      <c r="C82" s="2713"/>
      <c r="E82" s="2712"/>
    </row>
    <row r="83" spans="1:5" s="1722" customFormat="1">
      <c r="A83" s="2712"/>
      <c r="C83" s="2713"/>
      <c r="E83" s="2712"/>
    </row>
    <row r="84" spans="1:5" s="1722" customFormat="1">
      <c r="A84" s="2712"/>
      <c r="C84" s="2713"/>
      <c r="E84" s="2712"/>
    </row>
    <row r="85" spans="1:5" s="1722" customFormat="1">
      <c r="A85" s="2712"/>
      <c r="C85" s="2713"/>
      <c r="E85" s="2712"/>
    </row>
    <row r="86" spans="1:5" s="1722" customFormat="1">
      <c r="A86" s="2712"/>
      <c r="C86" s="2713"/>
      <c r="E86" s="2712"/>
    </row>
    <row r="87" spans="1:5" s="1722" customFormat="1">
      <c r="A87" s="2712"/>
      <c r="C87" s="2713"/>
      <c r="E87" s="2712"/>
    </row>
    <row r="88" spans="1:5" s="1722" customFormat="1">
      <c r="A88" s="2712"/>
      <c r="C88" s="2713"/>
      <c r="E88" s="2712"/>
    </row>
    <row r="89" spans="1:5" s="1722" customFormat="1">
      <c r="A89" s="2712"/>
      <c r="C89" s="2713"/>
      <c r="E89" s="2712"/>
    </row>
    <row r="90" spans="1:5" s="1722" customFormat="1">
      <c r="A90" s="2712"/>
      <c r="C90" s="2713"/>
      <c r="E90" s="2712"/>
    </row>
    <row r="91" spans="1:5" s="1722" customFormat="1">
      <c r="A91" s="2712"/>
      <c r="C91" s="2713"/>
      <c r="E91" s="2712"/>
    </row>
    <row r="92" spans="1:5" s="1722" customFormat="1">
      <c r="A92" s="2712"/>
      <c r="C92" s="2713"/>
      <c r="E92" s="2712"/>
    </row>
    <row r="93" spans="1:5" s="1722" customFormat="1">
      <c r="A93" s="2712"/>
      <c r="C93" s="2713"/>
      <c r="E93" s="2712"/>
    </row>
    <row r="94" spans="1:5" s="1722" customFormat="1">
      <c r="A94" s="2712"/>
      <c r="C94" s="2713"/>
      <c r="E94" s="2712"/>
    </row>
    <row r="95" spans="1:5" s="1722" customFormat="1">
      <c r="A95" s="2712"/>
      <c r="C95" s="2713"/>
      <c r="E95" s="2712"/>
    </row>
    <row r="96" spans="1:5" s="1722" customFormat="1">
      <c r="A96" s="2712"/>
      <c r="C96" s="2713"/>
      <c r="E96" s="2712"/>
    </row>
    <row r="97" spans="1:5" s="1722" customFormat="1">
      <c r="A97" s="2712"/>
      <c r="C97" s="2713"/>
      <c r="E97" s="2712"/>
    </row>
    <row r="98" spans="1:5" s="1722" customFormat="1">
      <c r="A98" s="2712"/>
      <c r="C98" s="2713"/>
      <c r="E98" s="2712"/>
    </row>
    <row r="99" spans="1:5" s="1722" customFormat="1">
      <c r="A99" s="2712"/>
      <c r="C99" s="2713"/>
      <c r="E99" s="2712"/>
    </row>
    <row r="100" spans="1:5" s="1722" customFormat="1">
      <c r="A100" s="2712"/>
      <c r="C100" s="2713"/>
      <c r="E100" s="2712"/>
    </row>
    <row r="101" spans="1:5" s="1722" customFormat="1">
      <c r="A101" s="2712"/>
      <c r="C101" s="2713"/>
      <c r="E101" s="2712"/>
    </row>
    <row r="102" spans="1:5" s="1722" customFormat="1">
      <c r="A102" s="2712"/>
      <c r="C102" s="2713"/>
      <c r="E102" s="2712"/>
    </row>
    <row r="103" spans="1:5" s="1722" customFormat="1">
      <c r="A103" s="2712"/>
      <c r="C103" s="2713"/>
      <c r="E103" s="2712"/>
    </row>
    <row r="104" spans="1:5" s="1722" customFormat="1">
      <c r="A104" s="2712"/>
      <c r="C104" s="2713"/>
      <c r="E104" s="2712"/>
    </row>
    <row r="105" spans="1:5" s="1722" customFormat="1">
      <c r="A105" s="2712"/>
      <c r="C105" s="2713"/>
      <c r="E105" s="2712"/>
    </row>
    <row r="106" spans="1:5" s="1722" customFormat="1">
      <c r="A106" s="2712"/>
      <c r="C106" s="2713"/>
      <c r="E106" s="2712"/>
    </row>
    <row r="107" spans="1:5" s="1722" customFormat="1">
      <c r="A107" s="2712"/>
      <c r="C107" s="2713"/>
      <c r="E107" s="2712"/>
    </row>
    <row r="108" spans="1:5" s="1722" customFormat="1">
      <c r="A108" s="2712"/>
      <c r="C108" s="2713"/>
      <c r="E108" s="2712"/>
    </row>
    <row r="109" spans="1:5" s="1722" customFormat="1">
      <c r="A109" s="2712"/>
      <c r="C109" s="2713"/>
      <c r="E109" s="2712"/>
    </row>
    <row r="110" spans="1:5" s="1722" customFormat="1">
      <c r="A110" s="2712"/>
      <c r="C110" s="2713"/>
      <c r="E110" s="2712"/>
    </row>
    <row r="111" spans="1:5" s="1722" customFormat="1">
      <c r="A111" s="2712"/>
      <c r="C111" s="2713"/>
      <c r="E111" s="2712"/>
    </row>
    <row r="112" spans="1:5" s="1722" customFormat="1">
      <c r="A112" s="2712"/>
      <c r="C112" s="2713"/>
      <c r="E112" s="2712"/>
    </row>
    <row r="113" spans="1:5" s="1722" customFormat="1">
      <c r="A113" s="2712"/>
      <c r="C113" s="2713"/>
      <c r="E113" s="2712"/>
    </row>
    <row r="114" spans="1:5" s="1722" customFormat="1">
      <c r="A114" s="2712"/>
      <c r="C114" s="2713"/>
      <c r="E114" s="2712"/>
    </row>
    <row r="115" spans="1:5" s="1722" customFormat="1">
      <c r="A115" s="2712"/>
      <c r="C115" s="2713"/>
      <c r="E115" s="2712"/>
    </row>
    <row r="116" spans="1:5" s="1722" customFormat="1">
      <c r="A116" s="2712"/>
      <c r="C116" s="2713"/>
      <c r="E116" s="2712"/>
    </row>
    <row r="117" spans="1:5" s="1722" customFormat="1">
      <c r="A117" s="2712"/>
      <c r="C117" s="2713"/>
      <c r="E117" s="2712"/>
    </row>
    <row r="118" spans="1:5" s="1722" customFormat="1">
      <c r="A118" s="2712"/>
      <c r="C118" s="2713"/>
      <c r="E118" s="2712"/>
    </row>
    <row r="119" spans="1:5" s="1722" customFormat="1">
      <c r="A119" s="2712"/>
      <c r="C119" s="2713"/>
      <c r="E119" s="2712"/>
    </row>
    <row r="120" spans="1:5" s="1722" customFormat="1">
      <c r="A120" s="2712"/>
      <c r="C120" s="2713"/>
      <c r="E120" s="2712"/>
    </row>
    <row r="121" spans="1:5" s="1722" customFormat="1">
      <c r="A121" s="2712"/>
      <c r="C121" s="2713"/>
      <c r="E121" s="2712"/>
    </row>
    <row r="122" spans="1:5" s="1722" customFormat="1">
      <c r="A122" s="2712"/>
      <c r="C122" s="2713"/>
      <c r="E122" s="2712"/>
    </row>
    <row r="123" spans="1:5" s="1722" customFormat="1">
      <c r="A123" s="2712"/>
      <c r="C123" s="2713"/>
      <c r="E123" s="2712"/>
    </row>
    <row r="124" spans="1:5" s="1722" customFormat="1">
      <c r="A124" s="2712"/>
      <c r="C124" s="2713"/>
      <c r="E124" s="2712"/>
    </row>
    <row r="125" spans="1:5" s="1722" customFormat="1">
      <c r="A125" s="2712"/>
      <c r="C125" s="2713"/>
      <c r="E125" s="2712"/>
    </row>
    <row r="126" spans="1:5" s="1722" customFormat="1">
      <c r="A126" s="2712"/>
      <c r="C126" s="2713"/>
      <c r="E126" s="2712"/>
    </row>
    <row r="127" spans="1:5" s="1722" customFormat="1">
      <c r="A127" s="2712"/>
      <c r="C127" s="2713"/>
      <c r="E127" s="2712"/>
    </row>
    <row r="128" spans="1:5" s="1722" customFormat="1">
      <c r="A128" s="2712"/>
      <c r="C128" s="2713"/>
      <c r="E128" s="2712"/>
    </row>
    <row r="129" spans="1:5" s="1722" customFormat="1">
      <c r="A129" s="2712"/>
      <c r="C129" s="2713"/>
      <c r="E129" s="2712"/>
    </row>
    <row r="130" spans="1:5" s="1722" customFormat="1">
      <c r="A130" s="2712"/>
      <c r="C130" s="2713"/>
      <c r="E130" s="2712"/>
    </row>
    <row r="131" spans="1:5" s="1722" customFormat="1">
      <c r="A131" s="2712"/>
      <c r="C131" s="2713"/>
      <c r="E131" s="2712"/>
    </row>
    <row r="132" spans="1:5" s="1722" customFormat="1">
      <c r="A132" s="2712"/>
      <c r="C132" s="2713"/>
      <c r="E132" s="2712"/>
    </row>
    <row r="133" spans="1:5" s="1722" customFormat="1">
      <c r="A133" s="2712"/>
      <c r="C133" s="2713"/>
      <c r="E133" s="2712"/>
    </row>
    <row r="134" spans="1:5" s="1722" customFormat="1">
      <c r="A134" s="2712"/>
      <c r="C134" s="2713"/>
      <c r="E134" s="2712"/>
    </row>
    <row r="135" spans="1:5" s="1722" customFormat="1">
      <c r="A135" s="2712"/>
      <c r="C135" s="2713"/>
      <c r="E135" s="2712"/>
    </row>
    <row r="136" spans="1:5" s="1722" customFormat="1">
      <c r="A136" s="2712"/>
      <c r="C136" s="2713"/>
      <c r="E136" s="2712"/>
    </row>
    <row r="137" spans="1:5" s="1722" customFormat="1">
      <c r="A137" s="2712"/>
      <c r="C137" s="2713"/>
      <c r="E137" s="2712"/>
    </row>
    <row r="138" spans="1:5" s="1722" customFormat="1">
      <c r="A138" s="2712"/>
      <c r="C138" s="2713"/>
      <c r="E138" s="2712"/>
    </row>
    <row r="139" spans="1:5" s="1722" customFormat="1">
      <c r="A139" s="2712"/>
      <c r="C139" s="2713"/>
      <c r="E139" s="2712"/>
    </row>
    <row r="140" spans="1:5" s="1722" customFormat="1">
      <c r="A140" s="2712"/>
      <c r="C140" s="2713"/>
      <c r="E140" s="2712"/>
    </row>
    <row r="141" spans="1:5" s="1722" customFormat="1">
      <c r="A141" s="2712"/>
      <c r="C141" s="2713"/>
      <c r="E141" s="2712"/>
    </row>
    <row r="142" spans="1:5" s="1722" customFormat="1">
      <c r="A142" s="2712"/>
      <c r="C142" s="2713"/>
      <c r="E142" s="2712"/>
    </row>
    <row r="143" spans="1:5" s="1722" customFormat="1">
      <c r="A143" s="2712"/>
      <c r="C143" s="2713"/>
      <c r="E143" s="2712"/>
    </row>
    <row r="144" spans="1:5" s="1722" customFormat="1">
      <c r="A144" s="2712"/>
      <c r="C144" s="2713"/>
      <c r="E144" s="2712"/>
    </row>
    <row r="145" spans="1:5" s="1722" customFormat="1">
      <c r="A145" s="2712"/>
      <c r="C145" s="2713"/>
      <c r="E145" s="2712"/>
    </row>
    <row r="146" spans="1:5" s="1722" customFormat="1">
      <c r="A146" s="2712"/>
      <c r="C146" s="2713"/>
      <c r="E146" s="2712"/>
    </row>
    <row r="147" spans="1:5" s="1722" customFormat="1">
      <c r="A147" s="2712"/>
      <c r="C147" s="2713"/>
      <c r="E147" s="2712"/>
    </row>
    <row r="148" spans="1:5" s="1722" customFormat="1">
      <c r="A148" s="2712"/>
      <c r="C148" s="2713"/>
      <c r="E148" s="2712"/>
    </row>
    <row r="149" spans="1:5" s="1722" customFormat="1">
      <c r="A149" s="2712"/>
      <c r="C149" s="2713"/>
      <c r="E149" s="2712"/>
    </row>
    <row r="150" spans="1:5" s="1722" customFormat="1">
      <c r="A150" s="2712"/>
      <c r="C150" s="2713"/>
      <c r="E150" s="2712"/>
    </row>
    <row r="151" spans="1:5" s="1722" customFormat="1">
      <c r="A151" s="2712"/>
      <c r="C151" s="2713"/>
      <c r="E151" s="2712"/>
    </row>
    <row r="152" spans="1:5" s="1722" customFormat="1">
      <c r="A152" s="2712"/>
      <c r="C152" s="2713"/>
      <c r="E152" s="2712"/>
    </row>
    <row r="153" spans="1:5" s="1722" customFormat="1">
      <c r="A153" s="2712"/>
      <c r="C153" s="2713"/>
      <c r="E153" s="2712"/>
    </row>
    <row r="154" spans="1:5" s="1722" customFormat="1">
      <c r="A154" s="2712"/>
      <c r="C154" s="2713"/>
      <c r="E154" s="2712"/>
    </row>
    <row r="155" spans="1:5" s="1722" customFormat="1">
      <c r="A155" s="2712"/>
      <c r="C155" s="2713"/>
      <c r="E155" s="2712"/>
    </row>
    <row r="156" spans="1:5" s="1722" customFormat="1">
      <c r="A156" s="2712"/>
      <c r="C156" s="2713"/>
      <c r="E156" s="2712"/>
    </row>
    <row r="157" spans="1:5" s="1722" customFormat="1">
      <c r="A157" s="2712"/>
      <c r="C157" s="2713"/>
      <c r="E157" s="2712"/>
    </row>
    <row r="158" spans="1:5" s="1722" customFormat="1">
      <c r="A158" s="2712"/>
      <c r="C158" s="2713"/>
      <c r="E158" s="2712"/>
    </row>
    <row r="159" spans="1:5" s="1722" customFormat="1">
      <c r="A159" s="2712"/>
      <c r="C159" s="2713"/>
      <c r="E159" s="2712"/>
    </row>
    <row r="160" spans="1:5" s="1722" customFormat="1">
      <c r="A160" s="2712"/>
      <c r="C160" s="2713"/>
      <c r="E160" s="2712"/>
    </row>
    <row r="161" spans="1:5" s="1722" customFormat="1">
      <c r="A161" s="2712"/>
      <c r="C161" s="2713"/>
      <c r="E161" s="2712"/>
    </row>
    <row r="162" spans="1:5" s="1722" customFormat="1">
      <c r="A162" s="2712"/>
      <c r="C162" s="2713"/>
      <c r="E162" s="2712"/>
    </row>
    <row r="163" spans="1:5" s="1722" customFormat="1">
      <c r="A163" s="2712"/>
      <c r="C163" s="2713"/>
      <c r="E163" s="2712"/>
    </row>
    <row r="164" spans="1:5" s="1722" customFormat="1">
      <c r="A164" s="2712"/>
      <c r="C164" s="2713"/>
      <c r="E164" s="2712"/>
    </row>
    <row r="165" spans="1:5" s="1722" customFormat="1">
      <c r="A165" s="2712"/>
      <c r="C165" s="2713"/>
      <c r="E165" s="2712"/>
    </row>
    <row r="166" spans="1:5" s="1722" customFormat="1">
      <c r="A166" s="2712"/>
      <c r="C166" s="2713"/>
      <c r="E166" s="2712"/>
    </row>
    <row r="167" spans="1:5" s="1722" customFormat="1">
      <c r="A167" s="2712"/>
      <c r="C167" s="2713"/>
      <c r="E167" s="2712"/>
    </row>
    <row r="168" spans="1:5" s="1722" customFormat="1">
      <c r="A168" s="2712"/>
      <c r="C168" s="2713"/>
      <c r="E168" s="2712"/>
    </row>
    <row r="169" spans="1:5" s="1722" customFormat="1">
      <c r="A169" s="2712"/>
      <c r="C169" s="2713"/>
      <c r="E169" s="2712"/>
    </row>
    <row r="170" spans="1:5" s="1722" customFormat="1">
      <c r="A170" s="2712"/>
      <c r="C170" s="2713"/>
      <c r="E170" s="2712"/>
    </row>
    <row r="171" spans="1:5" s="1722" customFormat="1">
      <c r="A171" s="2712"/>
      <c r="C171" s="2713"/>
      <c r="E171" s="2712"/>
    </row>
    <row r="172" spans="1:5" s="1722" customFormat="1">
      <c r="A172" s="2712"/>
      <c r="C172" s="2713"/>
      <c r="E172" s="2712"/>
    </row>
    <row r="173" spans="1:5" s="1722" customFormat="1">
      <c r="A173" s="2712"/>
      <c r="C173" s="2713"/>
      <c r="E173" s="2712"/>
    </row>
    <row r="174" spans="1:5" s="1722" customFormat="1">
      <c r="A174" s="2712"/>
      <c r="C174" s="2713"/>
      <c r="E174" s="2712"/>
    </row>
    <row r="175" spans="1:5" s="1722" customFormat="1">
      <c r="A175" s="2712"/>
      <c r="C175" s="2713"/>
      <c r="E175" s="2712"/>
    </row>
    <row r="176" spans="1:5" s="1722" customFormat="1">
      <c r="A176" s="2712"/>
      <c r="C176" s="2713"/>
      <c r="E176" s="2712"/>
    </row>
    <row r="177" spans="1:5" s="1722" customFormat="1">
      <c r="A177" s="2712"/>
      <c r="C177" s="2713"/>
      <c r="E177" s="2712"/>
    </row>
    <row r="178" spans="1:5" s="1722" customFormat="1">
      <c r="A178" s="2712"/>
      <c r="C178" s="2713"/>
      <c r="E178" s="2712"/>
    </row>
    <row r="179" spans="1:5" s="1722" customFormat="1">
      <c r="A179" s="2712"/>
      <c r="C179" s="2713"/>
      <c r="E179" s="2712"/>
    </row>
    <row r="180" spans="1:5" s="1722" customFormat="1">
      <c r="A180" s="2712"/>
      <c r="C180" s="2713"/>
      <c r="E180" s="2712"/>
    </row>
    <row r="181" spans="1:5" s="1722" customFormat="1">
      <c r="A181" s="2712"/>
      <c r="C181" s="2713"/>
      <c r="E181" s="2712"/>
    </row>
    <row r="182" spans="1:5" s="1722" customFormat="1">
      <c r="A182" s="2712"/>
      <c r="C182" s="2713"/>
      <c r="E182" s="2712"/>
    </row>
    <row r="183" spans="1:5" s="1722" customFormat="1">
      <c r="A183" s="2712"/>
      <c r="C183" s="2713"/>
      <c r="E183" s="2712"/>
    </row>
    <row r="184" spans="1:5" s="1722" customFormat="1">
      <c r="A184" s="2712"/>
      <c r="C184" s="2713"/>
      <c r="E184" s="2712"/>
    </row>
    <row r="185" spans="1:5" s="1722" customFormat="1">
      <c r="A185" s="2712"/>
      <c r="C185" s="2713"/>
      <c r="E185" s="2712"/>
    </row>
    <row r="186" spans="1:5" s="1722" customFormat="1">
      <c r="A186" s="2712"/>
      <c r="C186" s="2713"/>
      <c r="E186" s="2712"/>
    </row>
    <row r="187" spans="1:5" s="1722" customFormat="1">
      <c r="A187" s="2712"/>
      <c r="C187" s="2713"/>
      <c r="E187" s="2712"/>
    </row>
    <row r="188" spans="1:5" s="1722" customFormat="1">
      <c r="A188" s="2712"/>
      <c r="C188" s="2713"/>
      <c r="E188" s="2712"/>
    </row>
    <row r="189" spans="1:5" s="1722" customFormat="1">
      <c r="A189" s="2712"/>
      <c r="C189" s="2713"/>
      <c r="E189" s="2712"/>
    </row>
    <row r="190" spans="1:5" s="1722" customFormat="1">
      <c r="A190" s="2712"/>
      <c r="C190" s="2713"/>
      <c r="E190" s="2712"/>
    </row>
    <row r="191" spans="1:5" s="1722" customFormat="1">
      <c r="A191" s="2712"/>
      <c r="C191" s="2713"/>
      <c r="E191" s="2712"/>
    </row>
    <row r="192" spans="1:5" s="1722" customFormat="1">
      <c r="A192" s="2712"/>
      <c r="C192" s="2713"/>
      <c r="E192" s="2712"/>
    </row>
    <row r="193" spans="1:5" s="1722" customFormat="1">
      <c r="A193" s="2712"/>
      <c r="C193" s="2713"/>
      <c r="E193" s="2712"/>
    </row>
    <row r="194" spans="1:5" s="1722" customFormat="1">
      <c r="A194" s="2712"/>
      <c r="C194" s="2713"/>
      <c r="E194" s="2712"/>
    </row>
    <row r="195" spans="1:5" s="1722" customFormat="1">
      <c r="A195" s="2712"/>
      <c r="C195" s="2713"/>
      <c r="E195" s="2712"/>
    </row>
    <row r="196" spans="1:5" s="1722" customFormat="1">
      <c r="A196" s="2712"/>
      <c r="C196" s="2713"/>
      <c r="E196" s="2712"/>
    </row>
    <row r="197" spans="1:5" s="1722" customFormat="1">
      <c r="A197" s="2712"/>
      <c r="C197" s="2713"/>
      <c r="E197" s="2712"/>
    </row>
    <row r="198" spans="1:5" s="1722" customFormat="1">
      <c r="A198" s="2712"/>
      <c r="C198" s="2713"/>
      <c r="E198" s="2712"/>
    </row>
    <row r="199" spans="1:5" s="1722" customFormat="1">
      <c r="A199" s="2712"/>
      <c r="C199" s="2713"/>
      <c r="E199" s="2712"/>
    </row>
    <row r="200" spans="1:5" s="1722" customFormat="1">
      <c r="A200" s="2712"/>
      <c r="C200" s="2713"/>
      <c r="E200" s="2712"/>
    </row>
    <row r="201" spans="1:5" s="1722" customFormat="1">
      <c r="A201" s="2712"/>
      <c r="C201" s="2713"/>
      <c r="E201" s="2712"/>
    </row>
    <row r="202" spans="1:5" s="1722" customFormat="1">
      <c r="A202" s="2712"/>
      <c r="C202" s="2713"/>
      <c r="E202" s="2712"/>
    </row>
    <row r="203" spans="1:5" s="1722" customFormat="1">
      <c r="A203" s="2712"/>
      <c r="C203" s="2713"/>
      <c r="E203" s="2712"/>
    </row>
    <row r="204" spans="1:5" s="1722" customFormat="1">
      <c r="A204" s="2712"/>
      <c r="C204" s="2713"/>
      <c r="E204" s="2712"/>
    </row>
    <row r="205" spans="1:5" s="1722" customFormat="1">
      <c r="A205" s="2712"/>
      <c r="C205" s="2713"/>
      <c r="E205" s="2712"/>
    </row>
    <row r="206" spans="1:5" s="1722" customFormat="1">
      <c r="A206" s="2712"/>
      <c r="C206" s="2713"/>
      <c r="E206" s="2712"/>
    </row>
    <row r="207" spans="1:5" s="1722" customFormat="1">
      <c r="A207" s="2712"/>
      <c r="C207" s="2713"/>
      <c r="E207" s="2712"/>
    </row>
    <row r="208" spans="1:5" s="1722" customFormat="1">
      <c r="A208" s="2712"/>
      <c r="C208" s="2713"/>
      <c r="E208" s="2712"/>
    </row>
    <row r="209" spans="1:5" s="1722" customFormat="1">
      <c r="A209" s="2712"/>
      <c r="C209" s="2713"/>
      <c r="E209" s="2712"/>
    </row>
    <row r="210" spans="1:5" s="1722" customFormat="1">
      <c r="A210" s="2712"/>
      <c r="C210" s="2713"/>
      <c r="E210" s="2712"/>
    </row>
    <row r="211" spans="1:5" s="1722" customFormat="1">
      <c r="A211" s="2712"/>
      <c r="C211" s="2713"/>
      <c r="E211" s="271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3" customWidth="1"/>
    <col min="2" max="2" width="10.625" style="1373" customWidth="1"/>
    <col min="3" max="4" width="11.625" style="1373" customWidth="1"/>
    <col min="5" max="5" width="6.625" style="1373" customWidth="1"/>
    <col min="6" max="16384" width="9" style="1373"/>
  </cols>
  <sheetData>
    <row r="36" spans="1:9">
      <c r="A36" s="1372" t="s">
        <v>1425</v>
      </c>
      <c r="B36" s="1372" t="s">
        <v>1426</v>
      </c>
    </row>
    <row r="37" spans="1:9" ht="28.5" customHeight="1">
      <c r="A37" s="1372"/>
      <c r="B37" s="3536" t="str">
        <f>项目基本情况!B1</f>
        <v>北京市丰台区大红门西后街甲1号“鸿都国际轻纺城”项目划拨国有建设用地使用权市场价格预评估</v>
      </c>
      <c r="C37" s="3536"/>
      <c r="D37" s="3536"/>
      <c r="E37" s="3536"/>
      <c r="F37" s="3536"/>
      <c r="G37" s="3536"/>
      <c r="H37" s="3536"/>
      <c r="I37" s="3536"/>
    </row>
    <row r="38" spans="1:9">
      <c r="A38" s="1374"/>
      <c r="B38" s="1374"/>
    </row>
    <row r="39" spans="1:9">
      <c r="A39" s="1372" t="s">
        <v>1425</v>
      </c>
      <c r="B39" s="1372" t="s">
        <v>1562</v>
      </c>
    </row>
    <row r="40" spans="1:9">
      <c r="A40" s="1372"/>
      <c r="B40" s="1372">
        <f>项目基本情况!B5</f>
        <v>0</v>
      </c>
    </row>
    <row r="41" spans="1:9">
      <c r="A41" s="1372"/>
      <c r="B41" s="1372"/>
    </row>
    <row r="42" spans="1:9">
      <c r="A42" s="1372" t="s">
        <v>1425</v>
      </c>
      <c r="B42" s="1372" t="s">
        <v>1563</v>
      </c>
    </row>
    <row r="43" spans="1:9">
      <c r="A43" s="1372"/>
      <c r="B43" s="1372" t="s">
        <v>1427</v>
      </c>
    </row>
    <row r="44" spans="1:9">
      <c r="A44" s="1372"/>
      <c r="B44" s="1372"/>
    </row>
    <row r="45" spans="1:9">
      <c r="A45" s="1372" t="s">
        <v>1425</v>
      </c>
      <c r="B45" s="1372" t="s">
        <v>1561</v>
      </c>
    </row>
    <row r="46" spans="1:9" s="1372" customFormat="1" ht="12.75">
      <c r="B46" s="1372" t="str">
        <f>项目基本情况!K4</f>
        <v>郑燚、土地估价师</v>
      </c>
    </row>
    <row r="47" spans="1:9">
      <c r="A47" s="1372"/>
      <c r="B47" s="1372"/>
    </row>
    <row r="48" spans="1:9">
      <c r="A48" s="1372" t="s">
        <v>1425</v>
      </c>
      <c r="B48" s="1372" t="s">
        <v>1564</v>
      </c>
    </row>
    <row r="49" spans="2:2">
      <c r="B49" s="137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22" zoomScale="60" zoomScaleNormal="95" workbookViewId="0">
      <selection activeCell="F40" sqref="F40"/>
    </sheetView>
  </sheetViews>
  <sheetFormatPr defaultColWidth="9" defaultRowHeight="14.25"/>
  <cols>
    <col min="1" max="2" width="15.625" style="1130" customWidth="1"/>
    <col min="3" max="3" width="15.125" style="1130" customWidth="1"/>
    <col min="4" max="4" width="12.125" style="1130" customWidth="1"/>
    <col min="5" max="5" width="16.125" style="1130" customWidth="1"/>
    <col min="6" max="6" width="12.125" style="1130" customWidth="1"/>
    <col min="7" max="7" width="15.625" style="1130" customWidth="1"/>
    <col min="8" max="8" width="12.125" style="1130" customWidth="1"/>
    <col min="9" max="9" width="15.62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465</v>
      </c>
      <c r="B1" s="454"/>
      <c r="C1" s="455" t="s">
        <v>466</v>
      </c>
      <c r="D1" s="456" t="s">
        <v>467</v>
      </c>
      <c r="E1" s="457"/>
      <c r="F1" s="398"/>
      <c r="G1" s="457"/>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459" t="e">
        <f>F67</f>
        <v>#DIV/0!</v>
      </c>
      <c r="C2" s="2726"/>
      <c r="D2" s="2726"/>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69" t="s">
        <v>1217</v>
      </c>
      <c r="B3" s="461" t="e">
        <f>ROUND(B2*10000/'数据-汇总表'!E3,0)</f>
        <v>#DIV/0!</v>
      </c>
      <c r="C3" s="2727"/>
      <c r="D3" s="2731"/>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2719"/>
      <c r="AC3" s="1673"/>
    </row>
    <row r="4" spans="1:29" s="1129" customFormat="1" ht="28.5" customHeight="1">
      <c r="A4" s="462" t="s">
        <v>469</v>
      </c>
      <c r="B4" s="397" t="e">
        <f>IF(B48="单位面积地价",C50,ROUND(B2*10000/'数据-汇总表'!D3,0))</f>
        <v>#DIV/0!</v>
      </c>
      <c r="C4" s="2727"/>
      <c r="D4" s="2731"/>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9"/>
      <c r="B5" s="400" t="e">
        <f>ROUND(B2/('数据-汇总表'!D3/666.67),0)</f>
        <v>#DIV/0!</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1739"/>
      <c r="AC5" s="1673"/>
    </row>
    <row r="6" spans="1:29" ht="20.25">
      <c r="A6" s="463" t="s">
        <v>470</v>
      </c>
      <c r="B6" s="464"/>
      <c r="C6" s="3732" t="s">
        <v>471</v>
      </c>
      <c r="D6" s="3733"/>
      <c r="E6" s="3732" t="s">
        <v>472</v>
      </c>
      <c r="F6" s="3733"/>
      <c r="G6" s="3732" t="s">
        <v>473</v>
      </c>
      <c r="H6" s="3733"/>
      <c r="I6" s="3732" t="s">
        <v>474</v>
      </c>
      <c r="J6" s="3733"/>
      <c r="K6" s="465" t="s">
        <v>475</v>
      </c>
      <c r="L6" s="1740"/>
      <c r="M6" s="1739"/>
      <c r="N6" s="1739"/>
      <c r="O6" s="1741"/>
      <c r="P6" s="3734" t="s">
        <v>476</v>
      </c>
      <c r="Q6" s="3735"/>
      <c r="R6" s="3718" t="s">
        <v>472</v>
      </c>
      <c r="S6" s="3719"/>
      <c r="T6" s="3718" t="s">
        <v>473</v>
      </c>
      <c r="U6" s="3719"/>
      <c r="V6" s="3740" t="s">
        <v>474</v>
      </c>
      <c r="W6" s="3740"/>
      <c r="X6" s="1301"/>
      <c r="Y6" s="3718" t="s">
        <v>476</v>
      </c>
      <c r="Z6" s="3719"/>
      <c r="AA6" s="3713" t="s">
        <v>472</v>
      </c>
      <c r="AB6" s="3714" t="s">
        <v>473</v>
      </c>
      <c r="AC6" s="3713" t="s">
        <v>474</v>
      </c>
    </row>
    <row r="7" spans="1:29" ht="20.25">
      <c r="A7" s="466"/>
      <c r="B7" s="467"/>
      <c r="C7" s="3743" t="s">
        <v>2186</v>
      </c>
      <c r="D7" s="3744"/>
      <c r="E7" s="3743" t="s">
        <v>2187</v>
      </c>
      <c r="F7" s="3744"/>
      <c r="G7" s="3743" t="s">
        <v>2188</v>
      </c>
      <c r="H7" s="3744"/>
      <c r="I7" s="3743" t="s">
        <v>2189</v>
      </c>
      <c r="J7" s="3744"/>
      <c r="K7" s="465"/>
      <c r="L7" s="1740"/>
      <c r="M7" s="1739"/>
      <c r="N7" s="1739"/>
      <c r="O7" s="1741"/>
      <c r="P7" s="3736"/>
      <c r="Q7" s="3737"/>
      <c r="R7" s="3720"/>
      <c r="S7" s="3721"/>
      <c r="T7" s="3720"/>
      <c r="U7" s="3721"/>
      <c r="V7" s="3740"/>
      <c r="W7" s="3740"/>
      <c r="X7" s="1301"/>
      <c r="Y7" s="3720"/>
      <c r="Z7" s="3721"/>
      <c r="AA7" s="3714"/>
      <c r="AB7" s="3714"/>
      <c r="AC7" s="3714"/>
    </row>
    <row r="8" spans="1:29" ht="21" thickBot="1">
      <c r="A8" s="466"/>
      <c r="B8" s="467"/>
      <c r="C8" s="3745" t="s">
        <v>2190</v>
      </c>
      <c r="D8" s="3746"/>
      <c r="E8" s="3745" t="s">
        <v>2190</v>
      </c>
      <c r="F8" s="3746"/>
      <c r="G8" s="3741" t="s">
        <v>2190</v>
      </c>
      <c r="H8" s="3742"/>
      <c r="I8" s="3741" t="s">
        <v>2190</v>
      </c>
      <c r="J8" s="3742"/>
      <c r="K8" s="465" t="s">
        <v>477</v>
      </c>
      <c r="L8" s="1740"/>
      <c r="M8" s="1739"/>
      <c r="N8" s="1739"/>
      <c r="O8" s="1741"/>
      <c r="P8" s="3738"/>
      <c r="Q8" s="3739"/>
      <c r="R8" s="3720"/>
      <c r="S8" s="3721"/>
      <c r="T8" s="3722"/>
      <c r="U8" s="3723"/>
      <c r="V8" s="3740"/>
      <c r="W8" s="3740"/>
      <c r="X8" s="1301"/>
      <c r="Y8" s="3722"/>
      <c r="Z8" s="3723"/>
      <c r="AA8" s="3715"/>
      <c r="AB8" s="3715"/>
      <c r="AC8" s="3715"/>
    </row>
    <row r="9" spans="1:29" s="1058" customFormat="1" ht="21" thickBot="1">
      <c r="A9" s="2208"/>
      <c r="B9" s="2215" t="s">
        <v>478</v>
      </c>
      <c r="C9" s="2207">
        <f>'数据-取费表'!B2</f>
        <v>45196</v>
      </c>
      <c r="D9" s="471">
        <v>100</v>
      </c>
      <c r="E9" s="472"/>
      <c r="F9" s="473">
        <f>SUMIF(71:71,YEAR(E9)&amp;"-"&amp;INT((MONTH(E9)+2)/3),72:72)</f>
        <v>0</v>
      </c>
      <c r="G9" s="474"/>
      <c r="H9" s="471">
        <f>SUMIF(71:71,YEAR(G9)&amp;"-"&amp;INT((MONTH(G9)+2)/3),72:72)</f>
        <v>0</v>
      </c>
      <c r="I9" s="474"/>
      <c r="J9" s="471">
        <f>SUMIF(71:71,YEAR(I9)&amp;"-"&amp;INT((MONTH(I9)+2)/3),72:72)</f>
        <v>0</v>
      </c>
      <c r="K9" s="88"/>
      <c r="L9" s="1742"/>
      <c r="M9" s="1739"/>
      <c r="N9" s="1739"/>
      <c r="O9" s="1639"/>
      <c r="P9" s="3716" t="s">
        <v>479</v>
      </c>
      <c r="Q9" s="3725"/>
      <c r="R9" s="1302" t="s">
        <v>5</v>
      </c>
      <c r="S9" s="1303">
        <f t="shared" ref="S9:S17" si="0">F9</f>
        <v>0</v>
      </c>
      <c r="T9" s="1302" t="s">
        <v>5</v>
      </c>
      <c r="U9" s="1303">
        <f t="shared" ref="U9:U17" si="1">H9</f>
        <v>0</v>
      </c>
      <c r="V9" s="1302" t="s">
        <v>5</v>
      </c>
      <c r="W9" s="1303">
        <f t="shared" ref="W9:W17" si="2">J9</f>
        <v>0</v>
      </c>
      <c r="X9" s="1304"/>
      <c r="Y9" s="3716" t="s">
        <v>479</v>
      </c>
      <c r="Z9" s="3717"/>
      <c r="AA9" s="995" t="e">
        <f>D9/F9</f>
        <v>#DIV/0!</v>
      </c>
      <c r="AB9" s="995" t="e">
        <f>D9/H9</f>
        <v>#DIV/0!</v>
      </c>
      <c r="AC9" s="995" t="e">
        <f>D9/J9</f>
        <v>#DIV/0!</v>
      </c>
    </row>
    <row r="10" spans="1:29" s="1058" customFormat="1" ht="21" thickBot="1">
      <c r="A10" s="2209"/>
      <c r="B10" s="2216" t="s">
        <v>480</v>
      </c>
      <c r="C10" s="788" t="s">
        <v>481</v>
      </c>
      <c r="D10" s="471">
        <v>100</v>
      </c>
      <c r="E10" s="475"/>
      <c r="F10" s="473">
        <f>SUMIF(74:74,E10,75:75)-SUMIF(74:74,C10,75:75)+100</f>
        <v>0</v>
      </c>
      <c r="G10" s="475"/>
      <c r="H10" s="471">
        <f>SUMIF(74:74,G10,75:75)-SUMIF(74:74,C10,75:75)+100</f>
        <v>0</v>
      </c>
      <c r="I10" s="475"/>
      <c r="J10" s="471">
        <f>SUMIF(74:74,I10,75:75)-SUMIF(74:74,C10,75:75)+100</f>
        <v>0</v>
      </c>
      <c r="K10" s="88"/>
      <c r="L10" s="1742"/>
      <c r="M10" s="1739"/>
      <c r="N10" s="1739"/>
      <c r="O10" s="1639"/>
      <c r="P10" s="3716" t="s">
        <v>482</v>
      </c>
      <c r="Q10" s="3717"/>
      <c r="R10" s="1302" t="s">
        <v>5</v>
      </c>
      <c r="S10" s="1303">
        <f t="shared" si="0"/>
        <v>0</v>
      </c>
      <c r="T10" s="1302" t="s">
        <v>5</v>
      </c>
      <c r="U10" s="1303">
        <f t="shared" si="1"/>
        <v>0</v>
      </c>
      <c r="V10" s="1302" t="s">
        <v>5</v>
      </c>
      <c r="W10" s="1303">
        <f t="shared" si="2"/>
        <v>0</v>
      </c>
      <c r="X10" s="1304"/>
      <c r="Y10" s="3716" t="s">
        <v>482</v>
      </c>
      <c r="Z10" s="3717"/>
      <c r="AA10" s="995" t="e">
        <f t="shared" ref="AA10:AA47" si="3">D10/F10</f>
        <v>#DIV/0!</v>
      </c>
      <c r="AB10" s="995" t="e">
        <f t="shared" ref="AB10:AB47" si="4">D10/H10</f>
        <v>#DIV/0!</v>
      </c>
      <c r="AC10" s="995" t="e">
        <f t="shared" ref="AC10:AC47" si="5">D10/J10</f>
        <v>#DIV/0!</v>
      </c>
    </row>
    <row r="11" spans="1:29" s="1058" customFormat="1" ht="20.25">
      <c r="A11" s="2210"/>
      <c r="B11" s="2217" t="s">
        <v>2035</v>
      </c>
      <c r="C11" s="2204"/>
      <c r="D11" s="154">
        <v>100</v>
      </c>
      <c r="E11" s="476"/>
      <c r="F11" s="154">
        <f>SUMIF(76:76,E11,77:77)-SUMIF(76:76,C11,77:77)+100</f>
        <v>100</v>
      </c>
      <c r="G11" s="476"/>
      <c r="H11" s="154">
        <f>SUMIF(76:76,G11,77:77)-SUMIF(76:76,C11,77:77)+100</f>
        <v>100</v>
      </c>
      <c r="I11" s="476"/>
      <c r="J11" s="154">
        <f>SUMIF(76:76,I11,77:77)-SUMIF(76:76,C11,77:77)+100</f>
        <v>100</v>
      </c>
      <c r="K11" s="88"/>
      <c r="L11" s="1742"/>
      <c r="M11" s="1739"/>
      <c r="N11" s="1739"/>
      <c r="O11" s="1743"/>
      <c r="P11" s="3724" t="s">
        <v>484</v>
      </c>
      <c r="Q11" s="816" t="str">
        <f t="shared" ref="Q11:Q17" si="6">B11</f>
        <v>用途</v>
      </c>
      <c r="R11" s="1302" t="s">
        <v>5</v>
      </c>
      <c r="S11" s="1303">
        <f t="shared" si="0"/>
        <v>100</v>
      </c>
      <c r="T11" s="1302" t="s">
        <v>5</v>
      </c>
      <c r="U11" s="1303">
        <f t="shared" si="1"/>
        <v>100</v>
      </c>
      <c r="V11" s="1302" t="s">
        <v>5</v>
      </c>
      <c r="W11" s="1303">
        <f t="shared" si="2"/>
        <v>100</v>
      </c>
      <c r="X11" s="1304"/>
      <c r="Y11" s="3672" t="s">
        <v>485</v>
      </c>
      <c r="Z11" s="995" t="str">
        <f t="shared" ref="Z11:Z17" si="7">Q11</f>
        <v>用途</v>
      </c>
      <c r="AA11" s="995">
        <f t="shared" si="3"/>
        <v>1</v>
      </c>
      <c r="AB11" s="995">
        <f t="shared" si="4"/>
        <v>1</v>
      </c>
      <c r="AC11" s="995">
        <f t="shared" si="5"/>
        <v>1</v>
      </c>
    </row>
    <row r="12" spans="1:29" s="1131" customFormat="1" ht="27">
      <c r="A12" s="2211"/>
      <c r="B12" s="2216" t="s">
        <v>2036</v>
      </c>
      <c r="C12" s="831"/>
      <c r="D12" s="235">
        <v>100</v>
      </c>
      <c r="E12" s="479"/>
      <c r="F12" s="235">
        <f>ROUND(100/'数据-取费表'!G16,0)</f>
        <v>100</v>
      </c>
      <c r="G12" s="480"/>
      <c r="H12" s="235">
        <f>ROUND(100/'数据-取费表'!G16,0)</f>
        <v>100</v>
      </c>
      <c r="I12" s="480"/>
      <c r="J12" s="235">
        <f>ROUND(100/'数据-取费表'!G16,0)</f>
        <v>100</v>
      </c>
      <c r="K12" s="481"/>
      <c r="L12" s="1744"/>
      <c r="M12" s="1739"/>
      <c r="N12" s="1739"/>
      <c r="O12" s="1745"/>
      <c r="P12" s="3724"/>
      <c r="Q12" s="816" t="str">
        <f t="shared" si="6"/>
        <v>土地使用年限（年）</v>
      </c>
      <c r="R12" s="1302" t="s">
        <v>5</v>
      </c>
      <c r="S12" s="1303">
        <f t="shared" si="0"/>
        <v>100</v>
      </c>
      <c r="T12" s="1302" t="s">
        <v>5</v>
      </c>
      <c r="U12" s="1303">
        <f t="shared" si="1"/>
        <v>100</v>
      </c>
      <c r="V12" s="1302" t="s">
        <v>5</v>
      </c>
      <c r="W12" s="1303">
        <f t="shared" si="2"/>
        <v>100</v>
      </c>
      <c r="X12" s="1304"/>
      <c r="Y12" s="3672"/>
      <c r="Z12" s="995" t="str">
        <f t="shared" si="7"/>
        <v>土地使用年限（年）</v>
      </c>
      <c r="AA12" s="995">
        <f t="shared" si="3"/>
        <v>1</v>
      </c>
      <c r="AB12" s="995">
        <f t="shared" si="4"/>
        <v>1</v>
      </c>
      <c r="AC12" s="995">
        <f t="shared" si="5"/>
        <v>1</v>
      </c>
    </row>
    <row r="13" spans="1:29" ht="20.25">
      <c r="A13" s="2212"/>
      <c r="B13" s="2216" t="s">
        <v>2037</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6"/>
      <c r="M13" s="1739"/>
      <c r="N13" s="1739"/>
      <c r="O13" s="1747"/>
      <c r="P13" s="3724"/>
      <c r="Q13" s="816" t="str">
        <f t="shared" si="6"/>
        <v>容积率</v>
      </c>
      <c r="R13" s="1302" t="s">
        <v>5</v>
      </c>
      <c r="S13" s="1303" t="e">
        <f t="shared" si="0"/>
        <v>#N/A</v>
      </c>
      <c r="T13" s="1302" t="s">
        <v>5</v>
      </c>
      <c r="U13" s="1303" t="e">
        <f t="shared" si="1"/>
        <v>#N/A</v>
      </c>
      <c r="V13" s="1302" t="s">
        <v>5</v>
      </c>
      <c r="W13" s="1303" t="e">
        <f t="shared" si="2"/>
        <v>#N/A</v>
      </c>
      <c r="X13" s="1304"/>
      <c r="Y13" s="3672"/>
      <c r="Z13" s="995" t="str">
        <f t="shared" si="7"/>
        <v>容积率</v>
      </c>
      <c r="AA13" s="995" t="e">
        <f t="shared" si="3"/>
        <v>#N/A</v>
      </c>
      <c r="AB13" s="995" t="e">
        <f t="shared" si="4"/>
        <v>#N/A</v>
      </c>
      <c r="AC13" s="995" t="e">
        <f t="shared" si="5"/>
        <v>#N/A</v>
      </c>
    </row>
    <row r="14" spans="1:29" s="1058" customFormat="1" ht="20.25">
      <c r="A14" s="2209"/>
      <c r="B14" s="2218" t="s">
        <v>2038</v>
      </c>
      <c r="C14" s="2205"/>
      <c r="D14" s="488">
        <v>100</v>
      </c>
      <c r="E14" s="1164"/>
      <c r="F14" s="235">
        <f>SUMIF(83:83,E14,84:84)-SUMIF(83:83,C14,84:84)+100</f>
        <v>100</v>
      </c>
      <c r="G14" s="480"/>
      <c r="H14" s="235">
        <f>SUMIF(83:83,G14,84:84)-SUMIF(83:83,C14,84:84)+100</f>
        <v>100</v>
      </c>
      <c r="I14" s="479"/>
      <c r="J14" s="235">
        <f>SUMIF(83:83,I14,84:84)-SUMIF(83:83,C14,84:84)+100</f>
        <v>100</v>
      </c>
      <c r="K14" s="481"/>
      <c r="L14" s="1742"/>
      <c r="M14" s="1739"/>
      <c r="N14" s="1739"/>
      <c r="O14" s="1743"/>
      <c r="P14" s="3724"/>
      <c r="Q14" s="816" t="str">
        <f t="shared" si="6"/>
        <v>配建</v>
      </c>
      <c r="R14" s="1302" t="s">
        <v>5</v>
      </c>
      <c r="S14" s="1303">
        <f t="shared" si="0"/>
        <v>100</v>
      </c>
      <c r="T14" s="1302" t="s">
        <v>5</v>
      </c>
      <c r="U14" s="1303">
        <f t="shared" si="1"/>
        <v>100</v>
      </c>
      <c r="V14" s="1302" t="s">
        <v>5</v>
      </c>
      <c r="W14" s="1303">
        <f t="shared" si="2"/>
        <v>100</v>
      </c>
      <c r="X14" s="1304"/>
      <c r="Y14" s="3672"/>
      <c r="Z14" s="995" t="str">
        <f t="shared" si="7"/>
        <v>配建</v>
      </c>
      <c r="AA14" s="995">
        <f>D14/F14</f>
        <v>1</v>
      </c>
      <c r="AB14" s="995">
        <f>D14/H14</f>
        <v>1</v>
      </c>
      <c r="AC14" s="995">
        <f>D14/J14</f>
        <v>1</v>
      </c>
    </row>
    <row r="15" spans="1:29" ht="20.25">
      <c r="A15" s="2213"/>
      <c r="B15" s="2219">
        <v>111</v>
      </c>
      <c r="C15" s="833"/>
      <c r="D15" s="490">
        <v>100</v>
      </c>
      <c r="E15" s="491"/>
      <c r="F15" s="235">
        <f>SUMIF(85:85,E15,86:86)-SUMIF(85:85,C15,86:86)+100</f>
        <v>100</v>
      </c>
      <c r="G15" s="492"/>
      <c r="H15" s="490">
        <f>SUMIF(85:85,G15,86:86)-SUMIF(85:85,C15,86:86)+100</f>
        <v>100</v>
      </c>
      <c r="I15" s="492"/>
      <c r="J15" s="490">
        <f>SUMIF(85:85,I15,86:86)-SUMIF(85:85,C15,86:86)+100</f>
        <v>100</v>
      </c>
      <c r="K15" s="481"/>
      <c r="L15" s="1748"/>
      <c r="M15" s="1739"/>
      <c r="N15" s="1739"/>
      <c r="O15" s="1747"/>
      <c r="P15" s="3724"/>
      <c r="Q15" s="816">
        <f t="shared" si="6"/>
        <v>111</v>
      </c>
      <c r="R15" s="1302" t="s">
        <v>5</v>
      </c>
      <c r="S15" s="1303">
        <f t="shared" si="0"/>
        <v>100</v>
      </c>
      <c r="T15" s="1302" t="s">
        <v>5</v>
      </c>
      <c r="U15" s="1303">
        <f t="shared" si="1"/>
        <v>100</v>
      </c>
      <c r="V15" s="1302" t="s">
        <v>5</v>
      </c>
      <c r="W15" s="1303">
        <f t="shared" si="2"/>
        <v>100</v>
      </c>
      <c r="X15" s="1304"/>
      <c r="Y15" s="3672"/>
      <c r="Z15" s="995">
        <f t="shared" si="7"/>
        <v>111</v>
      </c>
      <c r="AA15" s="995">
        <f>D15/F15</f>
        <v>1</v>
      </c>
      <c r="AB15" s="995">
        <f>D15/H15</f>
        <v>1</v>
      </c>
      <c r="AC15" s="995">
        <f>D15/J15</f>
        <v>1</v>
      </c>
    </row>
    <row r="16" spans="1:29" ht="21" thickBot="1">
      <c r="A16" s="2214"/>
      <c r="B16" s="2220">
        <v>111</v>
      </c>
      <c r="C16" s="836"/>
      <c r="D16" s="496">
        <v>100</v>
      </c>
      <c r="E16" s="491"/>
      <c r="F16" s="496">
        <f>SUMIF(87:87,E16,88:88)-SUMIF(87:87,C16,88:88)+100</f>
        <v>100</v>
      </c>
      <c r="G16" s="492"/>
      <c r="H16" s="496">
        <f>SUMIF(87:87,G16,88:88)-SUMIF(87:87,C16,88:88)+100</f>
        <v>100</v>
      </c>
      <c r="I16" s="492"/>
      <c r="J16" s="496">
        <f>SUMIF(87:87,I16,88:88)-SUMIF(87:87,C16,88:88)+100</f>
        <v>100</v>
      </c>
      <c r="K16" s="481"/>
      <c r="L16" s="1748"/>
      <c r="M16" s="1739"/>
      <c r="N16" s="1739"/>
      <c r="O16" s="1747"/>
      <c r="P16" s="3724"/>
      <c r="Q16" s="816">
        <f t="shared" si="6"/>
        <v>111</v>
      </c>
      <c r="R16" s="1302" t="s">
        <v>5</v>
      </c>
      <c r="S16" s="1303">
        <f t="shared" si="0"/>
        <v>100</v>
      </c>
      <c r="T16" s="1302" t="s">
        <v>5</v>
      </c>
      <c r="U16" s="1303">
        <f t="shared" si="1"/>
        <v>100</v>
      </c>
      <c r="V16" s="1302" t="s">
        <v>5</v>
      </c>
      <c r="W16" s="1303">
        <f t="shared" si="2"/>
        <v>100</v>
      </c>
      <c r="X16" s="1304"/>
      <c r="Y16" s="3672"/>
      <c r="Z16" s="995">
        <f t="shared" si="7"/>
        <v>111</v>
      </c>
      <c r="AA16" s="995">
        <f>D16/F16</f>
        <v>1</v>
      </c>
      <c r="AB16" s="995">
        <f>D16/H16</f>
        <v>1</v>
      </c>
      <c r="AC16" s="995">
        <f>D16/J16</f>
        <v>1</v>
      </c>
    </row>
    <row r="17" spans="1:29" ht="99.75">
      <c r="A17" s="2206" t="s">
        <v>2033</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48"/>
      <c r="M17" s="1739"/>
      <c r="N17" s="1739"/>
      <c r="O17" s="1747"/>
      <c r="P17" s="3726" t="s">
        <v>489</v>
      </c>
      <c r="Q17" s="1305" t="str">
        <f t="shared" si="6"/>
        <v>居住社区成熟度</v>
      </c>
      <c r="R17" s="1306" t="s">
        <v>5</v>
      </c>
      <c r="S17" s="1307">
        <f t="shared" si="0"/>
        <v>100</v>
      </c>
      <c r="T17" s="1306" t="s">
        <v>5</v>
      </c>
      <c r="U17" s="1307">
        <f t="shared" si="1"/>
        <v>100</v>
      </c>
      <c r="V17" s="1306" t="s">
        <v>5</v>
      </c>
      <c r="W17" s="1307">
        <f t="shared" si="2"/>
        <v>100</v>
      </c>
      <c r="X17" s="1301"/>
      <c r="Y17" s="3726" t="s">
        <v>489</v>
      </c>
      <c r="Z17" s="1308" t="str">
        <f t="shared" si="7"/>
        <v>居住社区成熟度</v>
      </c>
      <c r="AA17" s="1308">
        <f t="shared" si="3"/>
        <v>1</v>
      </c>
      <c r="AB17" s="1308">
        <f t="shared" si="4"/>
        <v>1</v>
      </c>
      <c r="AC17" s="1308">
        <f t="shared" si="5"/>
        <v>1</v>
      </c>
    </row>
    <row r="18" spans="1:29" ht="20.25">
      <c r="A18" s="482"/>
      <c r="B18" s="503"/>
      <c r="C18" s="504"/>
      <c r="D18" s="507"/>
      <c r="E18" s="508"/>
      <c r="F18" s="505"/>
      <c r="G18" s="506"/>
      <c r="H18" s="509"/>
      <c r="I18" s="508"/>
      <c r="J18" s="505"/>
      <c r="K18" s="481"/>
      <c r="L18" s="1748"/>
      <c r="M18" s="1739"/>
      <c r="N18" s="1739"/>
      <c r="O18" s="1747"/>
      <c r="P18" s="3727"/>
      <c r="Q18" s="1305"/>
      <c r="R18" s="1306"/>
      <c r="S18" s="1307"/>
      <c r="T18" s="1306"/>
      <c r="U18" s="1307"/>
      <c r="V18" s="1306"/>
      <c r="W18" s="1307"/>
      <c r="X18" s="1301"/>
      <c r="Y18" s="3727"/>
      <c r="Z18" s="1308"/>
      <c r="AA18" s="1308">
        <v>1</v>
      </c>
      <c r="AB18" s="1308">
        <v>1</v>
      </c>
      <c r="AC18" s="1308">
        <v>1</v>
      </c>
    </row>
    <row r="19" spans="1:29" ht="71.25">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48"/>
      <c r="M19" s="1739"/>
      <c r="N19" s="1739"/>
      <c r="O19" s="1747"/>
      <c r="P19" s="3727"/>
      <c r="Q19" s="1305" t="str">
        <f>B19</f>
        <v>商业繁华度</v>
      </c>
      <c r="R19" s="1306" t="s">
        <v>5</v>
      </c>
      <c r="S19" s="1307">
        <f>F19</f>
        <v>100</v>
      </c>
      <c r="T19" s="1306" t="s">
        <v>5</v>
      </c>
      <c r="U19" s="1307">
        <f>H19</f>
        <v>100</v>
      </c>
      <c r="V19" s="1306" t="s">
        <v>5</v>
      </c>
      <c r="W19" s="1307">
        <f>J19</f>
        <v>100</v>
      </c>
      <c r="X19" s="1301"/>
      <c r="Y19" s="3727"/>
      <c r="Z19" s="1308" t="str">
        <f>Q19</f>
        <v>商业繁华度</v>
      </c>
      <c r="AA19" s="1308">
        <f t="shared" si="3"/>
        <v>1</v>
      </c>
      <c r="AB19" s="1308">
        <f t="shared" si="4"/>
        <v>1</v>
      </c>
      <c r="AC19" s="1308">
        <f t="shared" si="5"/>
        <v>1</v>
      </c>
    </row>
    <row r="20" spans="1:29" ht="20.25">
      <c r="A20" s="482"/>
      <c r="B20" s="516"/>
      <c r="C20" s="517"/>
      <c r="D20" s="513"/>
      <c r="E20" s="519"/>
      <c r="F20" s="509"/>
      <c r="G20" s="518"/>
      <c r="H20" s="505"/>
      <c r="I20" s="519"/>
      <c r="J20" s="505"/>
      <c r="K20" s="481"/>
      <c r="L20" s="1748"/>
      <c r="M20" s="1739"/>
      <c r="N20" s="1739"/>
      <c r="O20" s="1747"/>
      <c r="P20" s="3727"/>
      <c r="Q20" s="1305"/>
      <c r="R20" s="1306"/>
      <c r="S20" s="1307"/>
      <c r="T20" s="1306"/>
      <c r="U20" s="1307"/>
      <c r="V20" s="1306"/>
      <c r="W20" s="1307"/>
      <c r="X20" s="1301"/>
      <c r="Y20" s="3727"/>
      <c r="Z20" s="1308"/>
      <c r="AA20" s="1308">
        <v>1</v>
      </c>
      <c r="AB20" s="1308">
        <v>1</v>
      </c>
      <c r="AC20" s="1308">
        <v>1</v>
      </c>
    </row>
    <row r="21" spans="1:29" ht="71.25">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48"/>
      <c r="M21" s="1739"/>
      <c r="N21" s="1739"/>
      <c r="O21" s="1747"/>
      <c r="P21" s="3727"/>
      <c r="Q21" s="1305" t="str">
        <f>B21</f>
        <v>办公集聚程度</v>
      </c>
      <c r="R21" s="1306" t="s">
        <v>5</v>
      </c>
      <c r="S21" s="1307">
        <f>F21</f>
        <v>100</v>
      </c>
      <c r="T21" s="1306" t="s">
        <v>5</v>
      </c>
      <c r="U21" s="1307">
        <f>H21</f>
        <v>100</v>
      </c>
      <c r="V21" s="1306" t="s">
        <v>5</v>
      </c>
      <c r="W21" s="1307">
        <f>J21</f>
        <v>100</v>
      </c>
      <c r="X21" s="1301"/>
      <c r="Y21" s="3727"/>
      <c r="Z21" s="1308" t="str">
        <f>Q21</f>
        <v>办公集聚程度</v>
      </c>
      <c r="AA21" s="1308">
        <f t="shared" si="3"/>
        <v>1</v>
      </c>
      <c r="AB21" s="1308">
        <f t="shared" si="4"/>
        <v>1</v>
      </c>
      <c r="AC21" s="1308">
        <f t="shared" si="5"/>
        <v>1</v>
      </c>
    </row>
    <row r="22" spans="1:29" ht="20.25">
      <c r="A22" s="482"/>
      <c r="B22" s="516"/>
      <c r="C22" s="504"/>
      <c r="D22" s="507"/>
      <c r="E22" s="508"/>
      <c r="F22" s="505"/>
      <c r="G22" s="506"/>
      <c r="H22" s="505"/>
      <c r="I22" s="508"/>
      <c r="J22" s="505"/>
      <c r="K22" s="481"/>
      <c r="L22" s="1748"/>
      <c r="M22" s="1739"/>
      <c r="N22" s="1739"/>
      <c r="O22" s="1747"/>
      <c r="P22" s="3727"/>
      <c r="Q22" s="1305"/>
      <c r="R22" s="1306"/>
      <c r="S22" s="1307"/>
      <c r="T22" s="1306"/>
      <c r="U22" s="1307"/>
      <c r="V22" s="1306"/>
      <c r="W22" s="1307"/>
      <c r="X22" s="1301"/>
      <c r="Y22" s="3727"/>
      <c r="Z22" s="1308"/>
      <c r="AA22" s="1308">
        <v>1</v>
      </c>
      <c r="AB22" s="1308">
        <v>1</v>
      </c>
      <c r="AC22" s="1308">
        <v>1</v>
      </c>
    </row>
    <row r="23" spans="1:29" ht="85.5">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48"/>
      <c r="M23" s="1739"/>
      <c r="N23" s="1739"/>
      <c r="O23" s="1747"/>
      <c r="P23" s="3727"/>
      <c r="Q23" s="1305" t="str">
        <f>B23</f>
        <v>交通便捷度</v>
      </c>
      <c r="R23" s="1306" t="s">
        <v>5</v>
      </c>
      <c r="S23" s="1307">
        <f>F23</f>
        <v>100</v>
      </c>
      <c r="T23" s="1306" t="s">
        <v>5</v>
      </c>
      <c r="U23" s="1307">
        <f>H23</f>
        <v>100</v>
      </c>
      <c r="V23" s="1306" t="s">
        <v>5</v>
      </c>
      <c r="W23" s="1307">
        <f>J23</f>
        <v>100</v>
      </c>
      <c r="X23" s="1301"/>
      <c r="Y23" s="3727"/>
      <c r="Z23" s="1308" t="str">
        <f>Q23</f>
        <v>交通便捷度</v>
      </c>
      <c r="AA23" s="1308">
        <f t="shared" si="3"/>
        <v>1</v>
      </c>
      <c r="AB23" s="1308">
        <f t="shared" si="4"/>
        <v>1</v>
      </c>
      <c r="AC23" s="1308">
        <f t="shared" si="5"/>
        <v>1</v>
      </c>
    </row>
    <row r="24" spans="1:29" ht="20.25">
      <c r="A24" s="482"/>
      <c r="B24" s="528"/>
      <c r="C24" s="504"/>
      <c r="D24" s="507"/>
      <c r="E24" s="508"/>
      <c r="F24" s="505"/>
      <c r="G24" s="506"/>
      <c r="H24" s="505"/>
      <c r="I24" s="508"/>
      <c r="J24" s="505"/>
      <c r="K24" s="481"/>
      <c r="L24" s="1748"/>
      <c r="M24" s="1739"/>
      <c r="N24" s="1739"/>
      <c r="O24" s="1747"/>
      <c r="P24" s="3727"/>
      <c r="Q24" s="1305"/>
      <c r="R24" s="1306"/>
      <c r="S24" s="1307"/>
      <c r="T24" s="1306"/>
      <c r="U24" s="1307"/>
      <c r="V24" s="1306"/>
      <c r="W24" s="1307"/>
      <c r="X24" s="1301"/>
      <c r="Y24" s="3727"/>
      <c r="Z24" s="1308"/>
      <c r="AA24" s="1308">
        <v>1</v>
      </c>
      <c r="AB24" s="1308">
        <v>1</v>
      </c>
      <c r="AC24" s="1308">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48"/>
      <c r="M25" s="1739"/>
      <c r="N25" s="1739"/>
      <c r="O25" s="1747"/>
      <c r="P25" s="3727"/>
      <c r="Q25" s="1305" t="str">
        <f t="shared" ref="Q25:Q39" si="8">B25</f>
        <v>区域土地利用方向</v>
      </c>
      <c r="R25" s="1306" t="s">
        <v>5</v>
      </c>
      <c r="S25" s="1307">
        <f>F25</f>
        <v>100</v>
      </c>
      <c r="T25" s="1306" t="s">
        <v>5</v>
      </c>
      <c r="U25" s="1307">
        <f>H25</f>
        <v>100</v>
      </c>
      <c r="V25" s="1306" t="s">
        <v>5</v>
      </c>
      <c r="W25" s="1307">
        <f>J25</f>
        <v>100</v>
      </c>
      <c r="X25" s="1301"/>
      <c r="Y25" s="3727"/>
      <c r="Z25" s="1308" t="str">
        <f>Q25</f>
        <v>区域土地利用方向</v>
      </c>
      <c r="AA25" s="1308">
        <f t="shared" si="3"/>
        <v>1</v>
      </c>
      <c r="AB25" s="1308">
        <f t="shared" si="4"/>
        <v>1</v>
      </c>
      <c r="AC25" s="1308">
        <f t="shared" si="5"/>
        <v>1</v>
      </c>
    </row>
    <row r="26" spans="1:29" ht="20.25">
      <c r="A26" s="466"/>
      <c r="B26" s="917"/>
      <c r="C26" s="504"/>
      <c r="D26" s="507"/>
      <c r="E26" s="508"/>
      <c r="F26" s="505"/>
      <c r="G26" s="506"/>
      <c r="H26" s="505"/>
      <c r="I26" s="508"/>
      <c r="J26" s="505"/>
      <c r="K26" s="481"/>
      <c r="L26" s="1748"/>
      <c r="M26" s="1739"/>
      <c r="N26" s="1739"/>
      <c r="O26" s="1747"/>
      <c r="P26" s="3727"/>
      <c r="Q26" s="1305"/>
      <c r="R26" s="1306"/>
      <c r="S26" s="1307"/>
      <c r="T26" s="1306"/>
      <c r="U26" s="1307"/>
      <c r="V26" s="1306"/>
      <c r="W26" s="1307"/>
      <c r="X26" s="1301"/>
      <c r="Y26" s="3727"/>
      <c r="Z26" s="1308"/>
      <c r="AA26" s="1308"/>
      <c r="AB26" s="1308"/>
      <c r="AC26" s="1308"/>
    </row>
    <row r="27" spans="1:29" ht="57">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48"/>
      <c r="M27" s="1739"/>
      <c r="N27" s="1739"/>
      <c r="O27" s="1747"/>
      <c r="P27" s="3727"/>
      <c r="Q27" s="1305" t="str">
        <f t="shared" si="8"/>
        <v>自然及人文环境状况</v>
      </c>
      <c r="R27" s="1306" t="s">
        <v>5</v>
      </c>
      <c r="S27" s="1307">
        <f>F27</f>
        <v>100</v>
      </c>
      <c r="T27" s="1306" t="s">
        <v>5</v>
      </c>
      <c r="U27" s="1307">
        <f>H27</f>
        <v>100</v>
      </c>
      <c r="V27" s="1306" t="s">
        <v>5</v>
      </c>
      <c r="W27" s="1307">
        <f>J27</f>
        <v>100</v>
      </c>
      <c r="X27" s="1301"/>
      <c r="Y27" s="3727"/>
      <c r="Z27" s="1308" t="str">
        <f>Q27</f>
        <v>自然及人文环境状况</v>
      </c>
      <c r="AA27" s="1308">
        <f t="shared" si="3"/>
        <v>1</v>
      </c>
      <c r="AB27" s="1308">
        <f t="shared" si="4"/>
        <v>1</v>
      </c>
      <c r="AC27" s="1308">
        <f t="shared" si="5"/>
        <v>1</v>
      </c>
    </row>
    <row r="28" spans="1:29" ht="20.25">
      <c r="A28" s="466"/>
      <c r="B28" s="516"/>
      <c r="C28" s="504"/>
      <c r="D28" s="507"/>
      <c r="E28" s="526"/>
      <c r="F28" s="505"/>
      <c r="G28" s="504"/>
      <c r="H28" s="505"/>
      <c r="I28" s="526"/>
      <c r="J28" s="505"/>
      <c r="K28" s="481"/>
      <c r="L28" s="1748"/>
      <c r="M28" s="1739"/>
      <c r="N28" s="1739"/>
      <c r="O28" s="1747"/>
      <c r="P28" s="3727"/>
      <c r="Q28" s="1305"/>
      <c r="R28" s="1306"/>
      <c r="S28" s="1307"/>
      <c r="T28" s="1306"/>
      <c r="U28" s="1307"/>
      <c r="V28" s="1306"/>
      <c r="W28" s="1307"/>
      <c r="X28" s="1301"/>
      <c r="Y28" s="3727"/>
      <c r="Z28" s="1308"/>
      <c r="AA28" s="1308">
        <v>1</v>
      </c>
      <c r="AB28" s="1308">
        <v>1</v>
      </c>
      <c r="AC28" s="1308">
        <v>1</v>
      </c>
    </row>
    <row r="29" spans="1:29" s="1058" customFormat="1" ht="42.75">
      <c r="A29" s="527"/>
      <c r="B29" s="2049" t="s">
        <v>1828</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2"/>
      <c r="M29" s="1739"/>
      <c r="N29" s="1739"/>
      <c r="O29" s="1743"/>
      <c r="P29" s="3727"/>
      <c r="Q29" s="816" t="str">
        <f t="shared" si="8"/>
        <v>公共配套设施</v>
      </c>
      <c r="R29" s="1302" t="s">
        <v>5</v>
      </c>
      <c r="S29" s="1303">
        <f>F29</f>
        <v>100</v>
      </c>
      <c r="T29" s="1302" t="s">
        <v>5</v>
      </c>
      <c r="U29" s="1303">
        <f>H29</f>
        <v>100</v>
      </c>
      <c r="V29" s="1302" t="s">
        <v>5</v>
      </c>
      <c r="W29" s="1303">
        <f>J29</f>
        <v>100</v>
      </c>
      <c r="X29" s="1304"/>
      <c r="Y29" s="3727"/>
      <c r="Z29" s="995" t="str">
        <f>Q29</f>
        <v>公共配套设施</v>
      </c>
      <c r="AA29" s="1308">
        <f>D29/F29</f>
        <v>1</v>
      </c>
      <c r="AB29" s="1308">
        <f>D29/H29</f>
        <v>1</v>
      </c>
      <c r="AC29" s="1308">
        <f>D29/J29</f>
        <v>1</v>
      </c>
    </row>
    <row r="30" spans="1:29" s="1058" customFormat="1" ht="20.25">
      <c r="A30" s="527"/>
      <c r="B30" s="516"/>
      <c r="C30" s="529"/>
      <c r="D30" s="507"/>
      <c r="E30" s="526"/>
      <c r="F30" s="505"/>
      <c r="G30" s="504"/>
      <c r="H30" s="505"/>
      <c r="I30" s="526"/>
      <c r="J30" s="505"/>
      <c r="K30" s="481"/>
      <c r="L30" s="1742"/>
      <c r="M30" s="1739"/>
      <c r="N30" s="1739"/>
      <c r="O30" s="1743"/>
      <c r="P30" s="3727"/>
      <c r="Q30" s="816"/>
      <c r="R30" s="1302"/>
      <c r="S30" s="1303"/>
      <c r="T30" s="1302"/>
      <c r="U30" s="1303"/>
      <c r="V30" s="1302"/>
      <c r="W30" s="1303"/>
      <c r="X30" s="1304"/>
      <c r="Y30" s="3727"/>
      <c r="Z30" s="995"/>
      <c r="AA30" s="1308">
        <v>1</v>
      </c>
      <c r="AB30" s="1308">
        <v>1</v>
      </c>
      <c r="AC30" s="1308">
        <v>1</v>
      </c>
    </row>
    <row r="31" spans="1:29" s="1058" customFormat="1" ht="28.5">
      <c r="A31" s="527"/>
      <c r="B31" s="2049" t="s">
        <v>1829</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2"/>
      <c r="M31" s="1739"/>
      <c r="N31" s="1739"/>
      <c r="O31" s="1743"/>
      <c r="P31" s="3727"/>
      <c r="Q31" s="816" t="str">
        <f>B31</f>
        <v>基础设施水平</v>
      </c>
      <c r="R31" s="1302" t="s">
        <v>5</v>
      </c>
      <c r="S31" s="1303">
        <f>F31</f>
        <v>100</v>
      </c>
      <c r="T31" s="1302" t="s">
        <v>5</v>
      </c>
      <c r="U31" s="1303">
        <f>H31</f>
        <v>100</v>
      </c>
      <c r="V31" s="1302" t="s">
        <v>5</v>
      </c>
      <c r="W31" s="1303">
        <f>J31</f>
        <v>100</v>
      </c>
      <c r="X31" s="1304"/>
      <c r="Y31" s="3727"/>
      <c r="Z31" s="995" t="str">
        <f>Q31</f>
        <v>基础设施水平</v>
      </c>
      <c r="AA31" s="1308">
        <f>D31/F31</f>
        <v>1</v>
      </c>
      <c r="AB31" s="1308">
        <f>D31/H31</f>
        <v>1</v>
      </c>
      <c r="AC31" s="1308">
        <f>D31/J31</f>
        <v>1</v>
      </c>
    </row>
    <row r="32" spans="1:29" s="1058" customFormat="1" ht="20.25">
      <c r="A32" s="527"/>
      <c r="B32" s="516"/>
      <c r="C32" s="529"/>
      <c r="D32" s="507"/>
      <c r="E32" s="2050"/>
      <c r="F32" s="505"/>
      <c r="G32" s="529"/>
      <c r="H32" s="505"/>
      <c r="I32" s="529"/>
      <c r="J32" s="505"/>
      <c r="K32" s="481"/>
      <c r="L32" s="1742"/>
      <c r="M32" s="1739"/>
      <c r="N32" s="1739"/>
      <c r="O32" s="1743"/>
      <c r="P32" s="3727"/>
      <c r="Q32" s="816"/>
      <c r="R32" s="1302"/>
      <c r="S32" s="1303"/>
      <c r="T32" s="1302"/>
      <c r="U32" s="1303"/>
      <c r="V32" s="1302"/>
      <c r="W32" s="1303"/>
      <c r="X32" s="1304"/>
      <c r="Y32" s="3727"/>
      <c r="Z32" s="995"/>
      <c r="AA32" s="1308">
        <v>1</v>
      </c>
      <c r="AB32" s="1308">
        <v>1</v>
      </c>
      <c r="AC32" s="1308">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8"/>
      <c r="M33" s="1739"/>
      <c r="N33" s="1739"/>
      <c r="O33" s="1747"/>
      <c r="P33" s="3727"/>
      <c r="Q33" s="1305" t="str">
        <f t="shared" si="8"/>
        <v>临街状况</v>
      </c>
      <c r="R33" s="1306" t="s">
        <v>5</v>
      </c>
      <c r="S33" s="1307">
        <f t="shared" ref="S33:S47" si="9">F33</f>
        <v>100</v>
      </c>
      <c r="T33" s="1306" t="s">
        <v>5</v>
      </c>
      <c r="U33" s="1307">
        <f t="shared" ref="U33:U47" si="10">H33</f>
        <v>100</v>
      </c>
      <c r="V33" s="1306" t="s">
        <v>5</v>
      </c>
      <c r="W33" s="1307">
        <f t="shared" ref="W33:W47" si="11">J33</f>
        <v>100</v>
      </c>
      <c r="X33" s="1301"/>
      <c r="Y33" s="3727"/>
      <c r="Z33" s="1308" t="str">
        <f t="shared" ref="Z33:Z47" si="12">Q33</f>
        <v>临街状况</v>
      </c>
      <c r="AA33" s="1308">
        <f t="shared" si="3"/>
        <v>1</v>
      </c>
      <c r="AB33" s="1308">
        <f t="shared" si="4"/>
        <v>1</v>
      </c>
      <c r="AC33" s="1308">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8"/>
      <c r="M34" s="1739"/>
      <c r="N34" s="1739"/>
      <c r="O34" s="1747"/>
      <c r="P34" s="3727"/>
      <c r="Q34" s="1305" t="str">
        <f t="shared" si="8"/>
        <v>毗邻道路的类型与等级</v>
      </c>
      <c r="R34" s="1306" t="s">
        <v>5</v>
      </c>
      <c r="S34" s="1307">
        <f t="shared" si="9"/>
        <v>100</v>
      </c>
      <c r="T34" s="1306" t="s">
        <v>5</v>
      </c>
      <c r="U34" s="1307">
        <f t="shared" si="10"/>
        <v>100</v>
      </c>
      <c r="V34" s="1306" t="s">
        <v>5</v>
      </c>
      <c r="W34" s="1307">
        <f t="shared" si="11"/>
        <v>100</v>
      </c>
      <c r="X34" s="1301"/>
      <c r="Y34" s="3727"/>
      <c r="Z34" s="1308" t="str">
        <f t="shared" si="12"/>
        <v>毗邻道路的类型与等级</v>
      </c>
      <c r="AA34" s="1308">
        <f t="shared" si="3"/>
        <v>1</v>
      </c>
      <c r="AB34" s="1308">
        <f t="shared" si="4"/>
        <v>1</v>
      </c>
      <c r="AC34" s="1308">
        <f t="shared" si="5"/>
        <v>1</v>
      </c>
    </row>
    <row r="35" spans="1:29" ht="20.25">
      <c r="A35" s="482"/>
      <c r="B35" s="516"/>
      <c r="C35" s="504"/>
      <c r="D35" s="507"/>
      <c r="E35" s="526"/>
      <c r="F35" s="505"/>
      <c r="G35" s="504"/>
      <c r="H35" s="505"/>
      <c r="I35" s="526"/>
      <c r="J35" s="505"/>
      <c r="K35" s="531"/>
      <c r="L35" s="1748"/>
      <c r="M35" s="1739"/>
      <c r="N35" s="1739"/>
      <c r="O35" s="1747"/>
      <c r="P35" s="3727"/>
      <c r="Q35" s="1305"/>
      <c r="R35" s="1306"/>
      <c r="S35" s="1307"/>
      <c r="T35" s="1306"/>
      <c r="U35" s="1307"/>
      <c r="V35" s="1306"/>
      <c r="W35" s="1307"/>
      <c r="X35" s="1301"/>
      <c r="Y35" s="3727"/>
      <c r="Z35" s="1308"/>
      <c r="AA35" s="1308">
        <v>1</v>
      </c>
      <c r="AB35" s="1308">
        <v>1</v>
      </c>
      <c r="AC35" s="1308">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8"/>
      <c r="M36" s="1739"/>
      <c r="N36" s="1739"/>
      <c r="O36" s="1747"/>
      <c r="P36" s="3727"/>
      <c r="Q36" s="1305" t="str">
        <f t="shared" si="8"/>
        <v>土地级别</v>
      </c>
      <c r="R36" s="1306" t="s">
        <v>5</v>
      </c>
      <c r="S36" s="1307">
        <f t="shared" si="9"/>
        <v>100</v>
      </c>
      <c r="T36" s="1306" t="s">
        <v>5</v>
      </c>
      <c r="U36" s="1307">
        <f t="shared" si="10"/>
        <v>100</v>
      </c>
      <c r="V36" s="1306" t="s">
        <v>5</v>
      </c>
      <c r="W36" s="1307">
        <f t="shared" si="11"/>
        <v>100</v>
      </c>
      <c r="X36" s="1301"/>
      <c r="Y36" s="3727"/>
      <c r="Z36" s="1308" t="str">
        <f t="shared" si="12"/>
        <v>土地级别</v>
      </c>
      <c r="AA36" s="1308">
        <f t="shared" si="3"/>
        <v>1</v>
      </c>
      <c r="AB36" s="1308">
        <f t="shared" si="4"/>
        <v>1</v>
      </c>
      <c r="AC36" s="1308">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8"/>
      <c r="M37" s="1739"/>
      <c r="N37" s="1739"/>
      <c r="O37" s="1747"/>
      <c r="P37" s="3727"/>
      <c r="Q37" s="1305">
        <f t="shared" si="8"/>
        <v>111</v>
      </c>
      <c r="R37" s="1306" t="s">
        <v>5</v>
      </c>
      <c r="S37" s="1307">
        <f t="shared" si="9"/>
        <v>100</v>
      </c>
      <c r="T37" s="1306" t="s">
        <v>5</v>
      </c>
      <c r="U37" s="1307">
        <f t="shared" si="10"/>
        <v>100</v>
      </c>
      <c r="V37" s="1306" t="s">
        <v>5</v>
      </c>
      <c r="W37" s="1307">
        <f t="shared" si="11"/>
        <v>100</v>
      </c>
      <c r="X37" s="1301"/>
      <c r="Y37" s="3727"/>
      <c r="Z37" s="1308">
        <f t="shared" si="12"/>
        <v>111</v>
      </c>
      <c r="AA37" s="1308">
        <f t="shared" si="3"/>
        <v>1</v>
      </c>
      <c r="AB37" s="1308">
        <f t="shared" si="4"/>
        <v>1</v>
      </c>
      <c r="AC37" s="1308">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8"/>
      <c r="M38" s="1739"/>
      <c r="N38" s="1739"/>
      <c r="O38" s="1747"/>
      <c r="P38" s="3728" t="s">
        <v>499</v>
      </c>
      <c r="Q38" s="1305">
        <f t="shared" si="8"/>
        <v>111</v>
      </c>
      <c r="R38" s="1306" t="s">
        <v>5</v>
      </c>
      <c r="S38" s="1307">
        <f t="shared" si="9"/>
        <v>100</v>
      </c>
      <c r="T38" s="1306" t="s">
        <v>5</v>
      </c>
      <c r="U38" s="1307">
        <f t="shared" si="10"/>
        <v>100</v>
      </c>
      <c r="V38" s="1306" t="s">
        <v>5</v>
      </c>
      <c r="W38" s="1307">
        <f t="shared" si="11"/>
        <v>100</v>
      </c>
      <c r="X38" s="1301"/>
      <c r="Y38" s="3729" t="s">
        <v>499</v>
      </c>
      <c r="Z38" s="1308">
        <f t="shared" si="12"/>
        <v>111</v>
      </c>
      <c r="AA38" s="1308">
        <f t="shared" si="3"/>
        <v>1</v>
      </c>
      <c r="AB38" s="1308">
        <f t="shared" si="4"/>
        <v>1</v>
      </c>
      <c r="AC38" s="1308">
        <f t="shared" si="5"/>
        <v>1</v>
      </c>
    </row>
    <row r="39" spans="1:29" s="1132"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6"/>
      <c r="M39" s="1739"/>
      <c r="N39" s="1739"/>
      <c r="O39" s="1749"/>
      <c r="P39" s="3729"/>
      <c r="Q39" s="1305">
        <f t="shared" si="8"/>
        <v>111</v>
      </c>
      <c r="R39" s="1309" t="s">
        <v>5</v>
      </c>
      <c r="S39" s="1310">
        <f t="shared" si="9"/>
        <v>100</v>
      </c>
      <c r="T39" s="1309" t="s">
        <v>5</v>
      </c>
      <c r="U39" s="1310">
        <f t="shared" si="10"/>
        <v>100</v>
      </c>
      <c r="V39" s="1309" t="s">
        <v>5</v>
      </c>
      <c r="W39" s="1310">
        <f t="shared" si="11"/>
        <v>100</v>
      </c>
      <c r="X39" s="1311"/>
      <c r="Y39" s="3729"/>
      <c r="Z39" s="1312">
        <f t="shared" si="12"/>
        <v>111</v>
      </c>
      <c r="AA39" s="1308">
        <f t="shared" si="3"/>
        <v>1</v>
      </c>
      <c r="AB39" s="1308">
        <f t="shared" si="4"/>
        <v>1</v>
      </c>
      <c r="AC39" s="1308">
        <f t="shared" si="5"/>
        <v>1</v>
      </c>
    </row>
    <row r="40" spans="1:29" ht="20.25">
      <c r="A40" s="2203" t="s">
        <v>2034</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48"/>
      <c r="M40" s="1739"/>
      <c r="N40" s="1739"/>
      <c r="O40" s="1747"/>
      <c r="P40" s="3729"/>
      <c r="Q40" s="1305" t="str">
        <f>B40</f>
        <v>宗地面积</v>
      </c>
      <c r="R40" s="1306" t="s">
        <v>5</v>
      </c>
      <c r="S40" s="1307" t="e">
        <f t="shared" si="9"/>
        <v>#N/A</v>
      </c>
      <c r="T40" s="1306" t="s">
        <v>5</v>
      </c>
      <c r="U40" s="1307" t="e">
        <f t="shared" si="10"/>
        <v>#N/A</v>
      </c>
      <c r="V40" s="1306" t="s">
        <v>5</v>
      </c>
      <c r="W40" s="1307" t="e">
        <f t="shared" si="11"/>
        <v>#N/A</v>
      </c>
      <c r="X40" s="1301"/>
      <c r="Y40" s="3729"/>
      <c r="Z40" s="1308" t="str">
        <f t="shared" si="12"/>
        <v>宗地面积</v>
      </c>
      <c r="AA40" s="1308" t="e">
        <f t="shared" si="3"/>
        <v>#N/A</v>
      </c>
      <c r="AB40" s="1308" t="e">
        <f t="shared" si="4"/>
        <v>#N/A</v>
      </c>
      <c r="AC40" s="1308" t="e">
        <f t="shared" si="5"/>
        <v>#N/A</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48"/>
      <c r="M41" s="1739"/>
      <c r="N41" s="1739"/>
      <c r="O41" s="1747"/>
      <c r="P41" s="3729"/>
      <c r="Q41" s="1305" t="str">
        <f t="shared" ref="Q41:Q47" si="13">B41</f>
        <v>宗地形状</v>
      </c>
      <c r="R41" s="1306" t="s">
        <v>5</v>
      </c>
      <c r="S41" s="1307">
        <f t="shared" si="9"/>
        <v>100</v>
      </c>
      <c r="T41" s="1306" t="s">
        <v>5</v>
      </c>
      <c r="U41" s="1307">
        <f t="shared" si="10"/>
        <v>100</v>
      </c>
      <c r="V41" s="1306" t="s">
        <v>5</v>
      </c>
      <c r="W41" s="1307">
        <f t="shared" si="11"/>
        <v>100</v>
      </c>
      <c r="X41" s="1301"/>
      <c r="Y41" s="3729"/>
      <c r="Z41" s="1308" t="str">
        <f t="shared" si="12"/>
        <v>宗地形状</v>
      </c>
      <c r="AA41" s="1308">
        <f t="shared" si="3"/>
        <v>1</v>
      </c>
      <c r="AB41" s="1308">
        <f t="shared" si="4"/>
        <v>1</v>
      </c>
      <c r="AC41" s="1308">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8"/>
      <c r="M42" s="1739"/>
      <c r="N42" s="1739"/>
      <c r="O42" s="1747"/>
      <c r="P42" s="3729"/>
      <c r="Q42" s="1305" t="str">
        <f t="shared" si="13"/>
        <v>临街宽度及深度</v>
      </c>
      <c r="R42" s="1306" t="s">
        <v>5</v>
      </c>
      <c r="S42" s="1307">
        <f t="shared" si="9"/>
        <v>100</v>
      </c>
      <c r="T42" s="1306" t="s">
        <v>5</v>
      </c>
      <c r="U42" s="1307">
        <f t="shared" si="10"/>
        <v>100</v>
      </c>
      <c r="V42" s="1306" t="s">
        <v>5</v>
      </c>
      <c r="W42" s="1307">
        <f t="shared" si="11"/>
        <v>100</v>
      </c>
      <c r="X42" s="1301"/>
      <c r="Y42" s="3729"/>
      <c r="Z42" s="1308" t="str">
        <f t="shared" si="12"/>
        <v>临街宽度及深度</v>
      </c>
      <c r="AA42" s="1308">
        <f t="shared" si="3"/>
        <v>1</v>
      </c>
      <c r="AB42" s="1308">
        <f t="shared" si="4"/>
        <v>1</v>
      </c>
      <c r="AC42" s="1308">
        <f t="shared" si="5"/>
        <v>1</v>
      </c>
    </row>
    <row r="43" spans="1:29" s="1058" customFormat="1" ht="20.25">
      <c r="A43" s="549"/>
      <c r="B43" s="1553" t="s">
        <v>1773</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2"/>
      <c r="M43" s="1739"/>
      <c r="N43" s="1739"/>
      <c r="O43" s="1743"/>
      <c r="P43" s="3729"/>
      <c r="Q43" s="1305" t="str">
        <f t="shared" si="13"/>
        <v>宗地开发程度</v>
      </c>
      <c r="R43" s="1302" t="s">
        <v>5</v>
      </c>
      <c r="S43" s="1303">
        <f t="shared" si="9"/>
        <v>100</v>
      </c>
      <c r="T43" s="1302" t="s">
        <v>5</v>
      </c>
      <c r="U43" s="1303">
        <f t="shared" si="10"/>
        <v>100</v>
      </c>
      <c r="V43" s="1302" t="s">
        <v>5</v>
      </c>
      <c r="W43" s="1303">
        <f t="shared" si="11"/>
        <v>100</v>
      </c>
      <c r="X43" s="1304"/>
      <c r="Y43" s="3729"/>
      <c r="Z43" s="995" t="str">
        <f t="shared" si="12"/>
        <v>宗地开发程度</v>
      </c>
      <c r="AA43" s="995">
        <f t="shared" si="3"/>
        <v>1</v>
      </c>
      <c r="AB43" s="995">
        <f t="shared" si="4"/>
        <v>1</v>
      </c>
      <c r="AC43" s="995">
        <f t="shared" si="5"/>
        <v>1</v>
      </c>
    </row>
    <row r="44" spans="1:29" ht="20.25">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48"/>
      <c r="M44" s="1739"/>
      <c r="N44" s="1739"/>
      <c r="O44" s="1747"/>
      <c r="P44" s="3729" t="s">
        <v>499</v>
      </c>
      <c r="Q44" s="1305" t="str">
        <f t="shared" si="13"/>
        <v>工程地质条件</v>
      </c>
      <c r="R44" s="1306" t="s">
        <v>5</v>
      </c>
      <c r="S44" s="1307">
        <f t="shared" si="9"/>
        <v>100</v>
      </c>
      <c r="T44" s="1306" t="s">
        <v>5</v>
      </c>
      <c r="U44" s="1307">
        <f t="shared" si="10"/>
        <v>100</v>
      </c>
      <c r="V44" s="1306" t="s">
        <v>5</v>
      </c>
      <c r="W44" s="1307">
        <f t="shared" si="11"/>
        <v>100</v>
      </c>
      <c r="X44" s="1301"/>
      <c r="Y44" s="3729" t="s">
        <v>499</v>
      </c>
      <c r="Z44" s="1308" t="str">
        <f t="shared" si="12"/>
        <v>工程地质条件</v>
      </c>
      <c r="AA44" s="1308">
        <f t="shared" si="3"/>
        <v>1</v>
      </c>
      <c r="AB44" s="1308">
        <f t="shared" si="4"/>
        <v>1</v>
      </c>
      <c r="AC44" s="1308">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8"/>
      <c r="M45" s="1739"/>
      <c r="N45" s="1739"/>
      <c r="O45" s="1747"/>
      <c r="P45" s="3729"/>
      <c r="Q45" s="1305">
        <f t="shared" si="13"/>
        <v>111</v>
      </c>
      <c r="R45" s="1306" t="s">
        <v>5</v>
      </c>
      <c r="S45" s="1307">
        <f t="shared" si="9"/>
        <v>100</v>
      </c>
      <c r="T45" s="1306" t="s">
        <v>5</v>
      </c>
      <c r="U45" s="1307">
        <f t="shared" si="10"/>
        <v>100</v>
      </c>
      <c r="V45" s="1306" t="s">
        <v>5</v>
      </c>
      <c r="W45" s="1307">
        <f t="shared" si="11"/>
        <v>100</v>
      </c>
      <c r="X45" s="1301"/>
      <c r="Y45" s="3729"/>
      <c r="Z45" s="1308">
        <f t="shared" si="12"/>
        <v>111</v>
      </c>
      <c r="AA45" s="1308">
        <f t="shared" si="3"/>
        <v>1</v>
      </c>
      <c r="AB45" s="1308">
        <f t="shared" si="4"/>
        <v>1</v>
      </c>
      <c r="AC45" s="1308">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8"/>
      <c r="M46" s="1739"/>
      <c r="N46" s="1739"/>
      <c r="O46" s="1747"/>
      <c r="P46" s="3729"/>
      <c r="Q46" s="1305">
        <f t="shared" si="13"/>
        <v>111</v>
      </c>
      <c r="R46" s="1306" t="s">
        <v>5</v>
      </c>
      <c r="S46" s="1307">
        <f t="shared" si="9"/>
        <v>100</v>
      </c>
      <c r="T46" s="1306" t="s">
        <v>5</v>
      </c>
      <c r="U46" s="1307">
        <f t="shared" si="10"/>
        <v>100</v>
      </c>
      <c r="V46" s="1306" t="s">
        <v>5</v>
      </c>
      <c r="W46" s="1307">
        <f t="shared" si="11"/>
        <v>100</v>
      </c>
      <c r="X46" s="1301"/>
      <c r="Y46" s="3729"/>
      <c r="Z46" s="1308">
        <f t="shared" si="12"/>
        <v>111</v>
      </c>
      <c r="AA46" s="1308">
        <f t="shared" si="3"/>
        <v>1</v>
      </c>
      <c r="AB46" s="1308">
        <f t="shared" si="4"/>
        <v>1</v>
      </c>
      <c r="AC46" s="1308">
        <f t="shared" si="5"/>
        <v>1</v>
      </c>
    </row>
    <row r="47" spans="1:29" s="1132"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6"/>
      <c r="M47" s="1739"/>
      <c r="N47" s="1739"/>
      <c r="O47" s="1749"/>
      <c r="P47" s="3729"/>
      <c r="Q47" s="1305">
        <f t="shared" si="13"/>
        <v>111</v>
      </c>
      <c r="R47" s="1309" t="s">
        <v>5</v>
      </c>
      <c r="S47" s="1310">
        <f t="shared" si="9"/>
        <v>100</v>
      </c>
      <c r="T47" s="1309" t="s">
        <v>5</v>
      </c>
      <c r="U47" s="1310">
        <f t="shared" si="10"/>
        <v>100</v>
      </c>
      <c r="V47" s="1309" t="s">
        <v>5</v>
      </c>
      <c r="W47" s="1310">
        <f t="shared" si="11"/>
        <v>100</v>
      </c>
      <c r="X47" s="1311"/>
      <c r="Y47" s="3729"/>
      <c r="Z47" s="1312">
        <f t="shared" si="12"/>
        <v>111</v>
      </c>
      <c r="AA47" s="1308">
        <f t="shared" si="3"/>
        <v>1</v>
      </c>
      <c r="AB47" s="1308">
        <f t="shared" si="4"/>
        <v>1</v>
      </c>
      <c r="AC47" s="1308">
        <f t="shared" si="5"/>
        <v>1</v>
      </c>
    </row>
    <row r="48" spans="1:29" ht="20.25">
      <c r="A48" s="556" t="s">
        <v>505</v>
      </c>
      <c r="B48" s="557" t="s">
        <v>2191</v>
      </c>
      <c r="C48" s="558" t="s">
        <v>0</v>
      </c>
      <c r="D48" s="559"/>
      <c r="E48" s="560"/>
      <c r="F48" s="561"/>
      <c r="G48" s="562"/>
      <c r="H48" s="563"/>
      <c r="I48" s="560"/>
      <c r="J48" s="563"/>
      <c r="K48" s="1133"/>
      <c r="L48" s="1750"/>
      <c r="M48" s="1739"/>
      <c r="N48" s="1739"/>
      <c r="O48" s="1741"/>
      <c r="P48" s="3724" t="str">
        <f>A48</f>
        <v>成交单价</v>
      </c>
      <c r="Q48" s="3724"/>
      <c r="R48" s="3740">
        <f>E48</f>
        <v>0</v>
      </c>
      <c r="S48" s="3740"/>
      <c r="T48" s="3740">
        <f>G48</f>
        <v>0</v>
      </c>
      <c r="U48" s="3740"/>
      <c r="V48" s="3740">
        <f>I48</f>
        <v>0</v>
      </c>
      <c r="W48" s="3740"/>
      <c r="X48" s="797"/>
      <c r="Y48" s="1313"/>
      <c r="Z48" s="797"/>
      <c r="AA48" s="797"/>
      <c r="AB48" s="797"/>
      <c r="AC48" s="797"/>
    </row>
    <row r="49" spans="1:29" ht="21" thickBot="1">
      <c r="A49" s="564" t="s">
        <v>1972</v>
      </c>
      <c r="B49" s="565"/>
      <c r="C49" s="566" t="e">
        <f>R50</f>
        <v>#DIV/0!</v>
      </c>
      <c r="D49" s="2549" t="s">
        <v>2255</v>
      </c>
      <c r="E49" s="566" t="e">
        <f>R49</f>
        <v>#DIV/0!</v>
      </c>
      <c r="F49" s="2550"/>
      <c r="G49" s="567" t="e">
        <f>T49</f>
        <v>#DIV/0!</v>
      </c>
      <c r="H49" s="2550"/>
      <c r="I49" s="566" t="e">
        <f>V49</f>
        <v>#DIV/0!</v>
      </c>
      <c r="J49" s="2550"/>
      <c r="K49" s="2551">
        <f>F49+H49+J49</f>
        <v>0</v>
      </c>
      <c r="L49" s="1750"/>
      <c r="M49" s="1739"/>
      <c r="N49" s="1739"/>
      <c r="O49" s="1741"/>
      <c r="P49" s="3724" t="str">
        <f>A49</f>
        <v>比较价格（元/平方米）</v>
      </c>
      <c r="Q49" s="3724"/>
      <c r="R49" s="3748" t="e">
        <f>ROUND(PRODUCT(R48,AA9:AA47),0)</f>
        <v>#DIV/0!</v>
      </c>
      <c r="S49" s="3748"/>
      <c r="T49" s="3748" t="e">
        <f>ROUND(PRODUCT(T48,AB9:AB47),0)</f>
        <v>#DIV/0!</v>
      </c>
      <c r="U49" s="3748"/>
      <c r="V49" s="3748" t="e">
        <f>ROUND(PRODUCT(V48,AC9:AC47),0)</f>
        <v>#DIV/0!</v>
      </c>
      <c r="W49" s="3748"/>
      <c r="X49" s="797"/>
      <c r="Y49" s="797"/>
      <c r="Z49" s="797"/>
      <c r="AA49" s="797"/>
      <c r="AB49" s="797"/>
      <c r="AC49" s="797"/>
    </row>
    <row r="50" spans="1:29" ht="21" thickBot="1">
      <c r="A50" s="568" t="s">
        <v>2192</v>
      </c>
      <c r="B50" s="569"/>
      <c r="C50" s="570" t="e">
        <f>R50</f>
        <v>#DIV/0!</v>
      </c>
      <c r="D50" s="570"/>
      <c r="E50" s="570"/>
      <c r="F50" s="570"/>
      <c r="G50" s="570"/>
      <c r="H50" s="570"/>
      <c r="I50" s="570"/>
      <c r="J50" s="570"/>
      <c r="K50" s="1134"/>
      <c r="L50" s="1750"/>
      <c r="M50" s="1739"/>
      <c r="N50" s="1739"/>
      <c r="O50" s="1741"/>
      <c r="P50" s="3730" t="str">
        <f>A50</f>
        <v>估价对象XX用房的比较价格（楼面单价，元/平方米）</v>
      </c>
      <c r="Q50" s="3731"/>
      <c r="R50" s="3747" t="e">
        <f>ROUND(IF(D49="简单平均",AVERAGE(R49:W49),R49*F49+T49*H49+V49*J49),0)</f>
        <v>#DIV/0!</v>
      </c>
      <c r="S50" s="3747"/>
      <c r="T50" s="3747"/>
      <c r="U50" s="3747"/>
      <c r="V50" s="3747"/>
      <c r="W50" s="3747"/>
      <c r="X50" s="797"/>
      <c r="Y50" s="797"/>
      <c r="Z50" s="797"/>
      <c r="AA50" s="797"/>
      <c r="AB50" s="797"/>
      <c r="AC50" s="797"/>
    </row>
    <row r="51" spans="1:29" ht="20.25">
      <c r="A51" s="2720"/>
      <c r="B51" s="2720"/>
      <c r="C51" s="2720"/>
      <c r="D51" s="2720"/>
      <c r="E51" s="2720"/>
      <c r="F51" s="2720"/>
      <c r="G51" s="2722"/>
      <c r="H51" s="2720"/>
      <c r="I51" s="2720"/>
      <c r="J51" s="2720"/>
      <c r="K51" s="2723"/>
      <c r="L51" s="1754"/>
      <c r="M51" s="1739"/>
      <c r="N51" s="1739"/>
      <c r="O51" s="1741"/>
      <c r="P51" s="1741"/>
      <c r="Q51" s="1741"/>
      <c r="R51" s="1741"/>
      <c r="S51" s="1741"/>
      <c r="T51" s="1741"/>
      <c r="U51" s="1741"/>
      <c r="V51" s="1741"/>
      <c r="W51" s="1741"/>
      <c r="X51" s="1741"/>
      <c r="Y51" s="1741"/>
      <c r="Z51" s="1741"/>
      <c r="AA51" s="1741"/>
      <c r="AB51" s="1741"/>
      <c r="AC51" s="1741"/>
    </row>
    <row r="52" spans="1:29" ht="20.25">
      <c r="A52" s="2720"/>
      <c r="B52" s="2720"/>
      <c r="C52" s="2720"/>
      <c r="D52" s="2720"/>
      <c r="E52" s="2720"/>
      <c r="F52" s="2720"/>
      <c r="G52" s="2720"/>
      <c r="H52" s="2720"/>
      <c r="I52" s="2720"/>
      <c r="J52" s="2720"/>
      <c r="K52" s="2723"/>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4"/>
      <c r="M54" s="1739"/>
      <c r="N54" s="1739"/>
      <c r="O54" s="1741"/>
      <c r="P54" s="1741"/>
      <c r="Q54" s="1741"/>
      <c r="R54" s="1741"/>
      <c r="S54" s="1741"/>
      <c r="T54" s="1741"/>
      <c r="U54" s="1741"/>
      <c r="V54" s="1741"/>
      <c r="W54" s="1741"/>
      <c r="X54" s="1741"/>
      <c r="Y54" s="1741"/>
      <c r="Z54" s="1741"/>
      <c r="AA54" s="1741"/>
      <c r="AB54" s="1741"/>
      <c r="AC54" s="1741"/>
    </row>
    <row r="55" spans="1:29" s="1137"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7"/>
      <c r="M55" s="1739"/>
      <c r="N55" s="1739"/>
      <c r="O55" s="1751"/>
      <c r="P55" s="1751"/>
      <c r="Q55" s="1751"/>
      <c r="R55" s="1751"/>
      <c r="S55" s="1751"/>
      <c r="T55" s="1751"/>
      <c r="U55" s="1751"/>
      <c r="V55" s="1751"/>
      <c r="W55" s="1751"/>
      <c r="X55" s="1751"/>
      <c r="Y55" s="1751"/>
      <c r="Z55" s="1751"/>
      <c r="AA55" s="1751"/>
      <c r="AB55" s="1751"/>
      <c r="AC55" s="1751"/>
    </row>
    <row r="56" spans="1:29" s="1137" customFormat="1" ht="21" thickBot="1">
      <c r="A56" s="1751"/>
      <c r="B56" s="1752"/>
      <c r="C56" s="1755"/>
      <c r="D56" s="1751"/>
      <c r="E56" s="1751"/>
      <c r="F56" s="1751"/>
      <c r="G56" s="1751"/>
      <c r="H56" s="1751"/>
      <c r="I56" s="1751"/>
      <c r="J56" s="1751"/>
      <c r="K56" s="2724"/>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6" t="s">
        <v>509</v>
      </c>
      <c r="B57" s="577" t="s">
        <v>510</v>
      </c>
      <c r="C57" s="1299" t="s">
        <v>1253</v>
      </c>
      <c r="D57" s="1820" t="s">
        <v>1648</v>
      </c>
      <c r="E57" s="578" t="s">
        <v>511</v>
      </c>
      <c r="F57" s="579" t="s">
        <v>512</v>
      </c>
      <c r="G57" s="3709" t="s">
        <v>1637</v>
      </c>
      <c r="H57" s="3710"/>
      <c r="I57" s="1296" t="s">
        <v>1251</v>
      </c>
      <c r="J57" s="1296">
        <f>项目基本情况!F41</f>
        <v>0</v>
      </c>
      <c r="K57" s="1758" t="s">
        <v>1252</v>
      </c>
      <c r="L57" s="1754"/>
      <c r="M57" s="1741"/>
      <c r="N57" s="1741"/>
      <c r="O57" s="1741"/>
      <c r="P57" s="1741"/>
      <c r="Q57" s="1741"/>
      <c r="R57" s="1741"/>
      <c r="S57" s="1741"/>
      <c r="T57" s="1741"/>
      <c r="U57" s="1741"/>
      <c r="V57" s="1741"/>
      <c r="W57" s="1741"/>
      <c r="X57" s="1741"/>
      <c r="Y57" s="1741"/>
      <c r="Z57" s="1741"/>
      <c r="AA57" s="1741"/>
      <c r="AB57" s="1741"/>
      <c r="AC57" s="1741"/>
    </row>
    <row r="58" spans="1:29" s="1138" customFormat="1" ht="12.75">
      <c r="A58" s="580" t="s">
        <v>513</v>
      </c>
      <c r="B58" s="581" t="e">
        <f>C50</f>
        <v>#DIV/0!</v>
      </c>
      <c r="C58" s="582">
        <v>1</v>
      </c>
      <c r="D58" s="1821">
        <v>1</v>
      </c>
      <c r="E58" s="582">
        <f>'数据-汇总表'!E8+'数据-汇总表'!E9</f>
        <v>5006.88</v>
      </c>
      <c r="F58" s="583" t="e">
        <f t="shared" ref="F58:F66" si="14">ROUND(B58*E58/10000,0)</f>
        <v>#DIV/0!</v>
      </c>
      <c r="G58" s="3711"/>
      <c r="H58" s="3712"/>
      <c r="I58" s="1297">
        <v>1</v>
      </c>
      <c r="J58" s="1297">
        <v>1</v>
      </c>
      <c r="K58" s="2725"/>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4" t="s">
        <v>514</v>
      </c>
      <c r="B59" s="585" t="e">
        <f>ROUND($C$50*C59*D59,0)</f>
        <v>#DIV/0!</v>
      </c>
      <c r="C59" s="348">
        <f t="shared" ref="C59:C66" si="15">IF($C$57="北京市系数",I59,J59)</f>
        <v>0</v>
      </c>
      <c r="D59" s="1822">
        <v>0.25</v>
      </c>
      <c r="E59" s="586">
        <v>0</v>
      </c>
      <c r="F59" s="583" t="e">
        <f t="shared" si="14"/>
        <v>#DIV/0!</v>
      </c>
      <c r="G59" s="3027" t="s">
        <v>1638</v>
      </c>
      <c r="H59" s="1606">
        <f>项目基本情况!B43</f>
        <v>0</v>
      </c>
      <c r="I59" s="1297">
        <f>SUMIF(修正!$A$57:$A$68,H59,修正!B57:B68)</f>
        <v>0</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4" t="s">
        <v>515</v>
      </c>
      <c r="B60" s="585" t="e">
        <f t="shared" ref="B60:B66" si="16">ROUND($C$50*C60*D60,0)</f>
        <v>#DIV/0!</v>
      </c>
      <c r="C60" s="348">
        <f t="shared" si="15"/>
        <v>0</v>
      </c>
      <c r="D60" s="1822">
        <v>0.25</v>
      </c>
      <c r="E60" s="586">
        <v>0</v>
      </c>
      <c r="F60" s="583" t="e">
        <f t="shared" si="14"/>
        <v>#DIV/0!</v>
      </c>
      <c r="G60" s="3028"/>
      <c r="H60" s="1606">
        <f>项目基本情况!B43</f>
        <v>0</v>
      </c>
      <c r="I60" s="1297">
        <f>SUMIF(修正!$A$57:$A$68,H60,修正!C57:C68)</f>
        <v>0</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2.75">
      <c r="A61" s="584" t="s">
        <v>516</v>
      </c>
      <c r="B61" s="585" t="e">
        <f t="shared" si="16"/>
        <v>#DIV/0!</v>
      </c>
      <c r="C61" s="348">
        <f t="shared" si="15"/>
        <v>0</v>
      </c>
      <c r="D61" s="1822">
        <v>0.25</v>
      </c>
      <c r="E61" s="586">
        <v>0</v>
      </c>
      <c r="F61" s="583" t="e">
        <f t="shared" si="14"/>
        <v>#DIV/0!</v>
      </c>
      <c r="G61" s="3028"/>
      <c r="H61" s="1606">
        <f>项目基本情况!B43</f>
        <v>0</v>
      </c>
      <c r="I61" s="1297">
        <f>SUMIF(修正!$A$57:$A$68,H61,修正!D57:D68)</f>
        <v>0</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2.75">
      <c r="A62" s="1918" t="s">
        <v>1682</v>
      </c>
      <c r="B62" s="585" t="e">
        <f t="shared" si="16"/>
        <v>#DIV/0!</v>
      </c>
      <c r="C62" s="348">
        <f t="shared" si="15"/>
        <v>0</v>
      </c>
      <c r="D62" s="1822">
        <v>0.25</v>
      </c>
      <c r="E62" s="588">
        <f>'数据-汇总表'!E11</f>
        <v>0</v>
      </c>
      <c r="F62" s="583" t="e">
        <f t="shared" si="14"/>
        <v>#DIV/0!</v>
      </c>
      <c r="G62" s="1603" t="s">
        <v>1639</v>
      </c>
      <c r="H62" s="1606">
        <f>项目基本情况!C43</f>
        <v>0</v>
      </c>
      <c r="I62" s="1297">
        <f>SUMIF(修正!$A$57:$A$68,H62,修正!E57:E68)</f>
        <v>0</v>
      </c>
      <c r="J62" s="1298"/>
      <c r="K62" s="2725"/>
      <c r="L62" s="1759"/>
      <c r="M62" s="1759"/>
      <c r="N62" s="1759"/>
      <c r="O62" s="1759"/>
      <c r="P62" s="1759"/>
      <c r="Q62" s="1759"/>
      <c r="R62" s="1759"/>
      <c r="S62" s="1759"/>
      <c r="T62" s="1759"/>
      <c r="U62" s="1759"/>
      <c r="V62" s="1759"/>
      <c r="W62" s="1759"/>
      <c r="X62" s="1759"/>
      <c r="Y62" s="1759"/>
      <c r="Z62" s="1759"/>
      <c r="AA62" s="1759"/>
      <c r="AB62" s="1759"/>
      <c r="AC62" s="1759"/>
    </row>
    <row r="63" spans="1:29" s="1138" customFormat="1" ht="12.75">
      <c r="A63" s="584" t="s">
        <v>517</v>
      </c>
      <c r="B63" s="585" t="e">
        <f t="shared" si="16"/>
        <v>#DIV/0!</v>
      </c>
      <c r="C63" s="348">
        <f t="shared" si="15"/>
        <v>0</v>
      </c>
      <c r="D63" s="1822">
        <v>0.25</v>
      </c>
      <c r="E63" s="588">
        <f>'数据-汇总表'!E12</f>
        <v>0</v>
      </c>
      <c r="F63" s="583" t="e">
        <f t="shared" si="14"/>
        <v>#DIV/0!</v>
      </c>
      <c r="G63" s="1604" t="s">
        <v>1212</v>
      </c>
      <c r="H63" s="1602">
        <f>IF(G63="商业",项目基本情况!B43,IF(G63="办公",项目基本情况!C43,IF(G63="住宅",项目基本情况!D43,项目基本情况!E43)))</f>
        <v>0</v>
      </c>
      <c r="I63" s="1297">
        <f>SUMIF(修正!$A$57:$A$68,H63,修正!F57:F68)</f>
        <v>0</v>
      </c>
      <c r="J63" s="1298"/>
      <c r="K63" s="2725"/>
      <c r="L63" s="1759"/>
      <c r="M63" s="1759"/>
      <c r="N63" s="1759"/>
      <c r="O63" s="1759"/>
      <c r="P63" s="1759"/>
      <c r="Q63" s="1759"/>
      <c r="R63" s="1759"/>
      <c r="S63" s="1759"/>
      <c r="T63" s="1759"/>
      <c r="U63" s="1759"/>
      <c r="V63" s="1759"/>
      <c r="W63" s="1759"/>
      <c r="X63" s="1759"/>
      <c r="Y63" s="1759"/>
      <c r="Z63" s="1759"/>
      <c r="AA63" s="1759"/>
      <c r="AB63" s="1759"/>
      <c r="AC63" s="1759"/>
    </row>
    <row r="64" spans="1:29" s="1138" customFormat="1" ht="12.75">
      <c r="A64" s="584" t="s">
        <v>518</v>
      </c>
      <c r="B64" s="585" t="e">
        <f t="shared" si="16"/>
        <v>#DIV/0!</v>
      </c>
      <c r="C64" s="348">
        <f t="shared" si="15"/>
        <v>0</v>
      </c>
      <c r="D64" s="1822">
        <v>0.25</v>
      </c>
      <c r="E64" s="588">
        <f>'数据-汇总表'!E13</f>
        <v>0</v>
      </c>
      <c r="F64" s="583" t="e">
        <f t="shared" si="14"/>
        <v>#DIV/0!</v>
      </c>
      <c r="G64" s="1604" t="s">
        <v>851</v>
      </c>
      <c r="H64" s="1602">
        <f>IF(G64="商业",项目基本情况!B43,IF(G64="办公",项目基本情况!C43,IF(G64="住宅",项目基本情况!D43,项目基本情况!E43)))</f>
        <v>0</v>
      </c>
      <c r="I64" s="1297">
        <f>SUMIF(修正!$A$57:$A$68,H64,修正!G57:G68)</f>
        <v>0</v>
      </c>
      <c r="J64" s="1298"/>
      <c r="K64" s="2725"/>
      <c r="L64" s="1759"/>
      <c r="M64" s="1759"/>
      <c r="N64" s="1759"/>
      <c r="O64" s="1759"/>
      <c r="P64" s="1759"/>
      <c r="Q64" s="1759"/>
      <c r="R64" s="1759"/>
      <c r="S64" s="1759"/>
      <c r="T64" s="1759"/>
      <c r="U64" s="1759"/>
      <c r="V64" s="1759"/>
      <c r="W64" s="1759"/>
      <c r="X64" s="1759"/>
      <c r="Y64" s="1759"/>
      <c r="Z64" s="1759"/>
      <c r="AA64" s="1759"/>
      <c r="AB64" s="1759"/>
      <c r="AC64" s="1759"/>
    </row>
    <row r="65" spans="1:29" s="1138" customFormat="1" ht="12.75">
      <c r="A65" s="584" t="s">
        <v>519</v>
      </c>
      <c r="B65" s="585" t="e">
        <f t="shared" si="16"/>
        <v>#DIV/0!</v>
      </c>
      <c r="C65" s="348">
        <f t="shared" si="15"/>
        <v>0</v>
      </c>
      <c r="D65" s="1822">
        <v>0.25</v>
      </c>
      <c r="E65" s="588">
        <f>'数据-汇总表'!E14</f>
        <v>0</v>
      </c>
      <c r="F65" s="583" t="e">
        <f t="shared" si="14"/>
        <v>#DIV/0!</v>
      </c>
      <c r="G65" s="1603" t="s">
        <v>1638</v>
      </c>
      <c r="H65" s="1606">
        <f>项目基本情况!B43</f>
        <v>0</v>
      </c>
      <c r="I65" s="1297">
        <f>SUMIF(修正!$A$57:$A$68,H65,修正!G57:G68)</f>
        <v>0</v>
      </c>
      <c r="J65" s="1298"/>
      <c r="K65" s="2725"/>
      <c r="L65" s="1759"/>
      <c r="M65" s="1759"/>
      <c r="N65" s="1759"/>
      <c r="O65" s="1759"/>
      <c r="P65" s="1759"/>
      <c r="Q65" s="1759"/>
      <c r="R65" s="1759"/>
      <c r="S65" s="1759"/>
      <c r="T65" s="1759"/>
      <c r="U65" s="1759"/>
      <c r="V65" s="1759"/>
      <c r="W65" s="1759"/>
      <c r="X65" s="1759"/>
      <c r="Y65" s="1759"/>
      <c r="Z65" s="1759"/>
      <c r="AA65" s="1759"/>
      <c r="AB65" s="1759"/>
      <c r="AC65" s="1759"/>
    </row>
    <row r="66" spans="1:29" s="1138" customFormat="1" ht="13.5" thickBot="1">
      <c r="A66" s="584" t="s">
        <v>520</v>
      </c>
      <c r="B66" s="585" t="e">
        <f t="shared" si="16"/>
        <v>#DIV/0!</v>
      </c>
      <c r="C66" s="348">
        <f t="shared" si="15"/>
        <v>0</v>
      </c>
      <c r="D66" s="1822">
        <v>0.25</v>
      </c>
      <c r="E66" s="588">
        <f>'数据-汇总表'!E15</f>
        <v>0</v>
      </c>
      <c r="F66" s="583" t="e">
        <f t="shared" si="14"/>
        <v>#DIV/0!</v>
      </c>
      <c r="G66" s="1605" t="s">
        <v>1639</v>
      </c>
      <c r="H66" s="1607">
        <f>项目基本情况!C43</f>
        <v>0</v>
      </c>
      <c r="I66" s="1297">
        <f>SUMIF(修正!$A$57:$A$68,H66,修正!G57:G68)</f>
        <v>0</v>
      </c>
      <c r="J66" s="1298"/>
      <c r="K66" s="2725"/>
      <c r="L66" s="1759"/>
      <c r="M66" s="1759"/>
      <c r="N66" s="1759"/>
      <c r="O66" s="1759"/>
      <c r="P66" s="1759"/>
      <c r="Q66" s="1759"/>
      <c r="R66" s="1759"/>
      <c r="S66" s="1759"/>
      <c r="T66" s="1759"/>
      <c r="U66" s="1759"/>
      <c r="V66" s="1759"/>
      <c r="W66" s="1759"/>
      <c r="X66" s="1759"/>
      <c r="Y66" s="1759"/>
      <c r="Z66" s="1759"/>
      <c r="AA66" s="1759"/>
      <c r="AB66" s="1759"/>
      <c r="AC66" s="1759"/>
    </row>
    <row r="67" spans="1:29" s="1138" customFormat="1" ht="13.5" thickBot="1">
      <c r="A67" s="589" t="s">
        <v>521</v>
      </c>
      <c r="B67" s="590" t="s">
        <v>11</v>
      </c>
      <c r="C67" s="590" t="s">
        <v>12</v>
      </c>
      <c r="D67" s="590" t="s">
        <v>1649</v>
      </c>
      <c r="E67" s="590">
        <f>IF(B48="楼面地价",SUM(E58:E66),'数据-汇总表'!D3)</f>
        <v>17556.580000000002</v>
      </c>
      <c r="F67" s="591" t="e">
        <f>IF(B48="楼面地价",SUM(F58:F66),ROUND(C50*E67/10000,0))</f>
        <v>#DIV/0!</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10" t="str">
        <f>YEAR(C9)&amp;"-"&amp;MONTH(C9)&amp;"-1"</f>
        <v>2023-9-1</v>
      </c>
      <c r="D69" s="2110">
        <f>EDATE(C69,-3)</f>
        <v>45078</v>
      </c>
      <c r="E69" s="2110">
        <f t="shared" ref="E69:N69" si="17">EDATE(D69,-3)</f>
        <v>44986</v>
      </c>
      <c r="F69" s="2110">
        <f t="shared" si="17"/>
        <v>44896</v>
      </c>
      <c r="G69" s="2110">
        <f t="shared" si="17"/>
        <v>44805</v>
      </c>
      <c r="H69" s="2110">
        <f t="shared" si="17"/>
        <v>44713</v>
      </c>
      <c r="I69" s="2110">
        <f t="shared" si="17"/>
        <v>44621</v>
      </c>
      <c r="J69" s="2110">
        <f t="shared" si="17"/>
        <v>44531</v>
      </c>
      <c r="K69" s="2110">
        <f t="shared" si="17"/>
        <v>44440</v>
      </c>
      <c r="L69" s="2110">
        <f t="shared" si="17"/>
        <v>44348</v>
      </c>
      <c r="M69" s="2110">
        <f t="shared" si="17"/>
        <v>44256</v>
      </c>
      <c r="N69" s="2110">
        <f t="shared" si="17"/>
        <v>44166</v>
      </c>
      <c r="O69" s="1741"/>
      <c r="P69" s="1741"/>
      <c r="Q69" s="1741"/>
      <c r="R69" s="1741"/>
      <c r="S69" s="1741"/>
      <c r="T69" s="1741"/>
      <c r="U69" s="1741"/>
      <c r="V69" s="1741"/>
      <c r="W69" s="1741"/>
      <c r="X69" s="1741"/>
      <c r="Y69" s="1741"/>
      <c r="Z69" s="1741"/>
      <c r="AA69" s="1741"/>
      <c r="AB69" s="1741"/>
      <c r="AC69" s="1741"/>
    </row>
    <row r="70" spans="1:29" ht="21.75" thickBot="1">
      <c r="A70" s="1316" t="s">
        <v>522</v>
      </c>
      <c r="B70" s="797"/>
      <c r="C70" s="1315"/>
      <c r="D70" s="1315"/>
      <c r="E70" s="1315"/>
      <c r="F70" s="1317"/>
      <c r="G70" s="1317"/>
      <c r="H70" s="1315"/>
      <c r="I70" s="1315"/>
      <c r="J70" s="1315"/>
      <c r="K70" s="1318"/>
      <c r="L70" s="1314"/>
      <c r="M70" s="1315"/>
      <c r="N70" s="1315"/>
      <c r="O70" s="1761"/>
      <c r="P70" s="1761"/>
      <c r="Q70" s="1762"/>
      <c r="R70" s="1741"/>
      <c r="S70" s="1741"/>
      <c r="T70" s="1741"/>
      <c r="U70" s="1741"/>
      <c r="V70" s="1741"/>
      <c r="W70" s="1741"/>
      <c r="X70" s="1741"/>
      <c r="Y70" s="1741"/>
      <c r="Z70" s="1741"/>
      <c r="AA70" s="1741"/>
      <c r="AB70" s="1741"/>
      <c r="AC70" s="1741"/>
    </row>
    <row r="71" spans="1:29" s="1139" customFormat="1" ht="15">
      <c r="A71" s="2041" t="s">
        <v>1812</v>
      </c>
      <c r="B71" s="2042"/>
      <c r="C71" s="155" t="str">
        <f>YEAR(C69)&amp;"-"&amp;ROUNDUP(MONTH(C69)/3,0)</f>
        <v>2023-3</v>
      </c>
      <c r="D71" s="155" t="str">
        <f>YEAR(D69)&amp;"-"&amp;ROUNDUP(MONTH(D69)/3,0)</f>
        <v>2023-2</v>
      </c>
      <c r="E71" s="155" t="str">
        <f t="shared" ref="E71:N71" si="18">YEAR(E69)&amp;"-"&amp;ROUNDUP(MONTH(E69)/3,0)</f>
        <v>2023-1</v>
      </c>
      <c r="F71" s="155" t="str">
        <f t="shared" si="18"/>
        <v>2022-4</v>
      </c>
      <c r="G71" s="155" t="str">
        <f t="shared" si="18"/>
        <v>2022-3</v>
      </c>
      <c r="H71" s="155" t="str">
        <f t="shared" si="18"/>
        <v>2022-2</v>
      </c>
      <c r="I71" s="155" t="str">
        <f t="shared" si="18"/>
        <v>2022-1</v>
      </c>
      <c r="J71" s="155" t="str">
        <f t="shared" si="18"/>
        <v>2021-4</v>
      </c>
      <c r="K71" s="155" t="str">
        <f t="shared" si="18"/>
        <v>2021-3</v>
      </c>
      <c r="L71" s="155" t="str">
        <f t="shared" si="18"/>
        <v>2021-2</v>
      </c>
      <c r="M71" s="155" t="str">
        <f t="shared" si="18"/>
        <v>2021-1</v>
      </c>
      <c r="N71" s="155" t="str">
        <f t="shared" si="18"/>
        <v>2020-4</v>
      </c>
      <c r="O71" s="1763"/>
      <c r="P71" s="1764"/>
      <c r="Q71" s="1764"/>
      <c r="R71" s="1764"/>
      <c r="S71" s="1764"/>
      <c r="T71" s="1764"/>
      <c r="U71" s="1764"/>
      <c r="V71" s="1764"/>
      <c r="W71" s="1764"/>
      <c r="X71" s="1764"/>
      <c r="Y71" s="1764"/>
      <c r="Z71" s="1764"/>
      <c r="AA71" s="1764"/>
      <c r="AB71" s="1764"/>
      <c r="AC71" s="1764"/>
    </row>
    <row r="72" spans="1:29" s="1058" customFormat="1" ht="27" customHeight="1">
      <c r="A72" s="2116" t="s">
        <v>1926</v>
      </c>
      <c r="B72" s="448" t="str">
        <f>"北京市平均增长率"&amp;TEXT(SUMIF(基准地价!N25:N29,A72,基准地价!P25:P29),"0.00%")</f>
        <v>北京市平均增长率0.00%</v>
      </c>
      <c r="C72" s="816">
        <v>100</v>
      </c>
      <c r="D72" s="79"/>
      <c r="E72" s="79"/>
      <c r="F72" s="79"/>
      <c r="G72" s="79"/>
      <c r="H72" s="79"/>
      <c r="I72" s="79"/>
      <c r="J72" s="79"/>
      <c r="K72" s="79"/>
      <c r="L72" s="79"/>
      <c r="M72" s="91"/>
      <c r="N72" s="534"/>
      <c r="O72" s="1765"/>
      <c r="P72" s="1762"/>
      <c r="Q72" s="1639"/>
      <c r="R72" s="1639"/>
      <c r="S72" s="1639"/>
      <c r="T72" s="1639"/>
      <c r="U72" s="1639"/>
      <c r="V72" s="1639"/>
      <c r="W72" s="1639"/>
      <c r="X72" s="1639"/>
      <c r="Y72" s="1639"/>
      <c r="Z72" s="1639"/>
      <c r="AA72" s="1639"/>
      <c r="AB72" s="1639"/>
      <c r="AC72" s="1639"/>
    </row>
    <row r="73" spans="1:29" s="1058" customFormat="1" ht="15" customHeight="1" thickBot="1">
      <c r="A73" s="2108" t="s">
        <v>1925</v>
      </c>
      <c r="B73" s="2115"/>
      <c r="C73" s="2106"/>
      <c r="D73" s="2107"/>
      <c r="E73" s="2107"/>
      <c r="F73" s="2107"/>
      <c r="G73" s="2107"/>
      <c r="H73" s="2107"/>
      <c r="I73" s="2107"/>
      <c r="J73" s="2107"/>
      <c r="K73" s="2107"/>
      <c r="L73" s="2107"/>
      <c r="M73" s="2107"/>
      <c r="N73" s="2107"/>
      <c r="O73" s="1765"/>
      <c r="P73" s="1762"/>
      <c r="Q73" s="1762"/>
      <c r="R73" s="1639"/>
      <c r="S73" s="1639"/>
      <c r="T73" s="1639"/>
      <c r="U73" s="1639"/>
      <c r="V73" s="1639"/>
      <c r="W73" s="1639"/>
      <c r="X73" s="1639"/>
      <c r="Y73" s="1639"/>
      <c r="Z73" s="1639"/>
      <c r="AA73" s="1639"/>
      <c r="AB73" s="1639"/>
      <c r="AC73" s="1639"/>
    </row>
    <row r="74" spans="1:29" s="1058" customFormat="1" ht="15">
      <c r="A74" s="603" t="s">
        <v>480</v>
      </c>
      <c r="B74" s="594"/>
      <c r="C74" s="604" t="s">
        <v>524</v>
      </c>
      <c r="D74" s="80"/>
      <c r="E74" s="80"/>
      <c r="F74" s="80"/>
      <c r="G74" s="80"/>
      <c r="H74" s="80"/>
      <c r="I74" s="80"/>
      <c r="J74" s="80"/>
      <c r="K74" s="80"/>
      <c r="L74" s="605"/>
      <c r="M74" s="606"/>
      <c r="N74" s="1765"/>
      <c r="O74" s="1765"/>
      <c r="P74" s="1646"/>
      <c r="Q74" s="1762"/>
      <c r="R74" s="1639"/>
      <c r="S74" s="1639"/>
      <c r="T74" s="1639"/>
      <c r="U74" s="1639"/>
      <c r="V74" s="1639"/>
      <c r="W74" s="1639"/>
      <c r="X74" s="1639"/>
      <c r="Y74" s="1639"/>
      <c r="Z74" s="1639"/>
      <c r="AA74" s="1639"/>
      <c r="AB74" s="1639"/>
      <c r="AC74" s="1639"/>
    </row>
    <row r="75" spans="1:29" s="1058" customFormat="1" ht="15.75" thickBot="1">
      <c r="A75" s="603"/>
      <c r="B75" s="594"/>
      <c r="C75" s="595">
        <v>100</v>
      </c>
      <c r="D75" s="596"/>
      <c r="E75" s="596"/>
      <c r="F75" s="596"/>
      <c r="G75" s="596"/>
      <c r="H75" s="596"/>
      <c r="I75" s="596"/>
      <c r="J75" s="596"/>
      <c r="K75" s="596"/>
      <c r="L75" s="596"/>
      <c r="M75" s="597"/>
      <c r="N75" s="1765"/>
      <c r="O75" s="1765"/>
      <c r="P75" s="1762"/>
      <c r="Q75" s="1762"/>
      <c r="R75" s="1639"/>
      <c r="S75" s="1639"/>
      <c r="T75" s="1639"/>
      <c r="U75" s="1639"/>
      <c r="V75" s="1639"/>
      <c r="W75" s="1639"/>
      <c r="X75" s="1639"/>
      <c r="Y75" s="1639"/>
      <c r="Z75" s="1639"/>
      <c r="AA75" s="1639"/>
      <c r="AB75" s="1639"/>
      <c r="AC75" s="1639"/>
    </row>
    <row r="76" spans="1:29">
      <c r="A76" s="607" t="s">
        <v>525</v>
      </c>
      <c r="B76" s="608" t="s">
        <v>483</v>
      </c>
      <c r="C76" s="547"/>
      <c r="D76" s="547"/>
      <c r="E76" s="547"/>
      <c r="F76" s="547"/>
      <c r="G76" s="547"/>
      <c r="H76" s="547"/>
      <c r="I76" s="547"/>
      <c r="J76" s="547"/>
      <c r="K76" s="609"/>
      <c r="L76" s="610"/>
      <c r="M76" s="611"/>
      <c r="N76" s="1766"/>
      <c r="O76" s="1766"/>
      <c r="P76" s="1765"/>
      <c r="Q76" s="1762"/>
      <c r="R76" s="1741"/>
      <c r="S76" s="1741"/>
      <c r="T76" s="1741"/>
      <c r="U76" s="1741"/>
      <c r="V76" s="1741"/>
      <c r="W76" s="1741"/>
      <c r="X76" s="1741"/>
      <c r="Y76" s="1741"/>
      <c r="Z76" s="1741"/>
      <c r="AA76" s="1741"/>
      <c r="AB76" s="1741"/>
      <c r="AC76" s="1741"/>
    </row>
    <row r="77" spans="1:29" ht="15.75" thickBot="1">
      <c r="A77" s="482"/>
      <c r="B77" s="612"/>
      <c r="C77" s="613"/>
      <c r="D77" s="613"/>
      <c r="E77" s="613"/>
      <c r="F77" s="613"/>
      <c r="G77" s="613"/>
      <c r="H77" s="613"/>
      <c r="I77" s="613"/>
      <c r="J77" s="613"/>
      <c r="K77" s="613"/>
      <c r="L77" s="613"/>
      <c r="M77" s="614"/>
      <c r="N77" s="1767"/>
      <c r="O77" s="1767"/>
      <c r="P77" s="1765"/>
      <c r="Q77" s="1762"/>
      <c r="R77" s="1741"/>
      <c r="S77" s="1741"/>
      <c r="T77" s="1741"/>
      <c r="U77" s="1741"/>
      <c r="V77" s="1741"/>
      <c r="W77" s="1741"/>
      <c r="X77" s="1741"/>
      <c r="Y77" s="1741"/>
      <c r="Z77" s="1741"/>
      <c r="AA77" s="1741"/>
      <c r="AB77" s="1741"/>
      <c r="AC77" s="1741"/>
    </row>
    <row r="78" spans="1:29" ht="27.75" thickTop="1">
      <c r="A78" s="482"/>
      <c r="B78" s="615" t="s">
        <v>486</v>
      </c>
      <c r="C78" s="616"/>
      <c r="D78" s="616"/>
      <c r="E78" s="616"/>
      <c r="F78" s="616"/>
      <c r="G78" s="616"/>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c r="D79" s="621"/>
      <c r="E79" s="621"/>
      <c r="F79" s="621"/>
      <c r="G79" s="621"/>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75" thickTop="1">
      <c r="A80" s="482"/>
      <c r="B80" s="623" t="s">
        <v>487</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7"/>
      <c r="O80" s="1767"/>
      <c r="P80" s="1765"/>
      <c r="Q80" s="1762"/>
      <c r="R80" s="1741"/>
      <c r="S80" s="1741"/>
      <c r="T80" s="1741"/>
      <c r="U80" s="1741"/>
      <c r="V80" s="1741"/>
      <c r="W80" s="1741"/>
      <c r="X80" s="1741"/>
      <c r="Y80" s="1741"/>
      <c r="Z80" s="1741"/>
      <c r="AA80" s="1741"/>
      <c r="AB80" s="1741"/>
      <c r="AC80" s="1741"/>
    </row>
    <row r="81" spans="1:29" ht="15">
      <c r="A81" s="482"/>
      <c r="B81" s="625"/>
      <c r="C81" s="491"/>
      <c r="D81" s="491"/>
      <c r="E81" s="491"/>
      <c r="F81" s="491"/>
      <c r="G81" s="491"/>
      <c r="H81" s="491"/>
      <c r="I81" s="491"/>
      <c r="J81" s="491"/>
      <c r="K81" s="626"/>
      <c r="L81" s="627"/>
      <c r="M81" s="628"/>
      <c r="N81" s="1766"/>
      <c r="O81" s="1766"/>
      <c r="P81" s="1765"/>
      <c r="Q81" s="1762"/>
      <c r="R81" s="1741"/>
      <c r="S81" s="1741"/>
      <c r="T81" s="1741"/>
      <c r="U81" s="1741"/>
      <c r="V81" s="1741"/>
      <c r="W81" s="1741"/>
      <c r="X81" s="1741"/>
      <c r="Y81" s="1741"/>
      <c r="Z81" s="1741"/>
      <c r="AA81" s="1741"/>
      <c r="AB81" s="1741"/>
      <c r="AC81" s="1741"/>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7"/>
      <c r="O82" s="1767"/>
      <c r="P82" s="1765"/>
      <c r="Q82" s="1762"/>
      <c r="R82" s="1741"/>
      <c r="S82" s="1741"/>
      <c r="T82" s="1741"/>
      <c r="U82" s="1741"/>
      <c r="V82" s="1741"/>
      <c r="W82" s="1741"/>
      <c r="X82" s="1741"/>
      <c r="Y82" s="1741"/>
      <c r="Z82" s="1741"/>
      <c r="AA82" s="1741"/>
      <c r="AB82" s="1741"/>
      <c r="AC82" s="1741"/>
    </row>
    <row r="83" spans="1:29" s="1132" customFormat="1" ht="15.75" thickTop="1">
      <c r="A83" s="629"/>
      <c r="B83" s="615" t="str">
        <f>B14</f>
        <v>配建</v>
      </c>
      <c r="C83" s="630"/>
      <c r="D83" s="1165"/>
      <c r="E83" s="1166"/>
      <c r="F83" s="630"/>
      <c r="G83" s="630"/>
      <c r="H83" s="631"/>
      <c r="I83" s="631"/>
      <c r="J83" s="631"/>
      <c r="K83" s="631"/>
      <c r="L83" s="632"/>
      <c r="M83" s="633"/>
      <c r="N83" s="1768"/>
      <c r="O83" s="1768"/>
      <c r="P83" s="1768"/>
      <c r="Q83" s="1769"/>
      <c r="R83" s="1770"/>
      <c r="S83" s="1770"/>
      <c r="T83" s="1770"/>
      <c r="U83" s="1770"/>
      <c r="V83" s="1770"/>
      <c r="W83" s="1770"/>
      <c r="X83" s="1770"/>
      <c r="Y83" s="1770"/>
      <c r="Z83" s="1770"/>
      <c r="AA83" s="1770"/>
      <c r="AB83" s="1770"/>
      <c r="AC83" s="1770"/>
    </row>
    <row r="84" spans="1:29" s="1132" customFormat="1" ht="15.75" thickBot="1">
      <c r="A84" s="629"/>
      <c r="B84" s="620"/>
      <c r="C84" s="634"/>
      <c r="D84" s="613"/>
      <c r="E84" s="613"/>
      <c r="F84" s="613"/>
      <c r="G84" s="613"/>
      <c r="H84" s="613"/>
      <c r="I84" s="613"/>
      <c r="J84" s="613"/>
      <c r="K84" s="613"/>
      <c r="L84" s="613"/>
      <c r="M84" s="614"/>
      <c r="N84" s="1767"/>
      <c r="O84" s="1767"/>
      <c r="P84" s="1768"/>
      <c r="Q84" s="1769"/>
      <c r="R84" s="1770"/>
      <c r="S84" s="1770"/>
      <c r="T84" s="1770"/>
      <c r="U84" s="1770"/>
      <c r="V84" s="1770"/>
      <c r="W84" s="1770"/>
      <c r="X84" s="1770"/>
      <c r="Y84" s="1770"/>
      <c r="Z84" s="1770"/>
      <c r="AA84" s="1770"/>
      <c r="AB84" s="1770"/>
      <c r="AC84" s="1770"/>
    </row>
    <row r="85" spans="1:29" s="1132" customFormat="1" ht="15.75" thickTop="1">
      <c r="A85" s="629"/>
      <c r="B85" s="615">
        <f>B15</f>
        <v>111</v>
      </c>
      <c r="C85" s="630"/>
      <c r="D85" s="630"/>
      <c r="E85" s="630"/>
      <c r="F85" s="630"/>
      <c r="G85" s="630"/>
      <c r="H85" s="631"/>
      <c r="I85" s="631"/>
      <c r="J85" s="631"/>
      <c r="K85" s="631"/>
      <c r="L85" s="632"/>
      <c r="M85" s="633"/>
      <c r="N85" s="1768"/>
      <c r="O85" s="1768"/>
      <c r="P85" s="1770"/>
      <c r="Q85" s="1771"/>
      <c r="R85" s="1770"/>
      <c r="S85" s="1770"/>
      <c r="T85" s="1770"/>
      <c r="U85" s="1770"/>
      <c r="V85" s="1770"/>
      <c r="W85" s="1770"/>
      <c r="X85" s="1770"/>
      <c r="Y85" s="1770"/>
      <c r="Z85" s="1770"/>
      <c r="AA85" s="1770"/>
      <c r="AB85" s="1770"/>
      <c r="AC85" s="1770"/>
    </row>
    <row r="86" spans="1:29" s="1132" customFormat="1" ht="15.75" thickBot="1">
      <c r="A86" s="629"/>
      <c r="B86" s="620"/>
      <c r="C86" s="634"/>
      <c r="D86" s="634"/>
      <c r="E86" s="634"/>
      <c r="F86" s="634"/>
      <c r="G86" s="634"/>
      <c r="H86" s="635"/>
      <c r="I86" s="635"/>
      <c r="J86" s="635"/>
      <c r="K86" s="635"/>
      <c r="L86" s="635"/>
      <c r="M86" s="636"/>
      <c r="N86" s="1768"/>
      <c r="O86" s="1768"/>
      <c r="P86" s="1768"/>
      <c r="Q86" s="1769"/>
      <c r="R86" s="1770"/>
      <c r="S86" s="1770"/>
      <c r="T86" s="1770"/>
      <c r="U86" s="1770"/>
      <c r="V86" s="1770"/>
      <c r="W86" s="1770"/>
      <c r="X86" s="1770"/>
      <c r="Y86" s="1770"/>
      <c r="Z86" s="1770"/>
      <c r="AA86" s="1770"/>
      <c r="AB86" s="1770"/>
      <c r="AC86" s="1770"/>
    </row>
    <row r="87" spans="1:29" s="1132" customFormat="1" ht="15.75" thickTop="1">
      <c r="A87" s="629"/>
      <c r="B87" s="623">
        <f>B16</f>
        <v>111</v>
      </c>
      <c r="C87" s="80"/>
      <c r="D87" s="80"/>
      <c r="E87" s="80"/>
      <c r="F87" s="80"/>
      <c r="G87" s="80"/>
      <c r="H87" s="637"/>
      <c r="I87" s="637"/>
      <c r="J87" s="637"/>
      <c r="K87" s="637"/>
      <c r="L87" s="638"/>
      <c r="M87" s="639"/>
      <c r="N87" s="1768"/>
      <c r="O87" s="1768"/>
      <c r="P87" s="1772"/>
      <c r="Q87" s="1769"/>
      <c r="R87" s="1770"/>
      <c r="S87" s="1770"/>
      <c r="T87" s="1770"/>
      <c r="U87" s="1770"/>
      <c r="V87" s="1770"/>
      <c r="W87" s="1770"/>
      <c r="X87" s="1770"/>
      <c r="Y87" s="1770"/>
      <c r="Z87" s="1770"/>
      <c r="AA87" s="1770"/>
      <c r="AB87" s="1770"/>
      <c r="AC87" s="1770"/>
    </row>
    <row r="88" spans="1:29" s="1132" customFormat="1" ht="15.75" thickBot="1">
      <c r="A88" s="640"/>
      <c r="B88" s="641"/>
      <c r="C88" s="642"/>
      <c r="D88" s="642"/>
      <c r="E88" s="642"/>
      <c r="F88" s="642"/>
      <c r="G88" s="642"/>
      <c r="H88" s="643"/>
      <c r="I88" s="643"/>
      <c r="J88" s="643"/>
      <c r="K88" s="643"/>
      <c r="L88" s="643"/>
      <c r="M88" s="644"/>
      <c r="N88" s="1768"/>
      <c r="O88" s="1768"/>
      <c r="P88" s="1768"/>
      <c r="Q88" s="1769"/>
      <c r="R88" s="1770"/>
      <c r="S88" s="1770"/>
      <c r="T88" s="1770"/>
      <c r="U88" s="1770"/>
      <c r="V88" s="1770"/>
      <c r="W88" s="1770"/>
      <c r="X88" s="1770"/>
      <c r="Y88" s="1770"/>
      <c r="Z88" s="1770"/>
      <c r="AA88" s="1770"/>
      <c r="AB88" s="1770"/>
      <c r="AC88" s="1770"/>
    </row>
    <row r="89" spans="1:29">
      <c r="A89" s="607" t="s">
        <v>488</v>
      </c>
      <c r="B89" s="608" t="s">
        <v>526</v>
      </c>
      <c r="C89" s="143" t="s">
        <v>527</v>
      </c>
      <c r="D89" s="143" t="s">
        <v>528</v>
      </c>
      <c r="E89" s="143" t="s">
        <v>529</v>
      </c>
      <c r="F89" s="143" t="s">
        <v>530</v>
      </c>
      <c r="G89" s="143" t="s">
        <v>531</v>
      </c>
      <c r="H89" s="645"/>
      <c r="I89" s="645"/>
      <c r="J89" s="645"/>
      <c r="K89" s="646"/>
      <c r="L89" s="647"/>
      <c r="M89" s="648"/>
      <c r="N89" s="1766"/>
      <c r="O89" s="1766"/>
      <c r="P89" s="1773"/>
      <c r="Q89" s="1762"/>
      <c r="R89" s="1741"/>
      <c r="S89" s="1741"/>
      <c r="T89" s="1741"/>
      <c r="U89" s="1741"/>
      <c r="V89" s="1741"/>
      <c r="W89" s="1741"/>
      <c r="X89" s="1741"/>
      <c r="Y89" s="1741"/>
      <c r="Z89" s="1741"/>
      <c r="AA89" s="1741"/>
      <c r="AB89" s="1741"/>
      <c r="AC89" s="1741"/>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7"/>
      <c r="O90" s="1767"/>
      <c r="P90" s="1765"/>
      <c r="Q90" s="1762"/>
      <c r="R90" s="1741"/>
      <c r="S90" s="1741"/>
      <c r="T90" s="1741"/>
      <c r="U90" s="1741"/>
      <c r="V90" s="1741"/>
      <c r="W90" s="1741"/>
      <c r="X90" s="1741"/>
      <c r="Y90" s="1741"/>
      <c r="Z90" s="1741"/>
      <c r="AA90" s="1741"/>
      <c r="AB90" s="1741"/>
      <c r="AC90" s="1741"/>
    </row>
    <row r="91" spans="1:29" ht="15.75" thickTop="1">
      <c r="A91" s="482"/>
      <c r="B91" s="615" t="s">
        <v>532</v>
      </c>
      <c r="C91" s="649" t="s">
        <v>527</v>
      </c>
      <c r="D91" s="649" t="s">
        <v>528</v>
      </c>
      <c r="E91" s="649" t="s">
        <v>529</v>
      </c>
      <c r="F91" s="649" t="s">
        <v>530</v>
      </c>
      <c r="G91" s="649" t="s">
        <v>531</v>
      </c>
      <c r="H91" s="616"/>
      <c r="I91" s="616"/>
      <c r="J91" s="616"/>
      <c r="K91" s="617"/>
      <c r="L91" s="618"/>
      <c r="M91" s="619"/>
      <c r="N91" s="1766"/>
      <c r="O91" s="1766"/>
      <c r="P91" s="1765"/>
      <c r="Q91" s="1762"/>
      <c r="R91" s="1741"/>
      <c r="S91" s="1741"/>
      <c r="T91" s="1741"/>
      <c r="U91" s="1741"/>
      <c r="V91" s="1741"/>
      <c r="W91" s="1741"/>
      <c r="X91" s="1741"/>
      <c r="Y91" s="1741"/>
      <c r="Z91" s="1741"/>
      <c r="AA91" s="1741"/>
      <c r="AB91" s="1741"/>
      <c r="AC91" s="1741"/>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7"/>
      <c r="O92" s="1767"/>
      <c r="P92" s="1765"/>
      <c r="Q92" s="1762"/>
      <c r="R92" s="1741"/>
      <c r="S92" s="1741"/>
      <c r="T92" s="1741"/>
      <c r="U92" s="1741"/>
      <c r="V92" s="1741"/>
      <c r="W92" s="1741"/>
      <c r="X92" s="1741"/>
      <c r="Y92" s="1741"/>
      <c r="Z92" s="1741"/>
      <c r="AA92" s="1741"/>
      <c r="AB92" s="1741"/>
      <c r="AC92" s="1741"/>
    </row>
    <row r="93" spans="1:29" ht="15.75" thickTop="1">
      <c r="A93" s="482"/>
      <c r="B93" s="615" t="s">
        <v>533</v>
      </c>
      <c r="C93" s="649" t="s">
        <v>527</v>
      </c>
      <c r="D93" s="649" t="s">
        <v>528</v>
      </c>
      <c r="E93" s="649" t="s">
        <v>529</v>
      </c>
      <c r="F93" s="649" t="s">
        <v>530</v>
      </c>
      <c r="G93" s="649" t="s">
        <v>531</v>
      </c>
      <c r="H93" s="616"/>
      <c r="I93" s="616"/>
      <c r="J93" s="616"/>
      <c r="K93" s="617"/>
      <c r="L93" s="618"/>
      <c r="M93" s="619"/>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7"/>
      <c r="O94" s="1767"/>
      <c r="P94" s="1765"/>
      <c r="Q94" s="1762"/>
      <c r="R94" s="1741"/>
      <c r="S94" s="1741"/>
      <c r="T94" s="1741"/>
      <c r="U94" s="1741"/>
      <c r="V94" s="1741"/>
      <c r="W94" s="1741"/>
      <c r="X94" s="1741"/>
      <c r="Y94" s="1741"/>
      <c r="Z94" s="1741"/>
      <c r="AA94" s="1741"/>
      <c r="AB94" s="1741"/>
      <c r="AC94" s="1741"/>
    </row>
    <row r="95" spans="1:29" ht="15.75" thickTop="1">
      <c r="A95" s="482"/>
      <c r="B95" s="615" t="s">
        <v>534</v>
      </c>
      <c r="C95" s="649" t="s">
        <v>527</v>
      </c>
      <c r="D95" s="649" t="s">
        <v>528</v>
      </c>
      <c r="E95" s="649" t="s">
        <v>529</v>
      </c>
      <c r="F95" s="649" t="s">
        <v>530</v>
      </c>
      <c r="G95" s="649" t="s">
        <v>531</v>
      </c>
      <c r="H95" s="616"/>
      <c r="I95" s="616"/>
      <c r="J95" s="616"/>
      <c r="K95" s="617"/>
      <c r="L95" s="618"/>
      <c r="M95" s="619"/>
      <c r="N95" s="1766"/>
      <c r="O95" s="1766"/>
      <c r="P95" s="1765"/>
      <c r="Q95" s="1762"/>
      <c r="R95" s="1741"/>
      <c r="S95" s="1741"/>
      <c r="T95" s="1741"/>
      <c r="U95" s="1741"/>
      <c r="V95" s="1741"/>
      <c r="W95" s="1741"/>
      <c r="X95" s="1741"/>
      <c r="Y95" s="1741"/>
      <c r="Z95" s="1741"/>
      <c r="AA95" s="1741"/>
      <c r="AB95" s="1741"/>
      <c r="AC95" s="1741"/>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s="1058" customFormat="1" ht="27.75" thickTop="1">
      <c r="A97" s="486"/>
      <c r="B97" s="615" t="s">
        <v>535</v>
      </c>
      <c r="C97" s="649" t="s">
        <v>527</v>
      </c>
      <c r="D97" s="649" t="s">
        <v>528</v>
      </c>
      <c r="E97" s="649" t="s">
        <v>529</v>
      </c>
      <c r="F97" s="649" t="s">
        <v>530</v>
      </c>
      <c r="G97" s="649" t="s">
        <v>531</v>
      </c>
      <c r="H97" s="649"/>
      <c r="I97" s="649"/>
      <c r="J97" s="649"/>
      <c r="K97" s="649"/>
      <c r="L97" s="650"/>
      <c r="M97" s="651"/>
      <c r="N97" s="1765"/>
      <c r="O97" s="1765"/>
      <c r="P97" s="1765"/>
      <c r="Q97" s="1762"/>
      <c r="R97" s="1639"/>
      <c r="S97" s="1639"/>
      <c r="T97" s="1639"/>
      <c r="U97" s="1639"/>
      <c r="V97" s="1639"/>
      <c r="W97" s="1639"/>
      <c r="X97" s="1639"/>
      <c r="Y97" s="1639"/>
      <c r="Z97" s="1639"/>
      <c r="AA97" s="1639"/>
      <c r="AB97" s="1639"/>
      <c r="AC97" s="1639"/>
    </row>
    <row r="98" spans="1:29" s="1058" customFormat="1" ht="15.75" thickBot="1">
      <c r="A98" s="486"/>
      <c r="B98" s="620"/>
      <c r="C98" s="652">
        <v>100</v>
      </c>
      <c r="D98" s="621">
        <f>C98-$K25</f>
        <v>100</v>
      </c>
      <c r="E98" s="621">
        <f>D98-$K25</f>
        <v>100</v>
      </c>
      <c r="F98" s="621">
        <f>E98-$K25</f>
        <v>100</v>
      </c>
      <c r="G98" s="621">
        <f>F98-$K25</f>
        <v>100</v>
      </c>
      <c r="H98" s="621"/>
      <c r="I98" s="621"/>
      <c r="J98" s="621"/>
      <c r="K98" s="621"/>
      <c r="L98" s="621"/>
      <c r="M98" s="622"/>
      <c r="N98" s="1767"/>
      <c r="O98" s="1767"/>
      <c r="P98" s="1765"/>
      <c r="Q98" s="1762"/>
      <c r="R98" s="1639"/>
      <c r="S98" s="1639"/>
      <c r="T98" s="1639"/>
      <c r="U98" s="1639"/>
      <c r="V98" s="1639"/>
      <c r="W98" s="1639"/>
      <c r="X98" s="1639"/>
      <c r="Y98" s="1639"/>
      <c r="Z98" s="1639"/>
      <c r="AA98" s="1639"/>
      <c r="AB98" s="1639"/>
      <c r="AC98" s="1639"/>
    </row>
    <row r="99" spans="1:29" s="1058" customFormat="1" ht="27.75" thickTop="1">
      <c r="A99" s="486"/>
      <c r="B99" s="615" t="s">
        <v>536</v>
      </c>
      <c r="C99" s="143" t="s">
        <v>527</v>
      </c>
      <c r="D99" s="143" t="s">
        <v>528</v>
      </c>
      <c r="E99" s="143" t="s">
        <v>529</v>
      </c>
      <c r="F99" s="143" t="s">
        <v>530</v>
      </c>
      <c r="G99" s="143" t="s">
        <v>531</v>
      </c>
      <c r="H99" s="649"/>
      <c r="I99" s="649"/>
      <c r="J99" s="649"/>
      <c r="K99" s="649"/>
      <c r="L99" s="649"/>
      <c r="M99" s="651"/>
      <c r="N99" s="1765"/>
      <c r="O99" s="1765"/>
      <c r="P99" s="1765"/>
      <c r="Q99" s="1762"/>
      <c r="R99" s="1639"/>
      <c r="S99" s="1639"/>
      <c r="T99" s="1639"/>
      <c r="U99" s="1639"/>
      <c r="V99" s="1639"/>
      <c r="W99" s="1639"/>
      <c r="X99" s="1639"/>
      <c r="Y99" s="1639"/>
      <c r="Z99" s="1639"/>
      <c r="AA99" s="1639"/>
      <c r="AB99" s="1639"/>
      <c r="AC99" s="1639"/>
    </row>
    <row r="100" spans="1:29" s="1058"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7"/>
      <c r="O100" s="1767"/>
      <c r="P100" s="1765"/>
      <c r="Q100" s="1762"/>
      <c r="R100" s="1639"/>
      <c r="S100" s="1639"/>
      <c r="T100" s="1639"/>
      <c r="U100" s="1639"/>
      <c r="V100" s="1639"/>
      <c r="W100" s="1639"/>
      <c r="X100" s="1639"/>
      <c r="Y100" s="1639"/>
      <c r="Z100" s="1639"/>
      <c r="AA100" s="1639"/>
      <c r="AB100" s="1639"/>
      <c r="AC100" s="1639"/>
    </row>
    <row r="101" spans="1:29" s="1132" customFormat="1" ht="15.75" thickTop="1">
      <c r="A101" s="629"/>
      <c r="B101" s="1554" t="s">
        <v>1828</v>
      </c>
      <c r="C101" s="143" t="s">
        <v>527</v>
      </c>
      <c r="D101" s="143" t="s">
        <v>528</v>
      </c>
      <c r="E101" s="143" t="s">
        <v>529</v>
      </c>
      <c r="F101" s="143" t="s">
        <v>530</v>
      </c>
      <c r="G101" s="143" t="s">
        <v>531</v>
      </c>
      <c r="H101" s="653"/>
      <c r="I101" s="653"/>
      <c r="J101" s="653"/>
      <c r="K101" s="653"/>
      <c r="L101" s="654"/>
      <c r="M101" s="655"/>
      <c r="N101" s="1768"/>
      <c r="O101" s="1768"/>
      <c r="P101" s="1768"/>
      <c r="Q101" s="1769"/>
      <c r="R101" s="1770"/>
      <c r="S101" s="1770"/>
      <c r="T101" s="1770"/>
      <c r="U101" s="1770"/>
      <c r="V101" s="1770"/>
      <c r="W101" s="1770"/>
      <c r="X101" s="1770"/>
      <c r="Y101" s="1770"/>
      <c r="Z101" s="1770"/>
      <c r="AA101" s="1770"/>
      <c r="AB101" s="1770"/>
      <c r="AC101" s="1770"/>
    </row>
    <row r="102" spans="1:29" s="1132"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68"/>
      <c r="O102" s="1768"/>
      <c r="P102" s="1768"/>
      <c r="Q102" s="1769"/>
      <c r="R102" s="1770"/>
      <c r="S102" s="1770"/>
      <c r="T102" s="1770"/>
      <c r="U102" s="1770"/>
      <c r="V102" s="1770"/>
      <c r="W102" s="1770"/>
      <c r="X102" s="1770"/>
      <c r="Y102" s="1770"/>
      <c r="Z102" s="1770"/>
      <c r="AA102" s="1770"/>
      <c r="AB102" s="1770"/>
      <c r="AC102" s="1770"/>
    </row>
    <row r="103" spans="1:29" s="1132" customFormat="1" ht="15.75" thickTop="1">
      <c r="A103" s="629"/>
      <c r="B103" s="2055" t="s">
        <v>1830</v>
      </c>
      <c r="C103" s="2056" t="s">
        <v>1831</v>
      </c>
      <c r="D103" s="2056" t="s">
        <v>1832</v>
      </c>
      <c r="E103" s="2056" t="s">
        <v>1833</v>
      </c>
      <c r="F103" s="2056" t="s">
        <v>1834</v>
      </c>
      <c r="G103" s="2056" t="s">
        <v>1835</v>
      </c>
      <c r="H103" s="653"/>
      <c r="I103" s="653"/>
      <c r="J103" s="653"/>
      <c r="K103" s="653"/>
      <c r="L103" s="653"/>
      <c r="M103" s="655"/>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9"/>
      <c r="B104" s="623"/>
      <c r="C104" s="621">
        <v>100</v>
      </c>
      <c r="D104" s="621">
        <f>C104-$K31</f>
        <v>100</v>
      </c>
      <c r="E104" s="621">
        <f>D104-$K31</f>
        <v>100</v>
      </c>
      <c r="F104" s="621">
        <f>E104-$K31</f>
        <v>100</v>
      </c>
      <c r="G104" s="621">
        <f>F104-$K31</f>
        <v>100</v>
      </c>
      <c r="H104" s="625"/>
      <c r="I104" s="625"/>
      <c r="J104" s="625"/>
      <c r="K104" s="625"/>
      <c r="L104" s="625"/>
      <c r="M104" s="2048"/>
      <c r="N104" s="1768"/>
      <c r="O104" s="1768"/>
      <c r="P104" s="1768"/>
      <c r="Q104" s="1769"/>
      <c r="R104" s="1770"/>
      <c r="S104" s="1770"/>
      <c r="T104" s="1770"/>
      <c r="U104" s="1770"/>
      <c r="V104" s="1770"/>
      <c r="W104" s="1770"/>
      <c r="X104" s="1770"/>
      <c r="Y104" s="1770"/>
      <c r="Z104" s="1770"/>
      <c r="AA104" s="1770"/>
      <c r="AB104" s="1770"/>
      <c r="AC104" s="1770"/>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6"/>
      <c r="O105" s="1766"/>
      <c r="P105" s="1765"/>
      <c r="Q105" s="1762"/>
      <c r="R105" s="1741"/>
      <c r="S105" s="1741"/>
      <c r="T105" s="1741"/>
      <c r="U105" s="1741"/>
      <c r="V105" s="1741"/>
      <c r="W105" s="1741"/>
      <c r="X105" s="1741"/>
      <c r="Y105" s="1741"/>
      <c r="Z105" s="1741"/>
      <c r="AA105" s="1741"/>
      <c r="AB105" s="1741"/>
      <c r="AC105" s="1741"/>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7"/>
      <c r="O106" s="1767"/>
      <c r="P106" s="1765"/>
      <c r="Q106" s="1762"/>
      <c r="R106" s="1741"/>
      <c r="S106" s="1741"/>
      <c r="T106" s="1741"/>
      <c r="U106" s="1741"/>
      <c r="V106" s="1741"/>
      <c r="W106" s="1741"/>
      <c r="X106" s="1741"/>
      <c r="Y106" s="1741"/>
      <c r="Z106" s="1741"/>
      <c r="AA106" s="1741"/>
      <c r="AB106" s="1741"/>
      <c r="AC106" s="1741"/>
    </row>
    <row r="107" spans="1:29" ht="27.75" thickTop="1">
      <c r="A107" s="482"/>
      <c r="B107" s="615" t="s">
        <v>497</v>
      </c>
      <c r="C107" s="630"/>
      <c r="D107" s="630"/>
      <c r="E107" s="630"/>
      <c r="F107" s="630"/>
      <c r="G107" s="630"/>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7"/>
      <c r="O108" s="1767"/>
      <c r="P108" s="1765"/>
      <c r="Q108" s="1762"/>
      <c r="R108" s="1741"/>
      <c r="S108" s="1741"/>
      <c r="T108" s="1741"/>
      <c r="U108" s="1741"/>
      <c r="V108" s="1741"/>
      <c r="W108" s="1741"/>
      <c r="X108" s="1741"/>
      <c r="Y108" s="1741"/>
      <c r="Z108" s="1741"/>
      <c r="AA108" s="1741"/>
      <c r="AB108" s="1741"/>
      <c r="AC108" s="1741"/>
    </row>
    <row r="109" spans="1:29" ht="15.75" thickTop="1">
      <c r="A109" s="482"/>
      <c r="B109" s="615" t="s">
        <v>498</v>
      </c>
      <c r="C109" s="658"/>
      <c r="D109" s="658"/>
      <c r="E109" s="658"/>
      <c r="F109" s="658"/>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7"/>
      <c r="O110" s="1767"/>
      <c r="P110" s="1765"/>
      <c r="Q110" s="1762"/>
      <c r="R110" s="1741"/>
      <c r="S110" s="1741"/>
      <c r="T110" s="1741"/>
      <c r="U110" s="1741"/>
      <c r="V110" s="1741"/>
      <c r="W110" s="1741"/>
      <c r="X110" s="1741"/>
      <c r="Y110" s="1741"/>
      <c r="Z110" s="1741"/>
      <c r="AA110" s="1741"/>
      <c r="AB110" s="1741"/>
      <c r="AC110" s="1741"/>
    </row>
    <row r="111" spans="1:29" ht="15.75" thickTop="1">
      <c r="A111" s="482"/>
      <c r="B111" s="623">
        <f>B37</f>
        <v>111</v>
      </c>
      <c r="C111" s="630"/>
      <c r="D111" s="630"/>
      <c r="E111" s="630"/>
      <c r="F111" s="630"/>
      <c r="G111" s="662"/>
      <c r="H111" s="662"/>
      <c r="I111" s="662"/>
      <c r="J111" s="662"/>
      <c r="K111" s="663"/>
      <c r="L111" s="664"/>
      <c r="M111" s="665"/>
      <c r="N111" s="1766"/>
      <c r="O111" s="1766"/>
      <c r="P111" s="1765"/>
      <c r="Q111" s="1762"/>
      <c r="R111" s="1741"/>
      <c r="S111" s="1741"/>
      <c r="T111" s="1741"/>
      <c r="U111" s="1741"/>
      <c r="V111" s="1741"/>
      <c r="W111" s="1741"/>
      <c r="X111" s="1741"/>
      <c r="Y111" s="1741"/>
      <c r="Z111" s="1741"/>
      <c r="AA111" s="1741"/>
      <c r="AB111" s="1741"/>
      <c r="AC111" s="1741"/>
    </row>
    <row r="112" spans="1:29" ht="15.75" thickBot="1">
      <c r="A112" s="482"/>
      <c r="B112" s="641"/>
      <c r="C112" s="634"/>
      <c r="D112" s="634"/>
      <c r="E112" s="634"/>
      <c r="F112" s="634"/>
      <c r="G112" s="666"/>
      <c r="H112" s="666"/>
      <c r="I112" s="666"/>
      <c r="J112" s="666"/>
      <c r="K112" s="666"/>
      <c r="L112" s="666"/>
      <c r="M112" s="667"/>
      <c r="N112" s="1767"/>
      <c r="O112" s="1767"/>
      <c r="P112" s="1765"/>
      <c r="Q112" s="1762"/>
      <c r="R112" s="1741"/>
      <c r="S112" s="1741"/>
      <c r="T112" s="1741"/>
      <c r="U112" s="1741"/>
      <c r="V112" s="1741"/>
      <c r="W112" s="1741"/>
      <c r="X112" s="1741"/>
      <c r="Y112" s="1741"/>
      <c r="Z112" s="1741"/>
      <c r="AA112" s="1741"/>
      <c r="AB112" s="1741"/>
      <c r="AC112" s="1741"/>
    </row>
    <row r="113" spans="1:29" ht="15" thickTop="1">
      <c r="A113" s="536"/>
      <c r="B113" s="615">
        <f>B38</f>
        <v>111</v>
      </c>
      <c r="C113" s="80"/>
      <c r="D113" s="80"/>
      <c r="E113" s="80"/>
      <c r="F113" s="80"/>
      <c r="G113" s="658"/>
      <c r="H113" s="658"/>
      <c r="I113" s="658"/>
      <c r="J113" s="658"/>
      <c r="K113" s="659"/>
      <c r="L113" s="660"/>
      <c r="M113" s="661"/>
      <c r="N113" s="1766"/>
      <c r="O113" s="1766"/>
      <c r="P113" s="1765"/>
      <c r="Q113" s="1762"/>
      <c r="R113" s="1741"/>
      <c r="S113" s="1741"/>
      <c r="T113" s="1741"/>
      <c r="U113" s="1741"/>
      <c r="V113" s="1741"/>
      <c r="W113" s="1741"/>
      <c r="X113" s="1741"/>
      <c r="Y113" s="1741"/>
      <c r="Z113" s="1741"/>
      <c r="AA113" s="1741"/>
      <c r="AB113" s="1741"/>
      <c r="AC113" s="1741"/>
    </row>
    <row r="114" spans="1:29" ht="15.75" thickBot="1">
      <c r="A114" s="482"/>
      <c r="B114" s="620"/>
      <c r="C114" s="642"/>
      <c r="D114" s="642"/>
      <c r="E114" s="642"/>
      <c r="F114" s="642"/>
      <c r="G114" s="613"/>
      <c r="H114" s="613"/>
      <c r="I114" s="613"/>
      <c r="J114" s="613"/>
      <c r="K114" s="613"/>
      <c r="L114" s="613"/>
      <c r="M114" s="614"/>
      <c r="N114" s="1767"/>
      <c r="O114" s="1767"/>
      <c r="P114" s="1765"/>
      <c r="Q114" s="1762"/>
      <c r="R114" s="1741"/>
      <c r="S114" s="1741"/>
      <c r="T114" s="1741"/>
      <c r="U114" s="1741"/>
      <c r="V114" s="1741"/>
      <c r="W114" s="1741"/>
      <c r="X114" s="1741"/>
      <c r="Y114" s="1741"/>
      <c r="Z114" s="1741"/>
      <c r="AA114" s="1741"/>
      <c r="AB114" s="1741"/>
      <c r="AC114" s="1741"/>
    </row>
    <row r="115" spans="1:29" s="1132" customFormat="1" ht="15" thickTop="1">
      <c r="A115" s="552"/>
      <c r="B115" s="668">
        <f>B39</f>
        <v>111</v>
      </c>
      <c r="C115" s="79"/>
      <c r="D115" s="79"/>
      <c r="E115" s="79"/>
      <c r="F115" s="79"/>
      <c r="G115" s="79"/>
      <c r="H115" s="79"/>
      <c r="I115" s="79"/>
      <c r="J115" s="669"/>
      <c r="K115" s="669"/>
      <c r="L115" s="670"/>
      <c r="M115" s="671"/>
      <c r="N115" s="1768"/>
      <c r="O115" s="1768"/>
      <c r="P115" s="1768"/>
      <c r="Q115" s="1769"/>
      <c r="R115" s="1770"/>
      <c r="S115" s="1770"/>
      <c r="T115" s="1770"/>
      <c r="U115" s="1770"/>
      <c r="V115" s="1770"/>
      <c r="W115" s="1770"/>
      <c r="X115" s="1770"/>
      <c r="Y115" s="1770"/>
      <c r="Z115" s="1770"/>
      <c r="AA115" s="1770"/>
      <c r="AB115" s="1770"/>
      <c r="AC115" s="1770"/>
    </row>
    <row r="116" spans="1:29" s="1132" customFormat="1" ht="15.75" thickBot="1">
      <c r="A116" s="629"/>
      <c r="B116" s="623"/>
      <c r="C116" s="596"/>
      <c r="D116" s="541"/>
      <c r="E116" s="541"/>
      <c r="F116" s="541"/>
      <c r="G116" s="541"/>
      <c r="H116" s="541"/>
      <c r="I116" s="541"/>
      <c r="J116" s="541"/>
      <c r="K116" s="541"/>
      <c r="L116" s="541"/>
      <c r="M116" s="672"/>
      <c r="N116" s="1767"/>
      <c r="O116" s="1767"/>
      <c r="P116" s="1768"/>
      <c r="Q116" s="1769"/>
      <c r="R116" s="1770"/>
      <c r="S116" s="1770"/>
      <c r="T116" s="1770"/>
      <c r="U116" s="1770"/>
      <c r="V116" s="1770"/>
      <c r="W116" s="1770"/>
      <c r="X116" s="1770"/>
      <c r="Y116" s="1770"/>
      <c r="Z116" s="1770"/>
      <c r="AA116" s="1770"/>
      <c r="AB116" s="1770"/>
      <c r="AC116" s="1770"/>
    </row>
    <row r="117" spans="1:29">
      <c r="A117" s="607" t="s">
        <v>500</v>
      </c>
      <c r="B117" s="608" t="s">
        <v>541</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7" t="str">
        <f t="shared" si="24"/>
        <v>(含)-</v>
      </c>
      <c r="K117" s="2347" t="str">
        <f t="shared" si="24"/>
        <v>(含)-</v>
      </c>
      <c r="L117" s="2348" t="str">
        <f t="shared" si="24"/>
        <v>(含)-</v>
      </c>
      <c r="M117" s="145"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ht="15">
      <c r="A118" s="482"/>
      <c r="B118" s="623"/>
      <c r="C118" s="79"/>
      <c r="D118" s="79"/>
      <c r="E118" s="79"/>
      <c r="F118" s="79"/>
      <c r="G118" s="79"/>
      <c r="H118" s="79"/>
      <c r="I118" s="79"/>
      <c r="J118" s="1929"/>
      <c r="K118" s="1929"/>
      <c r="L118" s="1930"/>
      <c r="M118" s="1931"/>
      <c r="N118" s="1766"/>
      <c r="O118" s="1766"/>
      <c r="P118" s="1765"/>
      <c r="Q118" s="1762"/>
      <c r="R118" s="1741"/>
      <c r="S118" s="1741"/>
      <c r="T118" s="1741"/>
      <c r="U118" s="1741"/>
      <c r="V118" s="1741"/>
      <c r="W118" s="1741"/>
      <c r="X118" s="1741"/>
      <c r="Y118" s="1741"/>
      <c r="Z118" s="1741"/>
      <c r="AA118" s="1741"/>
      <c r="AB118" s="1741"/>
      <c r="AC118" s="1741"/>
    </row>
    <row r="119" spans="1:29" ht="15.75" thickBot="1">
      <c r="A119" s="482"/>
      <c r="B119" s="620"/>
      <c r="C119" s="642"/>
      <c r="D119" s="666"/>
      <c r="E119" s="666"/>
      <c r="F119" s="666"/>
      <c r="G119" s="666"/>
      <c r="H119" s="666"/>
      <c r="I119" s="666"/>
      <c r="J119" s="666"/>
      <c r="K119" s="666"/>
      <c r="L119" s="666"/>
      <c r="M119" s="667"/>
      <c r="N119" s="1767"/>
      <c r="O119" s="1767"/>
      <c r="P119" s="1765"/>
      <c r="Q119" s="1762"/>
      <c r="R119" s="1741"/>
      <c r="S119" s="1741"/>
      <c r="T119" s="1741"/>
      <c r="U119" s="1741"/>
      <c r="V119" s="1741"/>
      <c r="W119" s="1741"/>
      <c r="X119" s="1741"/>
      <c r="Y119" s="1741"/>
      <c r="Z119" s="1741"/>
      <c r="AA119" s="1741"/>
      <c r="AB119" s="1741"/>
      <c r="AC119" s="1741"/>
    </row>
    <row r="120" spans="1:29" ht="15" thickTop="1">
      <c r="A120" s="543"/>
      <c r="B120" s="615" t="s">
        <v>542</v>
      </c>
      <c r="C120" s="658"/>
      <c r="D120" s="658"/>
      <c r="E120" s="658"/>
      <c r="F120" s="658"/>
      <c r="G120" s="658"/>
      <c r="H120" s="658"/>
      <c r="I120" s="658"/>
      <c r="J120" s="658"/>
      <c r="K120" s="659"/>
      <c r="L120" s="660"/>
      <c r="M120" s="661"/>
      <c r="N120" s="1766"/>
      <c r="O120" s="1766"/>
      <c r="P120" s="1765"/>
      <c r="Q120" s="1762"/>
      <c r="R120" s="1741"/>
      <c r="S120" s="1741"/>
      <c r="T120" s="1741"/>
      <c r="U120" s="1741"/>
      <c r="V120" s="1741"/>
      <c r="W120" s="1741"/>
      <c r="X120" s="1741"/>
      <c r="Y120" s="1741"/>
      <c r="Z120" s="1741"/>
      <c r="AA120" s="1741"/>
      <c r="AB120" s="1741"/>
      <c r="AC120" s="1741"/>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3"/>
      <c r="B122" s="615" t="s">
        <v>543</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7"/>
      <c r="O123" s="1767"/>
      <c r="P123" s="1765"/>
      <c r="Q123" s="1762"/>
      <c r="R123" s="1741"/>
      <c r="S123" s="1741"/>
      <c r="T123" s="1741"/>
      <c r="U123" s="1741"/>
      <c r="V123" s="1741"/>
      <c r="W123" s="1741"/>
      <c r="X123" s="1741"/>
      <c r="Y123" s="1741"/>
      <c r="Z123" s="1741"/>
      <c r="AA123" s="1741"/>
      <c r="AB123" s="1741"/>
      <c r="AC123" s="1741"/>
    </row>
    <row r="124" spans="1:29" s="1132" customFormat="1" ht="15" thickTop="1">
      <c r="A124" s="552"/>
      <c r="B124" s="1554" t="s">
        <v>1774</v>
      </c>
      <c r="C124" s="1165"/>
      <c r="D124" s="1165"/>
      <c r="E124" s="1165"/>
      <c r="F124" s="1165"/>
      <c r="G124" s="1165"/>
      <c r="H124" s="658"/>
      <c r="I124" s="658"/>
      <c r="J124" s="658"/>
      <c r="K124" s="659"/>
      <c r="L124" s="660"/>
      <c r="M124" s="661"/>
      <c r="N124" s="1768"/>
      <c r="O124" s="1768"/>
      <c r="P124" s="1768"/>
      <c r="Q124" s="1769"/>
      <c r="R124" s="1770"/>
      <c r="S124" s="1770"/>
      <c r="T124" s="1770"/>
      <c r="U124" s="1770"/>
      <c r="V124" s="1770"/>
      <c r="W124" s="1770"/>
      <c r="X124" s="1770"/>
      <c r="Y124" s="1770"/>
      <c r="Z124" s="1770"/>
      <c r="AA124" s="1770"/>
      <c r="AB124" s="1770"/>
      <c r="AC124" s="1770"/>
    </row>
    <row r="125" spans="1:29" s="1132"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3"/>
      <c r="B126" s="615" t="s">
        <v>544</v>
      </c>
      <c r="C126" s="630"/>
      <c r="D126" s="630"/>
      <c r="E126" s="658"/>
      <c r="F126" s="658"/>
      <c r="G126" s="658"/>
      <c r="H126" s="658"/>
      <c r="I126" s="658"/>
      <c r="J126" s="658"/>
      <c r="K126" s="659"/>
      <c r="L126" s="660"/>
      <c r="M126" s="661"/>
      <c r="N126" s="1766"/>
      <c r="O126" s="1766"/>
      <c r="P126" s="1765"/>
      <c r="Q126" s="1762"/>
      <c r="R126" s="1741"/>
      <c r="S126" s="1741"/>
      <c r="T126" s="1741"/>
      <c r="U126" s="1741"/>
      <c r="V126" s="1741"/>
      <c r="W126" s="1741"/>
      <c r="X126" s="1741"/>
      <c r="Y126" s="1741"/>
      <c r="Z126" s="1741"/>
      <c r="AA126" s="1741"/>
      <c r="AB126" s="1741"/>
      <c r="AC126" s="1741"/>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7"/>
      <c r="O127" s="1767"/>
      <c r="P127" s="1765"/>
      <c r="Q127" s="1762"/>
      <c r="R127" s="1741"/>
      <c r="S127" s="1741"/>
      <c r="T127" s="1741"/>
      <c r="U127" s="1741"/>
      <c r="V127" s="1741"/>
      <c r="W127" s="1741"/>
      <c r="X127" s="1741"/>
      <c r="Y127" s="1741"/>
      <c r="Z127" s="1741"/>
      <c r="AA127" s="1741"/>
      <c r="AB127" s="1741"/>
      <c r="AC127" s="1741"/>
    </row>
    <row r="128" spans="1:29" ht="15" thickTop="1">
      <c r="A128" s="543"/>
      <c r="B128" s="615">
        <f>B45</f>
        <v>111</v>
      </c>
      <c r="C128" s="630"/>
      <c r="D128" s="630"/>
      <c r="E128" s="630"/>
      <c r="F128" s="630"/>
      <c r="G128" s="630"/>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5.75"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5" thickTop="1">
      <c r="A130" s="543"/>
      <c r="B130" s="615">
        <f>B46</f>
        <v>111</v>
      </c>
      <c r="C130" s="80"/>
      <c r="D130" s="80"/>
      <c r="E130" s="80"/>
      <c r="F130" s="80"/>
      <c r="G130" s="658"/>
      <c r="H130" s="658"/>
      <c r="I130" s="658"/>
      <c r="J130" s="658"/>
      <c r="K130" s="659"/>
      <c r="L130" s="660"/>
      <c r="M130" s="661"/>
      <c r="N130" s="1766"/>
      <c r="O130" s="1766"/>
      <c r="P130" s="1765"/>
      <c r="Q130" s="1762"/>
      <c r="R130" s="1741"/>
      <c r="S130" s="1741"/>
      <c r="T130" s="1741"/>
      <c r="U130" s="1741"/>
      <c r="V130" s="1741"/>
      <c r="W130" s="1741"/>
      <c r="X130" s="1741"/>
      <c r="Y130" s="1741"/>
      <c r="Z130" s="1741"/>
      <c r="AA130" s="1741"/>
      <c r="AB130" s="1741"/>
      <c r="AC130" s="1741"/>
    </row>
    <row r="131" spans="1:29" ht="15.75" thickBot="1">
      <c r="A131" s="482"/>
      <c r="B131" s="620"/>
      <c r="C131" s="642"/>
      <c r="D131" s="642"/>
      <c r="E131" s="642"/>
      <c r="F131" s="642"/>
      <c r="G131" s="613"/>
      <c r="H131" s="613"/>
      <c r="I131" s="613"/>
      <c r="J131" s="613"/>
      <c r="K131" s="613"/>
      <c r="L131" s="613"/>
      <c r="M131" s="614"/>
      <c r="N131" s="1767"/>
      <c r="O131" s="1767"/>
      <c r="P131" s="1765"/>
      <c r="Q131" s="1762"/>
      <c r="R131" s="1741"/>
      <c r="S131" s="1741"/>
      <c r="T131" s="1741"/>
      <c r="U131" s="1741"/>
      <c r="V131" s="1741"/>
      <c r="W131" s="1741"/>
      <c r="X131" s="1741"/>
      <c r="Y131" s="1741"/>
      <c r="Z131" s="1741"/>
      <c r="AA131" s="1741"/>
      <c r="AB131" s="1741"/>
      <c r="AC131" s="1741"/>
    </row>
    <row r="132" spans="1:29" s="1132" customFormat="1" ht="15" thickTop="1">
      <c r="A132" s="552"/>
      <c r="B132" s="615">
        <f>B47</f>
        <v>111</v>
      </c>
      <c r="C132" s="80"/>
      <c r="D132" s="80"/>
      <c r="E132" s="80"/>
      <c r="F132" s="80"/>
      <c r="G132" s="631"/>
      <c r="H132" s="631"/>
      <c r="I132" s="631"/>
      <c r="J132" s="631"/>
      <c r="K132" s="631"/>
      <c r="L132" s="632"/>
      <c r="M132" s="633"/>
      <c r="N132" s="1768"/>
      <c r="O132" s="1768"/>
      <c r="P132" s="1768"/>
      <c r="Q132" s="1769"/>
      <c r="R132" s="1770"/>
      <c r="S132" s="1770"/>
      <c r="T132" s="1770"/>
      <c r="U132" s="1770"/>
      <c r="V132" s="1770"/>
      <c r="W132" s="1770"/>
      <c r="X132" s="1770"/>
      <c r="Y132" s="1770"/>
      <c r="Z132" s="1770"/>
      <c r="AA132" s="1770"/>
      <c r="AB132" s="1770"/>
      <c r="AC132" s="1770"/>
    </row>
    <row r="133" spans="1:29" s="1132" customFormat="1" ht="15.75" thickBot="1">
      <c r="A133" s="640"/>
      <c r="B133" s="673"/>
      <c r="C133" s="642"/>
      <c r="D133" s="642"/>
      <c r="E133" s="642"/>
      <c r="F133" s="642"/>
      <c r="G133" s="666"/>
      <c r="H133" s="666"/>
      <c r="I133" s="666"/>
      <c r="J133" s="666"/>
      <c r="K133" s="666"/>
      <c r="L133" s="666"/>
      <c r="M133" s="667"/>
      <c r="N133" s="1768"/>
      <c r="O133" s="1768"/>
      <c r="P133" s="1768"/>
      <c r="Q133" s="1769"/>
      <c r="R133" s="1770"/>
      <c r="S133" s="1770"/>
      <c r="T133" s="1770"/>
      <c r="U133" s="1770"/>
      <c r="V133" s="1770"/>
      <c r="W133" s="1770"/>
      <c r="X133" s="1770"/>
      <c r="Y133" s="1770"/>
      <c r="Z133" s="1770"/>
      <c r="AA133" s="1770"/>
      <c r="AB133" s="1770"/>
      <c r="AC133" s="1770"/>
    </row>
    <row r="134" spans="1:29" s="1319"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19"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19"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19"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19"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19"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19"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19"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19"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19"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19"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19"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19"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19"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19"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19"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19"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19"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19"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19"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19"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19"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19"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19"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19"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19"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19"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19"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19"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19"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19"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19"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19"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19"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19"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19"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19"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19"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19"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19"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19"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19"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19"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19"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19"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19"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19"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19"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19"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19"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19"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19"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19"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19"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19"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19"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19"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19"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19"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19"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19"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19"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19"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19"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19"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19"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19"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19"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19"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19"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19"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19"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19"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19"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19"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19"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19"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19"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19"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19"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19"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19"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19"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19"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19"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19"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19"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19"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19"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19"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19"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19"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19"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19"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19"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19"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19"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19"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19"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19"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19"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19"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19"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19"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19"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19"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19"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19"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19"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19"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19"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19"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19"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19"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19"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19"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19"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19"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19"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19"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19"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19" customFormat="1">
      <c r="K255" s="1320"/>
      <c r="L255" s="1321"/>
    </row>
    <row r="256" spans="1:29" s="1319" customFormat="1">
      <c r="K256" s="1320"/>
      <c r="L256" s="1321"/>
    </row>
    <row r="257" spans="11:12" s="1319" customFormat="1">
      <c r="K257" s="1320"/>
      <c r="L257" s="1321"/>
    </row>
    <row r="258" spans="11:12" s="1319" customFormat="1">
      <c r="K258" s="1320"/>
      <c r="L258" s="132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47" priority="13" stopIfTrue="1">
      <formula>$F$53="超过30%"</formula>
    </cfRule>
  </conditionalFormatting>
  <conditionalFormatting sqref="E54">
    <cfRule type="expression" dxfId="146" priority="11" stopIfTrue="1">
      <formula>$F$54="超过20%"</formula>
    </cfRule>
  </conditionalFormatting>
  <conditionalFormatting sqref="E55">
    <cfRule type="expression" dxfId="145" priority="10" stopIfTrue="1">
      <formula>$F$55="超过30%"</formula>
    </cfRule>
  </conditionalFormatting>
  <conditionalFormatting sqref="F9:F47 H9:H47 J9:J47">
    <cfRule type="cellIs" dxfId="144" priority="1" operator="notEqual">
      <formula>100</formula>
    </cfRule>
  </conditionalFormatting>
  <conditionalFormatting sqref="F49">
    <cfRule type="expression" dxfId="143" priority="4">
      <formula>$D$49="简单平均"</formula>
    </cfRule>
  </conditionalFormatting>
  <conditionalFormatting sqref="F53:F55 H53:H55 J53:J55">
    <cfRule type="containsText" dxfId="142" priority="14" stopIfTrue="1" operator="containsText" text="超过">
      <formula>NOT(ISERROR(SEARCH("超过",F53)))</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G55">
    <cfRule type="expression" dxfId="139" priority="12" stopIfTrue="1">
      <formula>$H$55="超过30%"</formula>
    </cfRule>
  </conditionalFormatting>
  <conditionalFormatting sqref="H49">
    <cfRule type="expression" dxfId="138" priority="3">
      <formula>$D$49="简单平均"</formula>
    </cfRule>
  </conditionalFormatting>
  <conditionalFormatting sqref="I53">
    <cfRule type="expression" dxfId="137" priority="7" stopIfTrue="1">
      <formula>$J$53="超过30%"</formula>
    </cfRule>
  </conditionalFormatting>
  <conditionalFormatting sqref="I54">
    <cfRule type="expression" dxfId="136" priority="6" stopIfTrue="1">
      <formula>$J$54="超过20%"</formula>
    </cfRule>
  </conditionalFormatting>
  <conditionalFormatting sqref="I55">
    <cfRule type="expression" dxfId="135" priority="5" stopIfTrue="1">
      <formula>$J$55="超过30%"</formula>
    </cfRule>
  </conditionalFormatting>
  <conditionalFormatting sqref="J49">
    <cfRule type="expression" dxfId="134"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50"/>
  </sheetPr>
  <dimension ref="A1:E33"/>
  <sheetViews>
    <sheetView workbookViewId="0">
      <selection activeCell="B27" sqref="B27"/>
    </sheetView>
  </sheetViews>
  <sheetFormatPr defaultColWidth="18.625" defaultRowHeight="18.75" customHeight="1"/>
  <cols>
    <col min="1" max="16384" width="18.625" style="3392"/>
  </cols>
  <sheetData>
    <row r="1" spans="1:5" s="3390" customFormat="1" ht="15">
      <c r="A1" s="3390" t="s">
        <v>3311</v>
      </c>
    </row>
    <row r="3" spans="1:5" ht="15">
      <c r="A3" s="3391" t="s">
        <v>3274</v>
      </c>
      <c r="B3" s="3392" t="s">
        <v>3275</v>
      </c>
      <c r="C3" s="3392">
        <f>基准地价!I24</f>
        <v>50</v>
      </c>
    </row>
    <row r="4" spans="1:5" ht="15">
      <c r="B4" s="3392" t="s">
        <v>3276</v>
      </c>
      <c r="C4" s="3393">
        <f>基准地价!M42</f>
        <v>0.15</v>
      </c>
    </row>
    <row r="5" spans="1:5" ht="15">
      <c r="A5" s="3391"/>
      <c r="B5" s="3391" t="s">
        <v>3277</v>
      </c>
      <c r="C5" s="3392">
        <f>基准地价!C33</f>
        <v>8163</v>
      </c>
    </row>
    <row r="6" spans="1:5" ht="15">
      <c r="B6" s="3394" t="s">
        <v>3305</v>
      </c>
      <c r="C6" s="3392">
        <f>C5-C7</f>
        <v>6939</v>
      </c>
    </row>
    <row r="7" spans="1:5" ht="15">
      <c r="B7" s="3394" t="s">
        <v>3278</v>
      </c>
      <c r="C7" s="3392">
        <f>ROUND(C5*C4,0)</f>
        <v>1224</v>
      </c>
    </row>
    <row r="8" spans="1:5" ht="15">
      <c r="B8" s="3394"/>
    </row>
    <row r="9" spans="1:5" ht="15">
      <c r="B9" s="3391" t="s">
        <v>3306</v>
      </c>
      <c r="C9" s="3392">
        <f>ROUND(C7*C32/C33,0)</f>
        <v>836</v>
      </c>
    </row>
    <row r="10" spans="1:5" ht="15">
      <c r="B10" s="3391" t="s">
        <v>3308</v>
      </c>
      <c r="C10" s="3392">
        <f>C6+C9</f>
        <v>7775</v>
      </c>
    </row>
    <row r="11" spans="1:5" ht="15">
      <c r="B11" s="3391"/>
    </row>
    <row r="12" spans="1:5" ht="15">
      <c r="A12" s="3391" t="s">
        <v>3279</v>
      </c>
      <c r="B12" s="3391" t="s">
        <v>3277</v>
      </c>
      <c r="C12" s="3391" t="s">
        <v>3280</v>
      </c>
      <c r="D12" s="3391" t="s">
        <v>3281</v>
      </c>
      <c r="E12" s="3392" t="s">
        <v>3307</v>
      </c>
    </row>
    <row r="13" spans="1:5" ht="15">
      <c r="A13" s="3391" t="s">
        <v>3309</v>
      </c>
      <c r="B13" s="3394">
        <f>C10</f>
        <v>7775</v>
      </c>
      <c r="C13" s="3394">
        <v>0.7</v>
      </c>
      <c r="D13" s="3391"/>
      <c r="E13" s="3391" t="s">
        <v>3308</v>
      </c>
    </row>
    <row r="14" spans="1:5" ht="15">
      <c r="A14" s="3391" t="s">
        <v>3282</v>
      </c>
      <c r="B14" s="3394">
        <f>'比较法-工业'!C45</f>
        <v>6028</v>
      </c>
      <c r="C14" s="3394">
        <f>1-C13</f>
        <v>0.30000000000000004</v>
      </c>
      <c r="D14" s="3391"/>
      <c r="E14" s="3391" t="s">
        <v>3308</v>
      </c>
    </row>
    <row r="15" spans="1:5" s="3399" customFormat="1" ht="15">
      <c r="A15" s="3395" t="s">
        <v>3283</v>
      </c>
      <c r="B15" s="3396">
        <f>ROUND(B13*C13+B14*C14,0)</f>
        <v>7251</v>
      </c>
      <c r="C15" s="3397"/>
      <c r="D15" s="3398">
        <f>IF(B13&gt;B14,B13/B14-1,B14/B13-1)</f>
        <v>0.2898142003981421</v>
      </c>
    </row>
    <row r="17" spans="1:5" ht="15">
      <c r="A17" s="3392" t="s">
        <v>3284</v>
      </c>
      <c r="B17" s="3392" t="s">
        <v>3310</v>
      </c>
      <c r="C17" s="3392" t="s">
        <v>3286</v>
      </c>
    </row>
    <row r="18" spans="1:5" ht="15">
      <c r="A18" s="3392" t="s">
        <v>3287</v>
      </c>
      <c r="B18" s="3400" t="e">
        <f>ROUND(AVERAGE('通兴房顺昌门出让-工业'!BF2:BF6),4)</f>
        <v>#DIV/0!</v>
      </c>
      <c r="C18" s="3400" t="e">
        <f>ROUND(AVERAGE('通兴房顺昌门出让-工业'!BG2:BG6),4)</f>
        <v>#DIV/0!</v>
      </c>
      <c r="D18" s="3392" t="s">
        <v>3288</v>
      </c>
    </row>
    <row r="19" spans="1:5" ht="15">
      <c r="A19" s="3392" t="s">
        <v>3289</v>
      </c>
      <c r="B19" s="3400">
        <f>ROUND(AVERAGE('通兴房顺昌门出让-工业'!BF7:BF29),4)</f>
        <v>7.3499999999999996E-2</v>
      </c>
      <c r="C19" s="3400">
        <f>ROUND(AVERAGE('通兴房顺昌门出让-工业'!BG7:BG29),4)</f>
        <v>0.18379999999999999</v>
      </c>
      <c r="D19" s="3392" t="s">
        <v>3288</v>
      </c>
    </row>
    <row r="20" spans="1:5" ht="15">
      <c r="A20" s="3392" t="s">
        <v>3290</v>
      </c>
      <c r="B20" s="3400">
        <f>ROUND(AVERAGE('通兴房顺昌门出让-工业'!BF30:BF38),4)</f>
        <v>8.7499999999999994E-2</v>
      </c>
      <c r="C20" s="3400">
        <f>ROUND(AVERAGE('通兴房顺昌门出让-工业'!BG30:BG38),4)</f>
        <v>0.21870000000000001</v>
      </c>
      <c r="D20" s="3392" t="s">
        <v>3288</v>
      </c>
    </row>
    <row r="21" spans="1:5" ht="15">
      <c r="A21" s="3392" t="s">
        <v>3291</v>
      </c>
      <c r="B21" s="3400">
        <f>ROUND(AVERAGE('通兴房顺昌门出让-工业'!BF39:BF50),4)</f>
        <v>8.2100000000000006E-2</v>
      </c>
      <c r="C21" s="3400">
        <f>ROUND(AVERAGE('通兴房顺昌门出让-工业'!BG39:BG50),4)</f>
        <v>0.20519999999999999</v>
      </c>
      <c r="D21" s="3392" t="s">
        <v>3288</v>
      </c>
    </row>
    <row r="22" spans="1:5" ht="15">
      <c r="A22" s="3392" t="s">
        <v>3292</v>
      </c>
      <c r="B22" s="3400">
        <f>ROUND(AVERAGE('通兴房顺昌门出让-工业'!BF51:BF57),4)</f>
        <v>6.93E-2</v>
      </c>
      <c r="C22" s="3400">
        <f>ROUND(AVERAGE('通兴房顺昌门出让-工业'!BG51:BG57),4)</f>
        <v>0.17330000000000001</v>
      </c>
      <c r="D22" s="3392" t="s">
        <v>3288</v>
      </c>
    </row>
    <row r="23" spans="1:5" ht="15">
      <c r="A23" s="3392" t="s">
        <v>3293</v>
      </c>
      <c r="B23" s="3400" t="s">
        <v>3294</v>
      </c>
      <c r="C23" s="3400" t="s">
        <v>3294</v>
      </c>
      <c r="D23" s="3392" t="s">
        <v>3295</v>
      </c>
    </row>
    <row r="24" spans="1:5" s="3399" customFormat="1" ht="15">
      <c r="A24" s="3399" t="s">
        <v>3296</v>
      </c>
      <c r="B24" s="3401">
        <f>ROUND(AVERAGE('通兴房顺昌门出让-工业'!BF2:BF57),4)</f>
        <v>7.6100000000000001E-2</v>
      </c>
      <c r="C24" s="3401">
        <f>ROUND(AVERAGE('通兴房顺昌门出让-工业'!BG2:BG57),4)</f>
        <v>0.19020000000000001</v>
      </c>
      <c r="D24" s="3399" t="s">
        <v>3297</v>
      </c>
      <c r="E24" s="3399" t="s">
        <v>3298</v>
      </c>
    </row>
    <row r="26" spans="1:5" ht="15">
      <c r="B26" s="3391" t="s">
        <v>3277</v>
      </c>
      <c r="C26" s="3391" t="s">
        <v>3778</v>
      </c>
    </row>
    <row r="27" spans="1:5" s="3399" customFormat="1" ht="15">
      <c r="A27" s="3399" t="s">
        <v>3299</v>
      </c>
      <c r="B27" s="3396">
        <f>ROUND(B15*(1-B24),0)</f>
        <v>6699</v>
      </c>
      <c r="C27" s="3396">
        <f>ROUND(B27*'数据-汇总表'!D3,0)</f>
        <v>117611529</v>
      </c>
    </row>
    <row r="29" spans="1:5" ht="15">
      <c r="A29" s="3392" t="s">
        <v>3300</v>
      </c>
      <c r="C29" s="3418" t="s">
        <v>3709</v>
      </c>
    </row>
    <row r="31" spans="1:5" ht="15">
      <c r="A31" s="3392" t="s">
        <v>2675</v>
      </c>
      <c r="B31" s="3392" t="s">
        <v>3301</v>
      </c>
      <c r="C31" s="3392">
        <v>0.4</v>
      </c>
      <c r="D31" s="3392" t="s">
        <v>3302</v>
      </c>
    </row>
    <row r="32" spans="1:5" ht="15">
      <c r="B32" s="3392" t="s">
        <v>3285</v>
      </c>
      <c r="C32" s="3392">
        <f>ROUND(1-1/(1+基准地价!G24)^20,4)</f>
        <v>0.62309999999999999</v>
      </c>
      <c r="D32" s="3392" t="s">
        <v>3303</v>
      </c>
    </row>
    <row r="33" spans="2:4" ht="15">
      <c r="B33" s="3392" t="s">
        <v>3304</v>
      </c>
      <c r="C33" s="3392">
        <f>ROUND(1-1/(1+基准地价!G24)^50,4)</f>
        <v>0.91279999999999994</v>
      </c>
      <c r="D33" s="3392" t="s">
        <v>3303</v>
      </c>
    </row>
  </sheetData>
  <phoneticPr fontId="223" type="noConversion"/>
  <hyperlinks>
    <hyperlink ref="C29"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R123"/>
  <sheetViews>
    <sheetView view="pageBreakPreview" topLeftCell="A10" zoomScale="85" zoomScaleNormal="60" zoomScaleSheetLayoutView="85" workbookViewId="0">
      <selection activeCell="L46" sqref="L46"/>
    </sheetView>
  </sheetViews>
  <sheetFormatPr defaultColWidth="12" defaultRowHeight="12"/>
  <cols>
    <col min="1" max="1" width="9.625" style="1187" customWidth="1"/>
    <col min="2" max="2" width="24.625" style="1273" customWidth="1"/>
    <col min="3" max="4" width="12" style="1188"/>
    <col min="5" max="5" width="14.625" style="1188" customWidth="1"/>
    <col min="6" max="8" width="12" style="1188"/>
    <col min="9" max="9" width="12.125" style="1188" bestFit="1" customWidth="1"/>
    <col min="10" max="10" width="12" style="1188"/>
    <col min="11" max="11" width="9.625" style="1185" customWidth="1"/>
    <col min="12" max="12" width="15.625" style="1188" customWidth="1"/>
    <col min="13" max="14" width="10.625" style="1188" customWidth="1"/>
    <col min="15" max="17" width="12" style="1188"/>
    <col min="18" max="18" width="12" style="1187"/>
    <col min="19" max="22" width="15.5" style="1187" customWidth="1"/>
    <col min="23" max="28" width="12" style="1188"/>
    <col min="29" max="29" width="9.375" style="1187" customWidth="1"/>
    <col min="30" max="35" width="9.375" style="1186" customWidth="1"/>
    <col min="36" max="39" width="9.375" style="1187" customWidth="1"/>
    <col min="40" max="41" width="9.375" style="1188" customWidth="1"/>
    <col min="42" max="16384" width="12" style="1188"/>
  </cols>
  <sheetData>
    <row r="1" spans="1:39" ht="20.25">
      <c r="A1" s="1182" t="s">
        <v>1227</v>
      </c>
      <c r="B1" s="1183"/>
      <c r="C1" s="1189" t="s">
        <v>1775</v>
      </c>
      <c r="D1" s="1266">
        <f>SUM(D33:D34,D37:D42)</f>
        <v>17556.580000000002</v>
      </c>
      <c r="E1" s="1189" t="s">
        <v>1776</v>
      </c>
      <c r="F1" s="1251">
        <f>'数据-汇总表'!D3</f>
        <v>17556.580000000002</v>
      </c>
      <c r="G1" s="1184"/>
      <c r="H1" s="1184"/>
      <c r="I1" s="1184"/>
      <c r="J1" s="1184"/>
      <c r="K1" s="1788"/>
      <c r="L1" s="1540" t="s">
        <v>1595</v>
      </c>
      <c r="M1" s="1541">
        <f>SUMPRODUCT((区片价!B5:B9=I2)*(区片价!C3:G3=E2)*(区片价!C5:G9))</f>
        <v>0</v>
      </c>
      <c r="N1" s="1542">
        <f>SUMPRODUCT((因素修正幅度!B5:B9=I2)*(因素修正幅度!C3:G3=E2)*(因素修正幅度!C5:G9))</f>
        <v>0</v>
      </c>
      <c r="O1" s="1788"/>
      <c r="P1" s="1788"/>
      <c r="Q1" s="1788"/>
      <c r="R1" s="2231" t="s">
        <v>2040</v>
      </c>
      <c r="S1" s="2231" t="s">
        <v>2041</v>
      </c>
      <c r="T1" s="2231" t="s">
        <v>2058</v>
      </c>
      <c r="U1" s="2231" t="s">
        <v>2059</v>
      </c>
      <c r="V1" s="2231" t="s">
        <v>2060</v>
      </c>
      <c r="W1" s="1788"/>
      <c r="X1" s="1788"/>
      <c r="Y1" s="1788"/>
      <c r="Z1" s="1788"/>
      <c r="AA1" s="1788"/>
      <c r="AB1" s="1788"/>
      <c r="AC1" s="1789"/>
    </row>
    <row r="2" spans="1:39" ht="15.75">
      <c r="A2" s="1189" t="s">
        <v>848</v>
      </c>
      <c r="B2" s="939">
        <f>C30</f>
        <v>14331</v>
      </c>
      <c r="C2" s="1190" t="s">
        <v>849</v>
      </c>
      <c r="D2" s="1191" t="s">
        <v>850</v>
      </c>
      <c r="E2" s="1192" t="s">
        <v>905</v>
      </c>
      <c r="F2" s="1191" t="s">
        <v>852</v>
      </c>
      <c r="G2" s="1371" t="str">
        <f>IF(E2="商业",项目基本情况!B43,IF(E2="办公",项目基本情况!C43,IF(E2="住宅",项目基本情况!D43,IF(E2="工业",项目基本情况!E43,项目基本情况!F43))))</f>
        <v>四级</v>
      </c>
      <c r="H2" s="1191" t="s">
        <v>854</v>
      </c>
      <c r="I2" s="944" t="str">
        <f>IF(E2="商业",项目基本情况!B44,IF(E2="办公",项目基本情况!C44,IF(E2="住宅",项目基本情况!D44,IF(E2="工业",项目基本情况!E44,项目基本情况!F44))))</f>
        <v>Ⅳ-10</v>
      </c>
      <c r="J2" s="1184"/>
      <c r="K2" s="1788"/>
      <c r="L2" s="1543" t="s">
        <v>1596</v>
      </c>
      <c r="M2" s="1544">
        <f>SUMPRODUCT((区片价!B10:B29=I2)*(区片价!C3:G3=E2)*(区片价!C10:G29))</f>
        <v>0</v>
      </c>
      <c r="N2" s="1545">
        <f>SUMPRODUCT((因素修正幅度!B10:B29=I2)*(因素修正幅度!C3:G3=E2)*(因素修正幅度!C10:G29))</f>
        <v>0</v>
      </c>
      <c r="O2" s="1788"/>
      <c r="P2" s="1788"/>
      <c r="Q2" s="1788"/>
      <c r="R2" s="2232">
        <v>1</v>
      </c>
      <c r="S2" s="2232">
        <f>ROUND(SUMPRODUCT((B107:B111=R2)*(C106:N106=G2)*(C107:N111)),4)</f>
        <v>1.5019</v>
      </c>
      <c r="T2" s="2232">
        <f>ROUND($C$5*$C$22*$C$23*$C$24*S2*$C$28,0)</f>
        <v>10927</v>
      </c>
      <c r="U2" s="2222"/>
      <c r="V2" s="2232">
        <f>ROUND(T2*U2/10000,0)</f>
        <v>0</v>
      </c>
      <c r="W2" s="1788"/>
      <c r="X2" s="1788"/>
      <c r="Y2" s="1788"/>
      <c r="Z2" s="1788"/>
      <c r="AA2" s="1788"/>
      <c r="AB2" s="1788"/>
      <c r="AC2" s="1789"/>
    </row>
    <row r="3" spans="1:39" ht="15.75">
      <c r="A3" s="1193" t="s">
        <v>1220</v>
      </c>
      <c r="B3" s="939">
        <f>ROUND(B2*10000/D1,0)</f>
        <v>8163</v>
      </c>
      <c r="C3" s="1190" t="s">
        <v>855</v>
      </c>
      <c r="D3" s="1191" t="s">
        <v>856</v>
      </c>
      <c r="E3" s="1194" t="s">
        <v>2505</v>
      </c>
      <c r="F3" s="1195" t="s">
        <v>3258</v>
      </c>
      <c r="G3" s="940">
        <f>IF(F3="宗地容积率",'数据-汇总表'!I4,IF(F3="估价对象容积率",'数据-汇总表'!I6,'数据-汇总表'!I7))</f>
        <v>1</v>
      </c>
      <c r="H3" s="1191" t="s">
        <v>857</v>
      </c>
      <c r="I3" s="941"/>
      <c r="J3" s="1184" t="s">
        <v>858</v>
      </c>
      <c r="K3" s="1788"/>
      <c r="L3" s="1543" t="s">
        <v>1597</v>
      </c>
      <c r="M3" s="1544">
        <f>SUMPRODUCT((区片价!B30:B54=I2)*(区片价!C3:G3=E2)*(区片价!C30:G54))</f>
        <v>0</v>
      </c>
      <c r="N3" s="1545">
        <f>SUMPRODUCT((因素修正幅度!B30:B54=I2)*(因素修正幅度!C3:G3=E2)*(因素修正幅度!C30:G54))</f>
        <v>0</v>
      </c>
      <c r="O3" s="1788"/>
      <c r="P3" s="1788"/>
      <c r="Q3" s="1788"/>
      <c r="R3" s="2232">
        <v>2</v>
      </c>
      <c r="S3" s="2232">
        <f>ROUND(SUMPRODUCT((B107:B111=R3)*(C106:N106=G2)*(C107:N111)),4)</f>
        <v>1.1838</v>
      </c>
      <c r="T3" s="2232">
        <f t="shared" ref="T3:T16" si="0">ROUND($C$5*$C$22*$C$23*$C$24*S3*$C$28,0)</f>
        <v>8613</v>
      </c>
      <c r="U3" s="2222"/>
      <c r="V3" s="2232">
        <f t="shared" ref="V3:V16" si="1">ROUND(T3*U3/10000,0)</f>
        <v>0</v>
      </c>
      <c r="W3" s="1788"/>
      <c r="X3" s="1788"/>
      <c r="Y3" s="1788"/>
      <c r="Z3" s="1788"/>
      <c r="AA3" s="1788"/>
      <c r="AB3" s="1788"/>
      <c r="AC3" s="1789"/>
    </row>
    <row r="4" spans="1:39" ht="28.5">
      <c r="A4" s="1549" t="s">
        <v>1636</v>
      </c>
      <c r="B4" s="1969">
        <f>ROUND(B2*10000/F1,0)</f>
        <v>8163</v>
      </c>
      <c r="C4" s="1552" t="s">
        <v>1611</v>
      </c>
      <c r="D4" s="1552">
        <f>ROUND(B2/(F1/666.67),0)</f>
        <v>544</v>
      </c>
      <c r="E4" s="1552" t="s">
        <v>1612</v>
      </c>
      <c r="F4" s="1550"/>
      <c r="G4" s="1550"/>
      <c r="H4" s="1550"/>
      <c r="I4" s="1550"/>
      <c r="J4" s="1551"/>
      <c r="K4" s="2738"/>
      <c r="L4" s="1543" t="s">
        <v>1598</v>
      </c>
      <c r="M4" s="1544">
        <f>SUMPRODUCT((区片价!B55:B86=I2)*(区片价!C3:G3=E2)*(区片价!C55:G86))</f>
        <v>4390</v>
      </c>
      <c r="N4" s="1545">
        <f>SUMPRODUCT((因素修正幅度!B55:B86=I2)*(因素修正幅度!C3:G3=E2)*(因素修正幅度!C55:G86))</f>
        <v>0.1</v>
      </c>
      <c r="O4" s="2738"/>
      <c r="P4" s="1788"/>
      <c r="Q4" s="1788"/>
      <c r="R4" s="2232">
        <v>3</v>
      </c>
      <c r="S4" s="2232">
        <f>ROUND(SUMPRODUCT((B107:B111=R4)*(C106:N106=G2)*(C107:N111)),4)</f>
        <v>1.0004999999999999</v>
      </c>
      <c r="T4" s="2232">
        <f t="shared" si="0"/>
        <v>7279</v>
      </c>
      <c r="U4" s="2222"/>
      <c r="V4" s="2232">
        <f t="shared" si="1"/>
        <v>0</v>
      </c>
      <c r="W4" s="1788"/>
      <c r="X4" s="1788"/>
      <c r="Y4" s="1788"/>
      <c r="Z4" s="1788"/>
      <c r="AA4" s="1788"/>
      <c r="AB4" s="1788"/>
      <c r="AC4" s="1789"/>
    </row>
    <row r="5" spans="1:39" s="1202" customFormat="1" ht="15.75" thickBot="1">
      <c r="A5" s="1358" t="s">
        <v>1352</v>
      </c>
      <c r="B5" s="1196" t="s">
        <v>859</v>
      </c>
      <c r="C5" s="942">
        <f>ROUND(IF(E2="商业",C6*C7*C17+C20,(IF(E2="住宅",C6*C13*C17+C20,IF(E2="办公",C6*C12*C17+C20,C6+C20)))),0)</f>
        <v>4390</v>
      </c>
      <c r="D5" s="2357">
        <f>ROUND(C6*C17+C20,0)</f>
        <v>4390</v>
      </c>
      <c r="E5" s="2357"/>
      <c r="F5" s="1197"/>
      <c r="G5" s="1198"/>
      <c r="H5" s="1198"/>
      <c r="I5" s="1198"/>
      <c r="J5" s="1199"/>
      <c r="K5" s="2739"/>
      <c r="L5" s="1543" t="s">
        <v>1599</v>
      </c>
      <c r="M5" s="1544">
        <f>SUMPRODUCT((区片价!B87:B126=I2)*(区片价!C3:G3=E2)*(区片价!C87:G126))</f>
        <v>0</v>
      </c>
      <c r="N5" s="1545">
        <f>SUMPRODUCT((因素修正幅度!B87:B126=I2)*(因素修正幅度!C3:G3=E2)*(因素修正幅度!C87:G126))</f>
        <v>0</v>
      </c>
      <c r="O5" s="2739"/>
      <c r="P5" s="2741"/>
      <c r="Q5" s="1788"/>
      <c r="R5" s="2232">
        <v>4</v>
      </c>
      <c r="S5" s="2232">
        <f>ROUND(SUMPRODUCT((B107:B111=R5)*(C106:N106=G2)*(C107:N111)),4)</f>
        <v>0.88239999999999996</v>
      </c>
      <c r="T5" s="2232">
        <f t="shared" si="0"/>
        <v>6420</v>
      </c>
      <c r="U5" s="2222"/>
      <c r="V5" s="2232">
        <f t="shared" si="1"/>
        <v>0</v>
      </c>
      <c r="W5" s="1788"/>
      <c r="X5" s="1788"/>
      <c r="Y5" s="1788"/>
      <c r="Z5" s="1788"/>
      <c r="AA5" s="1788"/>
      <c r="AB5" s="1788"/>
      <c r="AC5" s="1790"/>
      <c r="AD5" s="1200"/>
      <c r="AE5" s="1200"/>
      <c r="AF5" s="1200"/>
      <c r="AG5" s="1200"/>
      <c r="AH5" s="1200"/>
      <c r="AI5" s="1200"/>
      <c r="AJ5" s="1201"/>
      <c r="AK5" s="1201"/>
      <c r="AL5" s="1201"/>
      <c r="AM5" s="1201"/>
    </row>
    <row r="6" spans="1:39" ht="15.75" thickBot="1">
      <c r="A6" s="3250" t="s">
        <v>1395</v>
      </c>
      <c r="B6" s="1203" t="s">
        <v>859</v>
      </c>
      <c r="C6" s="3251">
        <f>SUMIF(L1:L12,G2,M1:M12)</f>
        <v>4390</v>
      </c>
      <c r="D6" s="3252" t="s">
        <v>1228</v>
      </c>
      <c r="E6" s="1203"/>
      <c r="F6" s="1203"/>
      <c r="G6" s="3253"/>
      <c r="H6" s="3253"/>
      <c r="I6" s="3253"/>
      <c r="J6" s="3254"/>
      <c r="K6" s="1788"/>
      <c r="L6" s="1543" t="s">
        <v>1600</v>
      </c>
      <c r="M6" s="1544">
        <f>SUMPRODUCT((区片价!B127:B189=I2)*(区片价!C3:G3=E2)*(区片价!C127:G189))</f>
        <v>0</v>
      </c>
      <c r="N6" s="1545">
        <f>SUMPRODUCT((因素修正幅度!B127:B189=I2)*(因素修正幅度!C3:G3=E2)*(因素修正幅度!C127:G189))</f>
        <v>0</v>
      </c>
      <c r="O6" s="1788"/>
      <c r="P6" s="2742"/>
      <c r="Q6" s="1788"/>
      <c r="R6" s="2232">
        <v>5</v>
      </c>
      <c r="S6" s="2232">
        <f>ROUND(SUMPRODUCT((B107:B111=R6)*(C106:N106=G2)*(C107:N111)),4)</f>
        <v>0.84799999999999998</v>
      </c>
      <c r="T6" s="2232">
        <f t="shared" si="0"/>
        <v>6170</v>
      </c>
      <c r="U6" s="2222"/>
      <c r="V6" s="2232">
        <f t="shared" si="1"/>
        <v>0</v>
      </c>
      <c r="W6" s="1788"/>
      <c r="X6" s="1788"/>
      <c r="Y6" s="1788"/>
      <c r="Z6" s="1788"/>
      <c r="AA6" s="1788"/>
      <c r="AB6" s="1788"/>
      <c r="AC6" s="1790"/>
      <c r="AD6" s="1200"/>
      <c r="AE6" s="1200"/>
      <c r="AF6" s="1200"/>
      <c r="AG6" s="1200"/>
      <c r="AH6" s="1200"/>
      <c r="AI6" s="1200"/>
      <c r="AJ6" s="1201"/>
    </row>
    <row r="7" spans="1:39" ht="24.75" thickBot="1">
      <c r="A7" s="3255" t="s">
        <v>3189</v>
      </c>
      <c r="B7" s="1204" t="s">
        <v>860</v>
      </c>
      <c r="C7" s="3256" t="e">
        <f>IF(C8="不临65条商业街",1,ROUND(1+(1.6*E8+1.2*E9+0.8*E10+0.4*E11)*C9,4))</f>
        <v>#DIV/0!</v>
      </c>
      <c r="D7" s="3257" t="s">
        <v>861</v>
      </c>
      <c r="E7" s="3258"/>
      <c r="F7" s="3259"/>
      <c r="G7" s="3259"/>
      <c r="H7" s="3259"/>
      <c r="I7" s="3259"/>
      <c r="J7" s="3260"/>
      <c r="K7" s="1788"/>
      <c r="L7" s="1543" t="s">
        <v>1601</v>
      </c>
      <c r="M7" s="1544">
        <f>SUMPRODUCT((区片价!B190:B233=I2)*(区片价!C3:G3=E2)*(区片价!C190:G233))</f>
        <v>0</v>
      </c>
      <c r="N7" s="1545">
        <f>SUMPRODUCT((因素修正幅度!B190:B233=I2)*(因素修正幅度!C3:G3=E2)*(因素修正幅度!C190:G233))</f>
        <v>0</v>
      </c>
      <c r="O7" s="1788"/>
      <c r="P7" s="2742"/>
      <c r="Q7" s="1788"/>
      <c r="R7" s="2232">
        <v>6</v>
      </c>
      <c r="S7" s="2222"/>
      <c r="T7" s="2232">
        <f t="shared" si="0"/>
        <v>0</v>
      </c>
      <c r="U7" s="2222"/>
      <c r="V7" s="2232">
        <f t="shared" si="1"/>
        <v>0</v>
      </c>
      <c r="W7" s="2230" t="s">
        <v>2043</v>
      </c>
      <c r="X7" s="2223" t="str">
        <f>G2</f>
        <v>四级</v>
      </c>
      <c r="Y7" s="2223" t="s">
        <v>2044</v>
      </c>
      <c r="Z7" s="2224">
        <f>G3</f>
        <v>1</v>
      </c>
      <c r="AA7" s="1791"/>
      <c r="AB7" s="1791"/>
      <c r="AC7" s="1792"/>
      <c r="AD7" s="2225"/>
      <c r="AE7" s="2225"/>
      <c r="AF7" s="2225"/>
      <c r="AG7" s="2225"/>
      <c r="AH7" s="2225"/>
      <c r="AI7" s="2225"/>
      <c r="AJ7" s="2226"/>
    </row>
    <row r="8" spans="1:39" ht="15">
      <c r="A8" s="3261"/>
      <c r="B8" s="1191" t="s">
        <v>862</v>
      </c>
      <c r="C8" s="3262"/>
      <c r="D8" s="3263" t="s">
        <v>863</v>
      </c>
      <c r="E8" s="3264" t="e">
        <f>ROUND(C11/E7,4)</f>
        <v>#DIV/0!</v>
      </c>
      <c r="F8" s="3265" t="s">
        <v>864</v>
      </c>
      <c r="G8" s="3266"/>
      <c r="H8" s="3266"/>
      <c r="I8" s="3266"/>
      <c r="J8" s="3267"/>
      <c r="K8" s="1788"/>
      <c r="L8" s="1543" t="s">
        <v>1602</v>
      </c>
      <c r="M8" s="1544">
        <f>SUMPRODUCT((区片价!B234:B276=I2)*(区片价!C3:G3=E2)*(区片价!C234:G276))</f>
        <v>0</v>
      </c>
      <c r="N8" s="1545">
        <f>SUMPRODUCT((因素修正幅度!B234:B276=I2)*(因素修正幅度!C3:G3=E2)*(因素修正幅度!C234:G276))</f>
        <v>0</v>
      </c>
      <c r="O8" s="1788"/>
      <c r="P8" s="1788"/>
      <c r="Q8" s="1788"/>
      <c r="R8" s="2232">
        <v>7</v>
      </c>
      <c r="S8" s="2222"/>
      <c r="T8" s="2232">
        <f t="shared" si="0"/>
        <v>0</v>
      </c>
      <c r="U8" s="2222"/>
      <c r="V8" s="2232">
        <f t="shared" si="1"/>
        <v>0</v>
      </c>
      <c r="W8" s="3757" t="s">
        <v>2057</v>
      </c>
      <c r="X8" s="3758"/>
      <c r="Y8" s="1537" t="s">
        <v>2045</v>
      </c>
      <c r="Z8" s="1537" t="s">
        <v>2046</v>
      </c>
      <c r="AA8" s="1537" t="s">
        <v>2047</v>
      </c>
      <c r="AB8" s="1537" t="s">
        <v>2048</v>
      </c>
      <c r="AC8" s="1537" t="s">
        <v>2049</v>
      </c>
      <c r="AD8" s="1537" t="s">
        <v>2050</v>
      </c>
      <c r="AE8" s="1537" t="s">
        <v>2051</v>
      </c>
      <c r="AF8" s="1537" t="s">
        <v>2052</v>
      </c>
      <c r="AG8" s="1537" t="s">
        <v>2053</v>
      </c>
      <c r="AH8" s="1537" t="s">
        <v>2054</v>
      </c>
      <c r="AI8" s="1537" t="s">
        <v>2055</v>
      </c>
      <c r="AJ8" s="1537" t="s">
        <v>2056</v>
      </c>
    </row>
    <row r="9" spans="1:39" ht="15">
      <c r="A9" s="3261"/>
      <c r="B9" s="1191" t="s">
        <v>865</v>
      </c>
      <c r="C9" s="3268">
        <f>SUMIF(修正!C71:C139,C8,修正!E71:E139)</f>
        <v>0</v>
      </c>
      <c r="D9" s="3269" t="s">
        <v>866</v>
      </c>
      <c r="E9" s="3269" t="e">
        <f>ROUND(C11/E7,4)</f>
        <v>#DIV/0!</v>
      </c>
      <c r="F9" s="3265" t="s">
        <v>867</v>
      </c>
      <c r="G9" s="3266"/>
      <c r="H9" s="3266"/>
      <c r="I9" s="3266"/>
      <c r="J9" s="3267"/>
      <c r="K9" s="1788"/>
      <c r="L9" s="1543" t="s">
        <v>1603</v>
      </c>
      <c r="M9" s="1544">
        <f>SUMPRODUCT((区片价!B277:B326=I2)*(区片价!C3:G3=E2)*(区片价!C277:G326))</f>
        <v>0</v>
      </c>
      <c r="N9" s="1545">
        <f>SUMPRODUCT((因素修正幅度!B277:B326=I2)*(因素修正幅度!C3:G3=E2)*(因素修正幅度!C277:G326))</f>
        <v>0</v>
      </c>
      <c r="O9" s="1788"/>
      <c r="P9" s="1788"/>
      <c r="Q9" s="1788"/>
      <c r="R9" s="2232">
        <v>8</v>
      </c>
      <c r="S9" s="2222"/>
      <c r="T9" s="2232">
        <f t="shared" si="0"/>
        <v>0</v>
      </c>
      <c r="U9" s="2222"/>
      <c r="V9" s="2232">
        <f t="shared" si="1"/>
        <v>0</v>
      </c>
      <c r="W9" s="3756"/>
      <c r="X9" s="2227" t="s">
        <v>3212</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61"/>
      <c r="B10" s="1191" t="s">
        <v>868</v>
      </c>
      <c r="C10" s="3269">
        <f>SUMIF(修正!C71:C139,C8,修正!F71:F139)</f>
        <v>0</v>
      </c>
      <c r="D10" s="3269" t="s">
        <v>869</v>
      </c>
      <c r="E10" s="3269" t="e">
        <f>ROUND(C11/E7,4)</f>
        <v>#DIV/0!</v>
      </c>
      <c r="F10" s="3265" t="s">
        <v>870</v>
      </c>
      <c r="G10" s="3266"/>
      <c r="H10" s="3266"/>
      <c r="I10" s="3266"/>
      <c r="J10" s="3267"/>
      <c r="K10" s="1788"/>
      <c r="L10" s="1543" t="s">
        <v>1604</v>
      </c>
      <c r="M10" s="1544">
        <f>SUMPRODUCT((区片价!B327:B357=I2)*(区片价!C3:G3=E2)*(区片价!C327:G357))</f>
        <v>0</v>
      </c>
      <c r="N10" s="1545">
        <f>SUMPRODUCT((因素修正幅度!B327:B357=I2)*(因素修正幅度!C3:G3=E2)*(因素修正幅度!C327:G357))</f>
        <v>0</v>
      </c>
      <c r="O10" s="1788"/>
      <c r="P10" s="1788"/>
      <c r="Q10" s="1788"/>
      <c r="R10" s="2232">
        <v>9</v>
      </c>
      <c r="S10" s="2222"/>
      <c r="T10" s="2232">
        <f t="shared" si="0"/>
        <v>0</v>
      </c>
      <c r="U10" s="2222"/>
      <c r="V10" s="2232">
        <f t="shared" si="1"/>
        <v>0</v>
      </c>
      <c r="W10" s="3756"/>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61"/>
      <c r="B11" s="1208" t="s">
        <v>871</v>
      </c>
      <c r="C11" s="3270">
        <f>C10/4</f>
        <v>0</v>
      </c>
      <c r="D11" s="3270" t="s">
        <v>872</v>
      </c>
      <c r="E11" s="3270" t="e">
        <f>ROUND(C11/E7,4)</f>
        <v>#DIV/0!</v>
      </c>
      <c r="F11" s="3271" t="s">
        <v>873</v>
      </c>
      <c r="G11" s="3272"/>
      <c r="H11" s="3272"/>
      <c r="I11" s="3272"/>
      <c r="J11" s="3273"/>
      <c r="K11" s="1788"/>
      <c r="L11" s="1543" t="s">
        <v>1605</v>
      </c>
      <c r="M11" s="1544">
        <f>SUMPRODUCT((区片价!B358:B377=I2)*(区片价!C3:G3=E2)*(区片价!C358:G377))</f>
        <v>0</v>
      </c>
      <c r="N11" s="1545">
        <f>SUMPRODUCT((因素修正幅度!B358:B377=I2)*(因素修正幅度!C3:G3=E2)*(因素修正幅度!C358:G377))</f>
        <v>0</v>
      </c>
      <c r="O11" s="1788"/>
      <c r="P11" s="1788"/>
      <c r="Q11" s="1788"/>
      <c r="R11" s="2232">
        <v>10</v>
      </c>
      <c r="S11" s="2222"/>
      <c r="T11" s="2232">
        <f t="shared" si="0"/>
        <v>0</v>
      </c>
      <c r="U11" s="2222"/>
      <c r="V11" s="2232">
        <f t="shared" si="1"/>
        <v>0</v>
      </c>
      <c r="W11" s="1788"/>
      <c r="X11" s="1788"/>
      <c r="Y11" s="1788"/>
      <c r="Z11" s="1788"/>
      <c r="AA11" s="1788"/>
      <c r="AB11" s="1788"/>
      <c r="AC11" s="1789"/>
    </row>
    <row r="12" spans="1:39" ht="25.5" thickBot="1">
      <c r="A12" s="3255" t="s">
        <v>3190</v>
      </c>
      <c r="B12" s="3237" t="s">
        <v>3191</v>
      </c>
      <c r="C12" s="3243">
        <v>1</v>
      </c>
      <c r="D12" s="3238" t="s">
        <v>3192</v>
      </c>
      <c r="E12" s="3239" t="s">
        <v>3193</v>
      </c>
      <c r="F12" s="3240"/>
      <c r="G12" s="3241"/>
      <c r="H12" s="3241"/>
      <c r="I12" s="3241"/>
      <c r="J12" s="3242"/>
      <c r="K12" s="1788"/>
      <c r="L12" s="1546" t="s">
        <v>1606</v>
      </c>
      <c r="M12" s="1547">
        <f>SUMPRODUCT((区片价!B378:B384=I2)*(区片价!C3:G3=E2)*(区片价!C378:G384))</f>
        <v>0</v>
      </c>
      <c r="N12" s="1548">
        <f>SUMPRODUCT((因素修正幅度!B378:B384=I2)*(因素修正幅度!C3:G3=E2)*(因素修正幅度!C378:G384))</f>
        <v>0</v>
      </c>
      <c r="O12" s="1788"/>
      <c r="P12" s="1788"/>
      <c r="Q12" s="1788"/>
      <c r="R12" s="2232">
        <v>11</v>
      </c>
      <c r="S12" s="2222"/>
      <c r="T12" s="2232">
        <f t="shared" si="0"/>
        <v>0</v>
      </c>
      <c r="U12" s="2222"/>
      <c r="V12" s="2232">
        <f t="shared" si="1"/>
        <v>0</v>
      </c>
      <c r="W12" s="1788"/>
      <c r="X12" s="1788"/>
      <c r="Y12" s="1788"/>
      <c r="Z12" s="1788"/>
      <c r="AA12" s="1788"/>
      <c r="AB12" s="1788"/>
      <c r="AC12" s="1789"/>
    </row>
    <row r="13" spans="1:39" ht="15.75" thickBot="1">
      <c r="A13" s="3255" t="s">
        <v>3194</v>
      </c>
      <c r="B13" s="1209" t="s">
        <v>874</v>
      </c>
      <c r="C13" s="3256">
        <f>ROUND(C16*D16*E16*F16*G16*H16*I16*J16,4)</f>
        <v>0</v>
      </c>
      <c r="D13" s="3274" t="s">
        <v>3195</v>
      </c>
      <c r="E13" s="3275"/>
      <c r="F13" s="3275"/>
      <c r="G13" s="3275"/>
      <c r="H13" s="3275"/>
      <c r="I13" s="3275"/>
      <c r="J13" s="3276"/>
      <c r="K13" s="1789"/>
      <c r="L13" s="1789"/>
      <c r="M13" s="1789"/>
      <c r="N13" s="1789"/>
      <c r="O13" s="1789"/>
      <c r="P13" s="1788"/>
      <c r="Q13" s="1788"/>
      <c r="R13" s="2232">
        <v>12</v>
      </c>
      <c r="S13" s="2222"/>
      <c r="T13" s="2232">
        <f t="shared" si="0"/>
        <v>0</v>
      </c>
      <c r="U13" s="2222"/>
      <c r="V13" s="2232">
        <f t="shared" si="1"/>
        <v>0</v>
      </c>
      <c r="W13" s="1788"/>
      <c r="X13" s="1788"/>
      <c r="Y13" s="1788"/>
      <c r="Z13" s="1788"/>
      <c r="AA13" s="1788"/>
      <c r="AB13" s="1788"/>
      <c r="AC13" s="1789"/>
    </row>
    <row r="14" spans="1:39" ht="12.75" customHeight="1">
      <c r="A14" s="3277"/>
      <c r="B14" s="1213" t="s">
        <v>1229</v>
      </c>
      <c r="C14" s="3193" t="s">
        <v>1230</v>
      </c>
      <c r="D14" s="1215" t="s">
        <v>1231</v>
      </c>
      <c r="E14" s="748" t="s">
        <v>3196</v>
      </c>
      <c r="F14" s="3278" t="s">
        <v>1178</v>
      </c>
      <c r="G14" s="3278" t="s">
        <v>1178</v>
      </c>
      <c r="H14" s="3279" t="s">
        <v>1178</v>
      </c>
      <c r="I14" s="3279" t="s">
        <v>1178</v>
      </c>
      <c r="J14" s="3279" t="s">
        <v>1178</v>
      </c>
      <c r="K14" s="2740"/>
      <c r="L14" s="2740"/>
      <c r="M14" s="2740"/>
      <c r="N14" s="2740"/>
      <c r="O14" s="2740"/>
      <c r="P14" s="1788"/>
      <c r="Q14" s="1788"/>
      <c r="R14" s="2232">
        <v>13</v>
      </c>
      <c r="S14" s="2222"/>
      <c r="T14" s="2232">
        <f t="shared" si="0"/>
        <v>0</v>
      </c>
      <c r="U14" s="2222"/>
      <c r="V14" s="2232">
        <f t="shared" si="1"/>
        <v>0</v>
      </c>
      <c r="W14" s="1788"/>
      <c r="X14" s="1788"/>
      <c r="Y14" s="1788"/>
      <c r="Z14" s="1788"/>
      <c r="AA14" s="1788"/>
      <c r="AB14" s="1788"/>
      <c r="AC14" s="1789"/>
    </row>
    <row r="15" spans="1:39" ht="13.5" customHeight="1">
      <c r="A15" s="3277"/>
      <c r="B15" s="1215"/>
      <c r="C15" s="3280"/>
      <c r="D15" s="3281"/>
      <c r="E15" s="3282"/>
      <c r="F15" s="3282"/>
      <c r="G15" s="1036" t="s">
        <v>3197</v>
      </c>
      <c r="H15" s="3246"/>
      <c r="I15" s="3247"/>
      <c r="J15" s="3248"/>
      <c r="K15" s="3249"/>
      <c r="L15" s="1792"/>
      <c r="M15" s="1792"/>
      <c r="N15" s="1792"/>
      <c r="O15" s="1792"/>
      <c r="P15" s="1788"/>
      <c r="Q15" s="1788"/>
      <c r="R15" s="2232">
        <v>14</v>
      </c>
      <c r="S15" s="2222"/>
      <c r="T15" s="2232">
        <f t="shared" si="0"/>
        <v>0</v>
      </c>
      <c r="U15" s="2222"/>
      <c r="V15" s="2232">
        <f t="shared" si="1"/>
        <v>0</v>
      </c>
      <c r="W15" s="1788"/>
      <c r="X15" s="1788"/>
      <c r="Y15" s="1788"/>
      <c r="Z15" s="1788"/>
      <c r="AA15" s="1788"/>
      <c r="AB15" s="1788"/>
      <c r="AC15" s="1789"/>
    </row>
    <row r="16" spans="1:39" ht="24.6" customHeight="1" thickBot="1">
      <c r="A16" s="3277"/>
      <c r="B16" s="2405" t="s">
        <v>1232</v>
      </c>
      <c r="C16" s="3244"/>
      <c r="D16" s="3244"/>
      <c r="E16" s="3244"/>
      <c r="F16" s="3244"/>
      <c r="G16" s="3244">
        <v>1</v>
      </c>
      <c r="H16" s="3244">
        <v>1</v>
      </c>
      <c r="I16" s="3244">
        <v>1</v>
      </c>
      <c r="J16" s="3245">
        <v>1</v>
      </c>
      <c r="K16" s="1792"/>
      <c r="L16" s="1792"/>
      <c r="M16" s="1792"/>
      <c r="N16" s="1792"/>
      <c r="O16" s="1792"/>
      <c r="P16" s="1788"/>
      <c r="Q16" s="1788"/>
      <c r="R16" s="2232">
        <v>15</v>
      </c>
      <c r="S16" s="2222"/>
      <c r="T16" s="2232">
        <f t="shared" si="0"/>
        <v>0</v>
      </c>
      <c r="U16" s="2222"/>
      <c r="V16" s="2232">
        <f t="shared" si="1"/>
        <v>0</v>
      </c>
      <c r="W16" s="1791"/>
      <c r="X16" s="1791"/>
      <c r="Y16" s="1791"/>
      <c r="Z16" s="1791"/>
      <c r="AA16" s="1791"/>
      <c r="AB16" s="1791"/>
      <c r="AC16" s="1792"/>
    </row>
    <row r="17" spans="1:40" ht="24">
      <c r="A17" s="3284" t="s">
        <v>3198</v>
      </c>
      <c r="B17" s="3285" t="s">
        <v>3199</v>
      </c>
      <c r="C17" s="3293">
        <f>ROUND(IF(OR(E2="工业",E2="公共服务"),1,IF(AND(E18=0,E19=0),1,IF(AND(E18=J24,E19=G19),0.8,IF(E19=0,1+E17*(-0.2),1+E17*G17*(-0.2))))),4)</f>
        <v>1</v>
      </c>
      <c r="D17" s="3286" t="s">
        <v>3200</v>
      </c>
      <c r="E17" s="3293">
        <f>ROUND(G18/I18,2)</f>
        <v>0</v>
      </c>
      <c r="F17" s="3286" t="s">
        <v>3203</v>
      </c>
      <c r="G17" s="3293" t="e">
        <f>ROUND(E19/G19,2)</f>
        <v>#DIV/0!</v>
      </c>
      <c r="H17" s="3293"/>
      <c r="I17" s="3293"/>
      <c r="J17" s="3372"/>
      <c r="K17" s="1792"/>
      <c r="L17" s="1792"/>
      <c r="M17" s="1792"/>
      <c r="N17" s="1792"/>
      <c r="O17" s="1792"/>
      <c r="P17" s="1788"/>
      <c r="Q17" s="1788"/>
      <c r="R17" s="1792"/>
      <c r="S17" s="1792"/>
      <c r="T17" s="1792"/>
      <c r="U17" s="1792"/>
      <c r="V17" s="1792"/>
      <c r="W17" s="1791"/>
      <c r="X17" s="1791"/>
      <c r="Y17" s="1791"/>
      <c r="Z17" s="1791"/>
      <c r="AA17" s="1791"/>
      <c r="AB17" s="1791"/>
      <c r="AC17" s="1792"/>
      <c r="AH17" s="1185"/>
      <c r="AI17" s="1185"/>
      <c r="AJ17" s="1188"/>
      <c r="AK17" s="1188"/>
      <c r="AL17" s="1188"/>
      <c r="AM17" s="1188"/>
    </row>
    <row r="18" spans="1:40" s="1202" customFormat="1" ht="14.25">
      <c r="A18" s="3277"/>
      <c r="B18" s="3157"/>
      <c r="C18" s="3291"/>
      <c r="D18" s="3287" t="s">
        <v>3201</v>
      </c>
      <c r="E18" s="3292"/>
      <c r="F18" s="3289" t="s">
        <v>3204</v>
      </c>
      <c r="G18" s="3291">
        <f>ROUND(1-(1/(POWER(1+G24,E18))),4)</f>
        <v>0</v>
      </c>
      <c r="H18" s="3289" t="s">
        <v>3206</v>
      </c>
      <c r="I18" s="3291">
        <f>ROUND(1-(1/(POWER(1+G24,J24))),4)</f>
        <v>0.91279999999999994</v>
      </c>
      <c r="J18" s="3373"/>
      <c r="K18" s="1792"/>
      <c r="L18" s="1792"/>
      <c r="M18" s="1792"/>
      <c r="N18" s="1792"/>
      <c r="O18" s="1792"/>
      <c r="P18" s="1788"/>
      <c r="Q18" s="1788"/>
      <c r="R18" s="1793"/>
      <c r="S18" s="1793"/>
      <c r="T18" s="1793"/>
      <c r="U18" s="1793"/>
      <c r="V18" s="1793"/>
      <c r="W18" s="1792"/>
      <c r="X18" s="1792"/>
      <c r="Y18" s="1792"/>
      <c r="Z18" s="1792"/>
      <c r="AA18" s="1791"/>
      <c r="AB18" s="1791"/>
      <c r="AC18" s="1794"/>
      <c r="AD18" s="1220"/>
      <c r="AE18" s="1220"/>
      <c r="AF18" s="1220"/>
      <c r="AG18" s="1220"/>
      <c r="AH18" s="1186"/>
      <c r="AI18" s="1186"/>
      <c r="AJ18" s="1187"/>
      <c r="AK18" s="1187"/>
      <c r="AL18" s="1187"/>
    </row>
    <row r="19" spans="1:40" s="1202" customFormat="1" ht="15" thickBot="1">
      <c r="A19" s="3283"/>
      <c r="B19" s="3160"/>
      <c r="C19" s="3288"/>
      <c r="D19" s="3288" t="s">
        <v>3202</v>
      </c>
      <c r="E19" s="3294"/>
      <c r="F19" s="3290" t="s">
        <v>3205</v>
      </c>
      <c r="G19" s="3294"/>
      <c r="H19" s="3288"/>
      <c r="I19" s="3288"/>
      <c r="J19" s="3374"/>
      <c r="K19" s="1792"/>
      <c r="L19" s="1792"/>
      <c r="M19" s="1792"/>
      <c r="N19" s="1792"/>
      <c r="O19" s="1792"/>
      <c r="P19" s="1788"/>
      <c r="Q19" s="1788"/>
      <c r="R19" s="1794"/>
      <c r="S19" s="1794"/>
      <c r="T19" s="1794"/>
      <c r="U19" s="1794"/>
      <c r="V19" s="1794"/>
      <c r="W19" s="1794"/>
      <c r="X19" s="1794"/>
      <c r="Y19" s="1186"/>
      <c r="Z19" s="1186"/>
      <c r="AA19" s="1186"/>
      <c r="AB19" s="1186"/>
      <c r="AC19" s="1220"/>
      <c r="AD19" s="1221"/>
      <c r="AE19" s="1225"/>
      <c r="AF19" s="1187"/>
      <c r="AG19" s="1201"/>
      <c r="AH19" s="1201"/>
      <c r="AI19" s="1201"/>
    </row>
    <row r="20" spans="1:40" s="1202" customFormat="1" ht="14.25">
      <c r="A20" s="3750" t="s">
        <v>1370</v>
      </c>
      <c r="B20" s="1204" t="s">
        <v>875</v>
      </c>
      <c r="C20" s="946">
        <f>ROUND(IF(F21="与级别开发程度一致",0,(G21-E21)/C21),0)</f>
        <v>0</v>
      </c>
      <c r="D20" s="3762" t="s">
        <v>879</v>
      </c>
      <c r="E20" s="3763"/>
      <c r="F20" s="3762" t="s">
        <v>876</v>
      </c>
      <c r="G20" s="3763"/>
      <c r="H20" s="1216" t="s">
        <v>2761</v>
      </c>
      <c r="I20" s="1216" t="s">
        <v>2762</v>
      </c>
      <c r="J20" s="1216" t="s">
        <v>2763</v>
      </c>
      <c r="K20" s="1216" t="s">
        <v>2764</v>
      </c>
      <c r="L20" s="1216" t="s">
        <v>2765</v>
      </c>
      <c r="M20" s="1216" t="s">
        <v>2766</v>
      </c>
      <c r="N20" s="1216" t="s">
        <v>2767</v>
      </c>
      <c r="O20" s="2410" t="s">
        <v>2768</v>
      </c>
      <c r="P20" s="1788"/>
      <c r="Q20" s="1791"/>
      <c r="R20" s="1794"/>
      <c r="S20" s="1794"/>
      <c r="T20" s="1794"/>
      <c r="U20" s="1794"/>
      <c r="V20" s="1794"/>
      <c r="W20" s="1794"/>
      <c r="X20" s="1794"/>
      <c r="Y20" s="1220"/>
      <c r="Z20" s="1220"/>
      <c r="AA20" s="1220"/>
      <c r="AB20" s="1220"/>
      <c r="AC20" s="1220"/>
      <c r="AD20" s="1220"/>
    </row>
    <row r="21" spans="1:40" s="1202" customFormat="1" ht="24.75" thickBot="1">
      <c r="A21" s="3751"/>
      <c r="B21" s="2411" t="s">
        <v>878</v>
      </c>
      <c r="C21" s="2412">
        <f>IF(E3="M4科研用地",SUMPRODUCT((修正!A2:A7=E3)*(修正!B1:M1=G2)*(修正!B2:M7)),SUMPRODUCT((修正!A2:A7=E2)*(修正!B1:M1=G2)*(修正!B2:M7)))</f>
        <v>1.5</v>
      </c>
      <c r="D21" s="2413" t="str">
        <f>IF(OR(G2="八级",G2="九级",G2="十级",G2="十一级",G2="十二级"),"五通一平","七通一平")</f>
        <v>七通一平</v>
      </c>
      <c r="E21" s="2403">
        <f>SUMPRODUCT((修正!B1:M1=G2)*(修正!B17:M17))</f>
        <v>315</v>
      </c>
      <c r="F21" s="2404" t="s">
        <v>3265</v>
      </c>
      <c r="G21" s="2403">
        <f>SUM(H21:O21)</f>
        <v>315</v>
      </c>
      <c r="H21" s="945">
        <f>SUMPRODUCT((七通一平=H20)*(修正!B1:M1=G2)*(修正!B8:M16))</f>
        <v>70</v>
      </c>
      <c r="I21" s="945">
        <f>SUMPRODUCT((七通一平=I20)*(修正!B1:M1=G2)*(修正!B8:M16))</f>
        <v>60</v>
      </c>
      <c r="J21" s="945">
        <f>SUMPRODUCT((七通一平=J20)*(修正!B1:M1=G2)*(修正!B8:M16))</f>
        <v>15</v>
      </c>
      <c r="K21" s="945">
        <f>SUMPRODUCT((七通一平=K20)*(修正!B1:M1=G2)*(修正!B8:M16))</f>
        <v>25</v>
      </c>
      <c r="L21" s="945">
        <f>SUMPRODUCT((七通一平=L20)*(修正!B1:M1=G2)*(修正!B8:M16))</f>
        <v>40</v>
      </c>
      <c r="M21" s="945">
        <f>SUMPRODUCT((七通一平=M20)*(修正!B1:M1=G2)*(修正!B8:M16))</f>
        <v>50</v>
      </c>
      <c r="N21" s="945">
        <f>SUMPRODUCT((七通一平=N20)*(修正!B1:M1=G2)*(修正!B8:M16))</f>
        <v>40</v>
      </c>
      <c r="O21" s="2414">
        <f>SUMPRODUCT((七通一平=O20)*(修正!B1:M1=G2)*(修正!B8:M16))</f>
        <v>15</v>
      </c>
      <c r="P21" s="1788"/>
      <c r="Q21" s="1791"/>
      <c r="R21" s="1794"/>
      <c r="S21" s="1794"/>
      <c r="T21" s="1794"/>
      <c r="U21" s="1794"/>
      <c r="V21" s="1794"/>
      <c r="W21" s="1794"/>
      <c r="X21" s="1794"/>
      <c r="Y21" s="1186"/>
      <c r="Z21" s="1186"/>
      <c r="AA21" s="1186"/>
      <c r="AB21" s="1186"/>
      <c r="AC21" s="1220"/>
      <c r="AD21" s="1220"/>
    </row>
    <row r="22" spans="1:40" s="1202" customFormat="1" ht="15.75" thickBot="1">
      <c r="A22" s="2094" t="s">
        <v>1358</v>
      </c>
      <c r="B22" s="2406" t="s">
        <v>880</v>
      </c>
      <c r="C22" s="2407">
        <f>SUMIF(修正!C20:C51,E3,修正!E20:E51)</f>
        <v>1.5</v>
      </c>
      <c r="D22" s="2408"/>
      <c r="E22" s="2409"/>
      <c r="F22" s="2396"/>
      <c r="G22" s="1229"/>
      <c r="H22" s="1229"/>
      <c r="I22" s="1229"/>
      <c r="J22" s="2401"/>
      <c r="K22" s="2739"/>
      <c r="L22" s="1229"/>
      <c r="M22" s="1229"/>
      <c r="N22" s="1229"/>
      <c r="O22" s="1229"/>
      <c r="P22" s="2739"/>
      <c r="Q22" s="1793"/>
      <c r="R22" s="1794"/>
      <c r="S22" s="1794"/>
      <c r="T22" s="1794"/>
      <c r="U22" s="1794"/>
      <c r="V22" s="1794"/>
      <c r="W22" s="1794"/>
      <c r="X22" s="1794"/>
      <c r="Y22" s="1220"/>
      <c r="Z22" s="1220"/>
      <c r="AA22" s="1220"/>
      <c r="AB22" s="1220"/>
      <c r="AC22" s="1220"/>
      <c r="AD22" s="1220"/>
    </row>
    <row r="23" spans="1:40" ht="27.75" thickBot="1">
      <c r="A23" s="1359" t="s">
        <v>1364</v>
      </c>
      <c r="B23" s="1219" t="s">
        <v>881</v>
      </c>
      <c r="C23" s="94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1.0674999999999999</v>
      </c>
      <c r="D23" s="1222" t="s">
        <v>882</v>
      </c>
      <c r="E23" s="948">
        <v>44197</v>
      </c>
      <c r="F23" s="1222" t="s">
        <v>883</v>
      </c>
      <c r="G23" s="949">
        <f>'数据-取费表'!B2</f>
        <v>45196</v>
      </c>
      <c r="H23" s="1223" t="s">
        <v>2241</v>
      </c>
      <c r="I23" s="2100" t="str">
        <f>IF(H23="季度增幅（自定义）",SUMIF(N25:N28,E2,O25:O28),"")</f>
        <v/>
      </c>
      <c r="J23" s="3295" t="s">
        <v>3266</v>
      </c>
      <c r="K23" s="2739"/>
      <c r="L23" s="2322" t="s">
        <v>2113</v>
      </c>
      <c r="M23" s="2323">
        <f>ROUND(SUMIF(地价!B2:F2,E2,地价!B41:F41),0)</f>
        <v>230</v>
      </c>
      <c r="N23" s="2102" t="s">
        <v>1211</v>
      </c>
      <c r="O23" s="2101">
        <f>ROUNDDOWN(DATEDIF(E23,G23,"M")/3,0)</f>
        <v>10</v>
      </c>
      <c r="P23" s="1792"/>
      <c r="Q23" s="2221"/>
      <c r="R23" s="1794"/>
      <c r="S23" s="1794"/>
      <c r="T23" s="1794"/>
      <c r="U23" s="1794"/>
      <c r="V23" s="1794"/>
      <c r="W23" s="1794"/>
      <c r="X23" s="1794"/>
      <c r="Y23" s="1186"/>
      <c r="Z23" s="1186"/>
      <c r="AA23" s="1186"/>
      <c r="AB23" s="1186"/>
      <c r="AC23" s="1186"/>
      <c r="AE23" s="1187"/>
      <c r="AF23" s="1187"/>
      <c r="AG23" s="1187"/>
      <c r="AH23" s="1187"/>
      <c r="AI23" s="1187"/>
      <c r="AJ23" s="1188"/>
      <c r="AK23" s="1188"/>
      <c r="AL23" s="1188"/>
      <c r="AM23" s="1188"/>
    </row>
    <row r="24" spans="1:40" s="1202" customFormat="1" ht="24.75" thickBot="1">
      <c r="A24" s="2094" t="s">
        <v>1365</v>
      </c>
      <c r="B24" s="2095" t="s">
        <v>896</v>
      </c>
      <c r="C24" s="2096">
        <f>ROUND(POWER(1+G24,J24-I24)*(POWER(1+G24,I24)-1)/(POWER(1+G24,J24)-1),4)</f>
        <v>1</v>
      </c>
      <c r="D24" s="2097" t="s">
        <v>897</v>
      </c>
      <c r="E24" s="2349">
        <f>存贷款利率!E24/100</f>
        <v>4.3499999999999997E-2</v>
      </c>
      <c r="F24" s="2097" t="s">
        <v>898</v>
      </c>
      <c r="G24" s="2098">
        <f>SUMIF(M30:Q30,E2,M33:Q33)</f>
        <v>0.05</v>
      </c>
      <c r="H24" s="2097" t="s">
        <v>899</v>
      </c>
      <c r="I24" s="2093">
        <f>SUMIF('数据-取费表'!C6:C15,E2,'数据-取费表'!F6:F15)/COUNTIF('数据-取费表'!C6:C15,E2)</f>
        <v>50</v>
      </c>
      <c r="J24" s="2099">
        <f>IF(E2="住宅",70,IF(E2="商业",40,50))</f>
        <v>50</v>
      </c>
      <c r="K24" s="1792"/>
      <c r="L24" s="2324" t="s">
        <v>2114</v>
      </c>
      <c r="M24" s="2398">
        <f>ROUND(SUMPRODUCT((地价!A4:A41=YEAR(G23)&amp;"-"&amp;ROUNDUP(MONTH(G23)/3,0))*(地价!B2:F2=E2)*(地价!B4:F41)),0)</f>
        <v>0</v>
      </c>
      <c r="N24" s="2105" t="s">
        <v>1924</v>
      </c>
      <c r="O24" s="2103" t="s">
        <v>1923</v>
      </c>
      <c r="P24" s="2104" t="s">
        <v>1929</v>
      </c>
      <c r="Q24" s="2221"/>
      <c r="R24" s="1794"/>
      <c r="S24" s="1794"/>
      <c r="T24" s="1794"/>
      <c r="U24" s="1794"/>
      <c r="V24" s="1794"/>
      <c r="W24" s="1794"/>
      <c r="X24" s="1794"/>
      <c r="Y24" s="1220"/>
      <c r="Z24" s="1220"/>
      <c r="AA24" s="1220"/>
      <c r="AB24" s="1220"/>
      <c r="AC24" s="1220"/>
      <c r="AD24" s="1220"/>
    </row>
    <row r="25" spans="1:40" ht="14.25">
      <c r="A25" s="1361" t="s">
        <v>1366</v>
      </c>
      <c r="B25" s="1228" t="s">
        <v>2273</v>
      </c>
      <c r="C25" s="1002">
        <f>IF(B25="容积率修正",IF(G3&lt;10,D26,J26),C27)</f>
        <v>1.1220000000000001</v>
      </c>
      <c r="D25" s="1229"/>
      <c r="E25" s="1229"/>
      <c r="F25" s="1229"/>
      <c r="G25" s="1229"/>
      <c r="H25" s="1229"/>
      <c r="I25" s="1229"/>
      <c r="J25" s="1230"/>
      <c r="K25" s="2739"/>
      <c r="L25" s="1229"/>
      <c r="M25" s="1229"/>
      <c r="N25" s="1226" t="s">
        <v>900</v>
      </c>
      <c r="O25" s="1286"/>
      <c r="P25" s="2092">
        <f>SUMPRODUCT((地价!A3:A41=YEAR(G23)&amp;"-"&amp;ROUNDUP(MONTH(G23)/3,0))*(地价!AD2:AH2=N25)*(地价!AD3:AH41))</f>
        <v>0</v>
      </c>
      <c r="Q25" s="2221"/>
      <c r="R25" s="1794"/>
      <c r="S25" s="1794"/>
      <c r="T25" s="1794"/>
      <c r="U25" s="1794"/>
      <c r="V25" s="1794"/>
      <c r="W25" s="1794"/>
      <c r="X25" s="1794"/>
      <c r="Y25" s="1186"/>
      <c r="Z25" s="1186"/>
      <c r="AA25" s="1186"/>
      <c r="AB25" s="1186"/>
      <c r="AC25" s="1186"/>
      <c r="AE25" s="1187"/>
      <c r="AF25" s="1187"/>
      <c r="AG25" s="1187"/>
      <c r="AH25" s="1187"/>
      <c r="AI25" s="1188"/>
      <c r="AJ25" s="1188"/>
      <c r="AK25" s="1188"/>
      <c r="AL25" s="1188"/>
      <c r="AM25" s="1188"/>
    </row>
    <row r="26" spans="1:40" ht="14.25">
      <c r="A26" s="1362" t="s">
        <v>1395</v>
      </c>
      <c r="B26" s="1231" t="s">
        <v>901</v>
      </c>
      <c r="C26" s="3296" t="s">
        <v>3207</v>
      </c>
      <c r="D26" s="950">
        <f>IF(E26=G26,F26,IF(G3&lt;10,ROUND(F26+(H26-F26)*(G3-E26)/(G26-E26),4),"——"))</f>
        <v>1.1220000000000001</v>
      </c>
      <c r="E26" s="940">
        <f>ROUNDDOWN(G3,1)</f>
        <v>1</v>
      </c>
      <c r="F26" s="9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940">
        <f>ROUNDUP(G3,1)</f>
        <v>1</v>
      </c>
      <c r="H26" s="9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296" t="s">
        <v>3208</v>
      </c>
      <c r="J26" s="950" t="str">
        <f>IF(G3&gt;=10,D116,"——")</f>
        <v>——</v>
      </c>
      <c r="K26" s="2221"/>
      <c r="L26" s="1229"/>
      <c r="M26" s="1229"/>
      <c r="N26" s="1226" t="s">
        <v>902</v>
      </c>
      <c r="O26" s="1286"/>
      <c r="P26" s="2092">
        <f>SUMPRODUCT((地价!A3:A41=YEAR(G23)&amp;"-"&amp;ROUNDUP(MONTH(G23)/3,0))*(地价!AD2:AH2=N26)*(地价!AD3:AH41))</f>
        <v>0</v>
      </c>
      <c r="Q26" s="2221"/>
      <c r="R26" s="1794"/>
      <c r="S26" s="1794"/>
      <c r="T26" s="1794"/>
      <c r="U26" s="1794"/>
      <c r="V26" s="1794"/>
      <c r="W26" s="1794"/>
      <c r="X26" s="1794"/>
      <c r="Y26" s="1220"/>
      <c r="Z26" s="1220"/>
      <c r="AA26" s="1220"/>
      <c r="AB26" s="1220"/>
      <c r="AC26" s="1186"/>
      <c r="AE26" s="1187"/>
      <c r="AF26" s="1187"/>
      <c r="AG26" s="1187"/>
      <c r="AH26" s="1187"/>
      <c r="AI26" s="1188"/>
      <c r="AJ26" s="1188"/>
      <c r="AK26" s="1188"/>
      <c r="AL26" s="1188"/>
      <c r="AM26" s="1188"/>
    </row>
    <row r="27" spans="1:40" ht="15.75" thickBot="1">
      <c r="A27" s="1362" t="s">
        <v>1396</v>
      </c>
      <c r="B27" s="1231" t="s">
        <v>903</v>
      </c>
      <c r="C27" s="951">
        <f>ROUND(IF(I3&lt;6,SUMPRODUCT((B107:B111=I3)*(C106:N106=G2)*(C107:N111)),SUMIF(C106:N106,G2,C113:N113)),4)</f>
        <v>0</v>
      </c>
      <c r="D27" s="1274"/>
      <c r="E27" s="1274"/>
      <c r="F27" s="1275"/>
      <c r="G27" s="1276"/>
      <c r="H27" s="1277"/>
      <c r="I27" s="1278"/>
      <c r="J27" s="1278"/>
      <c r="K27" s="1794"/>
      <c r="L27" s="1184"/>
      <c r="M27" s="1184"/>
      <c r="N27" s="1226" t="s">
        <v>851</v>
      </c>
      <c r="O27" s="1286"/>
      <c r="P27" s="2092">
        <f>SUMPRODUCT((地价!A3:A41=YEAR(G23)&amp;"-"&amp;ROUNDUP(MONTH(G23)/3,0))*(地价!AD2:AH2=N27)*(地价!AD3:AH41))</f>
        <v>0</v>
      </c>
      <c r="Q27" s="2221"/>
      <c r="R27" s="2221"/>
      <c r="S27" s="2221"/>
      <c r="T27" s="2221"/>
      <c r="U27" s="2221"/>
      <c r="V27" s="2221"/>
      <c r="W27" s="1794"/>
      <c r="X27" s="1794"/>
      <c r="Y27" s="1794"/>
      <c r="Z27" s="1794"/>
      <c r="AA27" s="1794"/>
      <c r="AB27" s="1794"/>
      <c r="AC27" s="1794"/>
    </row>
    <row r="28" spans="1:40" ht="15.75" thickBot="1">
      <c r="A28" s="1360" t="s">
        <v>1397</v>
      </c>
      <c r="B28" s="1196" t="s">
        <v>904</v>
      </c>
      <c r="C28" s="952">
        <f>SUMIF(A47:A101,E2,B47:B101)</f>
        <v>1.0349999999999999</v>
      </c>
      <c r="D28" s="1279"/>
      <c r="E28" s="1280"/>
      <c r="F28" s="1280"/>
      <c r="G28" s="1280"/>
      <c r="H28" s="1280"/>
      <c r="I28" s="1280"/>
      <c r="J28" s="1280"/>
      <c r="K28" s="1794"/>
      <c r="L28" s="1229"/>
      <c r="M28" s="1229"/>
      <c r="N28" s="1226" t="s">
        <v>905</v>
      </c>
      <c r="O28" s="2397"/>
      <c r="P28" s="2092">
        <f>SUMPRODUCT((地价!A3:A41=YEAR(G23)&amp;"-"&amp;ROUNDUP(MONTH(G23)/3,0))*(地价!AD2:AH2=N28)*(地价!AD3:AH41))</f>
        <v>0</v>
      </c>
      <c r="Q28" s="2221"/>
      <c r="R28" s="2221"/>
      <c r="S28" s="2221"/>
      <c r="T28" s="2221"/>
      <c r="U28" s="2221"/>
      <c r="V28" s="2221"/>
      <c r="W28" s="1794"/>
      <c r="X28" s="1794"/>
      <c r="Y28" s="1794"/>
      <c r="Z28" s="1794"/>
      <c r="AA28" s="1794"/>
      <c r="AB28" s="1794"/>
      <c r="AC28" s="1794"/>
      <c r="AD28" s="1220"/>
      <c r="AE28" s="1220"/>
      <c r="AF28" s="1220"/>
      <c r="AG28" s="1220"/>
    </row>
    <row r="29" spans="1:40" ht="15" thickBot="1">
      <c r="A29" s="1360" t="s">
        <v>1398</v>
      </c>
      <c r="B29" s="1233" t="s">
        <v>906</v>
      </c>
      <c r="C29" s="1234"/>
      <c r="D29" s="1206"/>
      <c r="E29" s="1206"/>
      <c r="F29" s="1235"/>
      <c r="G29" s="1206"/>
      <c r="H29" s="1206"/>
      <c r="I29" s="1206"/>
      <c r="J29" s="1207"/>
      <c r="K29" s="1788"/>
      <c r="L29" s="1794"/>
      <c r="M29" s="1794"/>
      <c r="N29" s="2399" t="s">
        <v>1927</v>
      </c>
      <c r="O29" s="2400"/>
      <c r="P29" s="1966">
        <f>SUMPRODUCT((地价!A3:A41=YEAR(G23)&amp;"-"&amp;ROUNDUP(MONTH(G23)/3,0))*(地价!AD2:AH2=N29)*(地价!AD3:AH41))</f>
        <v>0</v>
      </c>
      <c r="Q29" s="2221"/>
      <c r="R29" s="1794"/>
      <c r="S29" s="1794"/>
      <c r="T29" s="1794"/>
      <c r="U29" s="1794"/>
      <c r="V29" s="1794"/>
      <c r="W29" s="2221"/>
      <c r="X29" s="2221"/>
      <c r="Y29" s="2221"/>
      <c r="Z29" s="2221"/>
      <c r="AA29" s="2221"/>
      <c r="AB29" s="1794"/>
      <c r="AC29" s="1794"/>
      <c r="AD29" s="1794"/>
      <c r="AE29" s="1794"/>
      <c r="AF29" s="1794"/>
      <c r="AG29" s="1794"/>
      <c r="AH29" s="1794"/>
      <c r="AJ29" s="1186"/>
      <c r="AK29" s="1186"/>
      <c r="AL29" s="1186"/>
      <c r="AM29" s="1185"/>
      <c r="AN29" s="1185"/>
    </row>
    <row r="30" spans="1:40" ht="13.5">
      <c r="A30" s="1236"/>
      <c r="B30" s="1231" t="s">
        <v>910</v>
      </c>
      <c r="C30" s="2552">
        <f>IF(B25="容积率修正",E33+SUM(E37:E42),SUM(V2:V16)+SUM(E37:E42))</f>
        <v>14331</v>
      </c>
      <c r="D30" s="1237"/>
      <c r="E30" s="1184"/>
      <c r="F30" s="1238"/>
      <c r="G30" s="1184"/>
      <c r="H30" s="1184"/>
      <c r="I30" s="1184"/>
      <c r="J30" s="1239"/>
      <c r="K30" s="1788"/>
      <c r="L30" s="1325" t="s">
        <v>833</v>
      </c>
      <c r="M30" s="1205" t="s">
        <v>907</v>
      </c>
      <c r="N30" s="1205" t="s">
        <v>908</v>
      </c>
      <c r="O30" s="1205" t="s">
        <v>835</v>
      </c>
      <c r="P30" s="1224" t="s">
        <v>909</v>
      </c>
      <c r="Q30" s="1224" t="s">
        <v>3234</v>
      </c>
      <c r="R30" s="1788"/>
      <c r="S30" s="1788"/>
      <c r="T30" s="1788"/>
      <c r="U30" s="1788"/>
      <c r="V30" s="1788"/>
      <c r="W30" s="1789"/>
      <c r="X30" s="1789"/>
      <c r="Y30" s="1789"/>
      <c r="Z30" s="1789"/>
      <c r="AA30" s="1789"/>
      <c r="AB30" s="1788"/>
      <c r="AC30" s="1788"/>
      <c r="AD30" s="1788"/>
      <c r="AE30" s="1788"/>
      <c r="AF30" s="1788"/>
      <c r="AG30" s="1788"/>
      <c r="AH30" s="1788"/>
      <c r="AI30" s="1220"/>
      <c r="AJ30" s="1220"/>
      <c r="AK30" s="1220"/>
      <c r="AL30" s="1220"/>
      <c r="AM30" s="1185"/>
      <c r="AN30" s="1185"/>
    </row>
    <row r="31" spans="1:40" ht="14.25" thickBot="1">
      <c r="A31" s="1236"/>
      <c r="B31" s="1240" t="s">
        <v>912</v>
      </c>
      <c r="C31" s="954">
        <f>E34+SUM(I37:I42)</f>
        <v>0</v>
      </c>
      <c r="D31" s="1241"/>
      <c r="E31" s="1242"/>
      <c r="F31" s="1243"/>
      <c r="G31" s="1242"/>
      <c r="H31" s="1242"/>
      <c r="I31" s="1242"/>
      <c r="J31" s="1244"/>
      <c r="K31" s="1788"/>
      <c r="L31" s="1217" t="s">
        <v>911</v>
      </c>
      <c r="M31" s="943">
        <v>0.25</v>
      </c>
      <c r="N31" s="943">
        <v>0.2</v>
      </c>
      <c r="O31" s="943">
        <v>0.15</v>
      </c>
      <c r="P31" s="1283">
        <v>0.1</v>
      </c>
      <c r="Q31" s="1283">
        <v>0.15</v>
      </c>
      <c r="R31" s="1788"/>
      <c r="S31" s="1788"/>
      <c r="T31" s="1788"/>
      <c r="U31" s="1788"/>
      <c r="V31" s="1788"/>
      <c r="W31" s="1789"/>
      <c r="X31" s="1789"/>
      <c r="Y31" s="1789"/>
      <c r="Z31" s="1789"/>
      <c r="AA31" s="1789"/>
      <c r="AB31" s="1788"/>
      <c r="AC31" s="1788"/>
      <c r="AD31" s="1788"/>
      <c r="AE31" s="1788"/>
      <c r="AF31" s="1788"/>
      <c r="AG31" s="1788"/>
      <c r="AH31" s="1788"/>
      <c r="AJ31" s="1186"/>
      <c r="AK31" s="1186"/>
      <c r="AL31" s="1186"/>
      <c r="AM31" s="1185"/>
      <c r="AN31" s="1185"/>
    </row>
    <row r="32" spans="1:40" ht="14.25" thickBot="1">
      <c r="A32" s="1232"/>
      <c r="B32" s="1245" t="s">
        <v>913</v>
      </c>
      <c r="C32" s="1246" t="s">
        <v>914</v>
      </c>
      <c r="D32" s="1246" t="s">
        <v>915</v>
      </c>
      <c r="E32" s="1247" t="s">
        <v>916</v>
      </c>
      <c r="F32" s="1248"/>
      <c r="G32" s="1211"/>
      <c r="H32" s="1211"/>
      <c r="I32" s="1211"/>
      <c r="J32" s="1212"/>
      <c r="K32" s="1788"/>
      <c r="L32" s="1218" t="s">
        <v>898</v>
      </c>
      <c r="M32" s="1284">
        <f>ROUND($E$24*(1+M31),3)</f>
        <v>5.3999999999999999E-2</v>
      </c>
      <c r="N32" s="1284">
        <f>ROUND($E$24*(1+N31),3)</f>
        <v>5.1999999999999998E-2</v>
      </c>
      <c r="O32" s="1284">
        <f>ROUND($E$24*(1+O31),3)</f>
        <v>0.05</v>
      </c>
      <c r="P32" s="1285">
        <f>ROUND($E$24*(1+P31),3)</f>
        <v>4.8000000000000001E-2</v>
      </c>
      <c r="Q32" s="1285">
        <f>ROUND($E$24*(1+Q31),3)</f>
        <v>0.05</v>
      </c>
      <c r="R32" s="1788"/>
      <c r="S32" s="1788"/>
      <c r="T32" s="1788"/>
      <c r="U32" s="1788"/>
      <c r="V32" s="1788"/>
      <c r="W32" s="1789"/>
      <c r="X32" s="1789"/>
      <c r="Y32" s="1789"/>
      <c r="Z32" s="1789"/>
      <c r="AA32" s="1789"/>
      <c r="AB32" s="1788"/>
      <c r="AC32" s="1788"/>
      <c r="AD32" s="1788"/>
      <c r="AE32" s="1788"/>
      <c r="AF32" s="1788"/>
      <c r="AG32" s="1788"/>
      <c r="AH32" s="1788"/>
      <c r="AI32" s="1185"/>
      <c r="AJ32" s="1185"/>
      <c r="AK32" s="1185"/>
      <c r="AL32" s="1185"/>
      <c r="AM32" s="1185"/>
      <c r="AN32" s="1185"/>
    </row>
    <row r="33" spans="1:44" ht="12.75">
      <c r="A33" s="1249"/>
      <c r="B33" s="1250" t="s">
        <v>917</v>
      </c>
      <c r="C33" s="953">
        <f>ROUND(C5*C22*C23*C24*C25*C28,0)</f>
        <v>8163</v>
      </c>
      <c r="D33" s="1251">
        <f>F1</f>
        <v>17556.580000000002</v>
      </c>
      <c r="E33" s="1537">
        <f>ROUND(C33*D33/10000,0)</f>
        <v>14331</v>
      </c>
      <c r="F33" s="3297" t="s">
        <v>3209</v>
      </c>
      <c r="G33" s="1252"/>
      <c r="H33" s="1252"/>
      <c r="I33" s="1252"/>
      <c r="J33" s="1253"/>
      <c r="K33" s="2743"/>
      <c r="L33" s="3365" t="s">
        <v>3235</v>
      </c>
      <c r="M33" s="3366">
        <v>5.5E-2</v>
      </c>
      <c r="N33" s="3366">
        <v>5.5E-2</v>
      </c>
      <c r="O33" s="3366">
        <v>0.05</v>
      </c>
      <c r="P33" s="3366">
        <v>0.05</v>
      </c>
      <c r="Q33" s="3366">
        <v>0.05</v>
      </c>
      <c r="R33" s="1788"/>
      <c r="S33" s="1788"/>
      <c r="T33" s="1788"/>
      <c r="U33" s="1788"/>
      <c r="V33" s="1788"/>
      <c r="W33" s="1789"/>
      <c r="X33" s="1789"/>
      <c r="Y33" s="1789"/>
      <c r="Z33" s="1789"/>
      <c r="AA33" s="1789"/>
      <c r="AB33" s="1788"/>
      <c r="AC33" s="1788"/>
      <c r="AD33" s="1788"/>
      <c r="AE33" s="1788"/>
      <c r="AF33" s="1788"/>
      <c r="AG33" s="1788"/>
      <c r="AH33" s="1789"/>
      <c r="AJ33" s="1186"/>
      <c r="AK33" s="1186"/>
      <c r="AL33" s="1186"/>
      <c r="AM33" s="1186"/>
      <c r="AN33" s="1186"/>
      <c r="AO33" s="1187"/>
      <c r="AP33" s="1187"/>
      <c r="AQ33" s="1187"/>
      <c r="AR33" s="1187"/>
    </row>
    <row r="34" spans="1:44" ht="24.75" thickBot="1">
      <c r="A34" s="1254"/>
      <c r="B34" s="1255" t="s">
        <v>918</v>
      </c>
      <c r="C34" s="945">
        <f>ROUND(IF(E2="工业",C33*M42,IF(B25="楼层修正",SUM(V2:V16)*M41*10000/D34,C33*M41)),0)</f>
        <v>1224</v>
      </c>
      <c r="D34" s="1256"/>
      <c r="E34" s="1537">
        <f>ROUND(IF(B25="楼层修正",SUM(V2:V16)*#REF!,C34*D34/10000),0)</f>
        <v>0</v>
      </c>
      <c r="F34" s="3298" t="s">
        <v>3210</v>
      </c>
      <c r="G34" s="1257"/>
      <c r="H34" s="1257"/>
      <c r="I34" s="1257"/>
      <c r="J34" s="1258"/>
      <c r="K34" s="1788"/>
      <c r="L34" s="3365" t="s">
        <v>3236</v>
      </c>
      <c r="M34" s="3366">
        <v>6.5000000000000002E-2</v>
      </c>
      <c r="N34" s="3366">
        <v>6.5000000000000002E-2</v>
      </c>
      <c r="O34" s="3366">
        <v>0.06</v>
      </c>
      <c r="P34" s="3366">
        <v>0.06</v>
      </c>
      <c r="Q34" s="3366">
        <v>0.06</v>
      </c>
      <c r="R34" s="1788"/>
      <c r="S34" s="1788"/>
      <c r="T34" s="1788"/>
      <c r="U34" s="1788"/>
      <c r="V34" s="1788"/>
      <c r="W34" s="1789"/>
      <c r="X34" s="1789"/>
      <c r="Y34" s="1789"/>
      <c r="Z34" s="1789"/>
      <c r="AA34" s="1789"/>
      <c r="AB34" s="1788"/>
      <c r="AC34" s="1788"/>
      <c r="AD34" s="1788"/>
      <c r="AE34" s="1788"/>
      <c r="AF34" s="1788"/>
      <c r="AG34" s="1788"/>
      <c r="AH34" s="1789"/>
      <c r="AJ34" s="1186"/>
      <c r="AK34" s="1186"/>
      <c r="AL34" s="1186"/>
      <c r="AM34" s="1186"/>
      <c r="AN34" s="1186"/>
      <c r="AO34" s="1187"/>
      <c r="AP34" s="1187"/>
      <c r="AQ34" s="1187"/>
      <c r="AR34" s="1187"/>
    </row>
    <row r="35" spans="1:44">
      <c r="A35" s="1259"/>
      <c r="B35" s="1260" t="s">
        <v>920</v>
      </c>
      <c r="C35" s="1261" t="s">
        <v>921</v>
      </c>
      <c r="D35" s="1211"/>
      <c r="E35" s="1261"/>
      <c r="F35" s="1261"/>
      <c r="G35" s="1210" t="s">
        <v>919</v>
      </c>
      <c r="H35" s="1211"/>
      <c r="I35" s="1262"/>
      <c r="J35" s="1212"/>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6"/>
      <c r="AK35" s="1186"/>
      <c r="AL35" s="1186"/>
      <c r="AM35" s="1186"/>
      <c r="AN35" s="1186"/>
      <c r="AO35" s="1187"/>
      <c r="AP35" s="1187"/>
      <c r="AQ35" s="1187"/>
      <c r="AR35" s="1187"/>
    </row>
    <row r="36" spans="1:44" ht="24.75" thickBot="1">
      <c r="A36" s="1249"/>
      <c r="B36" s="1263"/>
      <c r="C36" s="1264" t="s">
        <v>914</v>
      </c>
      <c r="D36" s="1265" t="s">
        <v>915</v>
      </c>
      <c r="E36" s="1265" t="s">
        <v>916</v>
      </c>
      <c r="F36" s="1266" t="s">
        <v>922</v>
      </c>
      <c r="G36" s="1227" t="s">
        <v>914</v>
      </c>
      <c r="H36" s="1227" t="s">
        <v>915</v>
      </c>
      <c r="I36" s="1227" t="s">
        <v>916</v>
      </c>
      <c r="J36" s="1267"/>
      <c r="K36" s="3367" t="s">
        <v>3237</v>
      </c>
      <c r="L36" s="3369">
        <f ca="1">'数据-取费表'!B40</f>
        <v>4.7500000000000001E-2</v>
      </c>
      <c r="M36" s="3370">
        <f ca="1">ROUND($L$36*(1+M31),3)</f>
        <v>5.8999999999999997E-2</v>
      </c>
      <c r="N36" s="3370">
        <f ca="1">ROUND($L$36*(1+N31),3)</f>
        <v>5.7000000000000002E-2</v>
      </c>
      <c r="O36" s="3370">
        <f ca="1">ROUND($L$36*(1+O31),3)</f>
        <v>5.5E-2</v>
      </c>
      <c r="P36" s="3370">
        <f ca="1">ROUND($L$36*(1+P31),3)</f>
        <v>5.1999999999999998E-2</v>
      </c>
      <c r="Q36" s="3370">
        <f ca="1">ROUND($L$36*(1+Q31),3)</f>
        <v>5.5E-2</v>
      </c>
      <c r="R36" s="1788"/>
      <c r="S36" s="1788"/>
      <c r="T36" s="1788"/>
      <c r="U36" s="1788"/>
      <c r="V36" s="1788"/>
      <c r="W36" s="1789"/>
      <c r="X36" s="1789"/>
      <c r="Y36" s="1789"/>
      <c r="Z36" s="1789"/>
      <c r="AA36" s="1789"/>
      <c r="AB36" s="1788"/>
      <c r="AC36" s="1788"/>
      <c r="AD36" s="1788"/>
      <c r="AE36" s="1788"/>
      <c r="AF36" s="1788"/>
      <c r="AG36" s="1788"/>
      <c r="AH36" s="1789"/>
      <c r="AJ36" s="1186"/>
      <c r="AK36" s="1186"/>
      <c r="AL36" s="1186"/>
      <c r="AM36" s="1186"/>
      <c r="AN36" s="1186"/>
      <c r="AO36" s="1187"/>
      <c r="AP36" s="1187"/>
      <c r="AQ36" s="1187"/>
      <c r="AR36" s="1187"/>
    </row>
    <row r="37" spans="1:44" ht="13.5" thickBot="1">
      <c r="A37" s="3754"/>
      <c r="B37" s="1269" t="s">
        <v>923</v>
      </c>
      <c r="C37" s="953">
        <f>ROUND(D5*C22*C23*C24*C28*F37,0)</f>
        <v>4365</v>
      </c>
      <c r="D37" s="1281"/>
      <c r="E37" s="944">
        <f>ROUND(C37*D37/10000,0)</f>
        <v>0</v>
      </c>
      <c r="F37" s="944">
        <f>SUMIF(修正!A57:A68,G2,修正!B57:B68)</f>
        <v>0.6</v>
      </c>
      <c r="G37" s="944">
        <f>ROUND(IF(E2="工业",C37*$M$42,C37*$M$41),0)</f>
        <v>655</v>
      </c>
      <c r="H37" s="944">
        <f>D37</f>
        <v>0</v>
      </c>
      <c r="I37" s="944">
        <f>ROUND(G37*H37/10000,0)</f>
        <v>0</v>
      </c>
      <c r="J37" s="3754"/>
      <c r="K37" s="3368" t="s">
        <v>3238</v>
      </c>
      <c r="L37" s="3369">
        <f ca="1">L36+K38</f>
        <v>5.2499999999999998E-2</v>
      </c>
      <c r="M37" s="3370">
        <f ca="1">ROUND($L$37*(1+M31),3)</f>
        <v>6.6000000000000003E-2</v>
      </c>
      <c r="N37" s="3370">
        <f t="shared" ref="N37:Q37" ca="1" si="3">ROUND($L$37*(1+N31),3)</f>
        <v>6.3E-2</v>
      </c>
      <c r="O37" s="3370">
        <f t="shared" ca="1" si="3"/>
        <v>0.06</v>
      </c>
      <c r="P37" s="3370">
        <f t="shared" ca="1" si="3"/>
        <v>5.8000000000000003E-2</v>
      </c>
      <c r="Q37" s="3370">
        <f t="shared" ca="1" si="3"/>
        <v>0.06</v>
      </c>
      <c r="R37" s="1789"/>
      <c r="S37" s="1789"/>
      <c r="T37" s="1789"/>
      <c r="U37" s="1789"/>
      <c r="V37" s="1789"/>
      <c r="W37" s="1788"/>
      <c r="X37" s="1788"/>
      <c r="Y37" s="1788"/>
      <c r="Z37" s="1788"/>
      <c r="AA37" s="1788"/>
      <c r="AB37" s="1788"/>
      <c r="AC37" s="1789"/>
    </row>
    <row r="38" spans="1:44" ht="12.75">
      <c r="A38" s="3755"/>
      <c r="B38" s="1214" t="s">
        <v>924</v>
      </c>
      <c r="C38" s="953">
        <f>ROUND(D5*C22*C23*C24*C28*F38,0)</f>
        <v>2183</v>
      </c>
      <c r="D38" s="1281"/>
      <c r="E38" s="944">
        <f t="shared" ref="E38:E42" si="4">ROUND(C38*D38/10000,0)</f>
        <v>0</v>
      </c>
      <c r="F38" s="944">
        <f>SUMIF(修正!A57:A68,G2,修正!C57:C68)</f>
        <v>0.3</v>
      </c>
      <c r="G38" s="944">
        <f>ROUND(IF(E2="工业",C38*$M$42,C38*$M$41),0)</f>
        <v>327</v>
      </c>
      <c r="H38" s="944">
        <f t="shared" ref="H38:H42" si="5">D38</f>
        <v>0</v>
      </c>
      <c r="I38" s="944">
        <f t="shared" ref="I38:I42" si="6">ROUND(G38*H38/10000,0)</f>
        <v>0</v>
      </c>
      <c r="J38" s="3755"/>
      <c r="K38" s="3367">
        <v>5.0000000000000001E-3</v>
      </c>
      <c r="L38" s="3367"/>
      <c r="M38" s="3367"/>
      <c r="N38" s="3367"/>
      <c r="O38" s="3367"/>
      <c r="P38" s="3367"/>
      <c r="Q38" s="3367"/>
      <c r="R38" s="1789"/>
      <c r="S38" s="1789"/>
      <c r="T38" s="1789"/>
      <c r="U38" s="1789"/>
      <c r="V38" s="1789"/>
      <c r="W38" s="1788"/>
      <c r="X38" s="1788"/>
      <c r="Y38" s="1788"/>
      <c r="Z38" s="1788"/>
      <c r="AA38" s="1788"/>
      <c r="AB38" s="1788"/>
      <c r="AC38" s="1789"/>
    </row>
    <row r="39" spans="1:44" ht="13.5" thickBot="1">
      <c r="A39" s="3755"/>
      <c r="B39" s="3299" t="s">
        <v>3211</v>
      </c>
      <c r="C39" s="953">
        <f>ROUND(D5*C22*C23*C24*C28*F39,0)</f>
        <v>1819</v>
      </c>
      <c r="D39" s="1281"/>
      <c r="E39" s="944">
        <f t="shared" si="4"/>
        <v>0</v>
      </c>
      <c r="F39" s="944">
        <f>SUMIF(修正!A57:A68,G2,修正!D57:D68)</f>
        <v>0.25</v>
      </c>
      <c r="G39" s="944">
        <f>ROUND(IF(E2="工业",C39*$M$42,C39*$M$41),0)</f>
        <v>273</v>
      </c>
      <c r="H39" s="944">
        <f t="shared" si="5"/>
        <v>0</v>
      </c>
      <c r="I39" s="944">
        <f t="shared" si="6"/>
        <v>0</v>
      </c>
      <c r="J39" s="3755"/>
      <c r="K39" s="1789"/>
      <c r="L39" s="1789"/>
      <c r="M39" s="1789"/>
      <c r="N39" s="1789"/>
      <c r="O39" s="1789"/>
      <c r="P39" s="1788"/>
      <c r="Q39" s="1788"/>
      <c r="R39" s="1789"/>
      <c r="S39" s="1789"/>
      <c r="T39" s="1789"/>
      <c r="U39" s="1789"/>
      <c r="V39" s="1789"/>
      <c r="W39" s="1788"/>
      <c r="X39" s="1788"/>
      <c r="Y39" s="1788"/>
      <c r="Z39" s="1788"/>
      <c r="AA39" s="1788"/>
      <c r="AB39" s="1788"/>
      <c r="AC39" s="1789"/>
    </row>
    <row r="40" spans="1:44" s="1185" customFormat="1" ht="12.75">
      <c r="A40" s="1268"/>
      <c r="B40" s="1214" t="s">
        <v>925</v>
      </c>
      <c r="C40" s="944">
        <f>ROUND(D5*C22*C23*C24*C28*F40,0)</f>
        <v>1819</v>
      </c>
      <c r="D40" s="1281">
        <v>0</v>
      </c>
      <c r="E40" s="944">
        <f t="shared" si="4"/>
        <v>0</v>
      </c>
      <c r="F40" s="953">
        <f>SUMIF(修正!A57:A68,G2,修正!E57:E68)</f>
        <v>0.25</v>
      </c>
      <c r="G40" s="944">
        <f>ROUND(IF(E2="工业",C40*$M$42,C40*$M$41),0)</f>
        <v>273</v>
      </c>
      <c r="H40" s="944">
        <f t="shared" si="5"/>
        <v>0</v>
      </c>
      <c r="I40" s="944">
        <f t="shared" si="6"/>
        <v>0</v>
      </c>
      <c r="J40" s="1270"/>
      <c r="K40" s="1788"/>
      <c r="L40" s="1287" t="s">
        <v>1233</v>
      </c>
      <c r="M40" s="1288"/>
      <c r="N40" s="1788"/>
      <c r="O40" s="1788"/>
      <c r="P40" s="1788"/>
      <c r="Q40" s="1788"/>
      <c r="R40" s="1796"/>
      <c r="S40" s="1796"/>
      <c r="T40" s="1796"/>
      <c r="U40" s="1796"/>
      <c r="V40" s="1796"/>
      <c r="W40" s="1795"/>
      <c r="X40" s="1795"/>
      <c r="Y40" s="1795"/>
      <c r="Z40" s="1795"/>
      <c r="AA40" s="1795"/>
      <c r="AB40" s="1795"/>
      <c r="AC40" s="1796"/>
      <c r="AD40" s="1186"/>
      <c r="AE40" s="1186"/>
      <c r="AF40" s="1186"/>
      <c r="AG40" s="1186"/>
      <c r="AH40" s="1186"/>
      <c r="AI40" s="1186"/>
      <c r="AJ40" s="1186"/>
      <c r="AK40" s="1186"/>
      <c r="AL40" s="1186"/>
      <c r="AM40" s="1186"/>
    </row>
    <row r="41" spans="1:44" s="1185" customFormat="1" ht="12.75">
      <c r="A41" s="1268"/>
      <c r="B41" s="1214" t="s">
        <v>926</v>
      </c>
      <c r="C41" s="944">
        <f>ROUND(D5*C22*C23*C44*C28*F41,0)</f>
        <v>0</v>
      </c>
      <c r="D41" s="1281"/>
      <c r="E41" s="944">
        <f t="shared" si="4"/>
        <v>0</v>
      </c>
      <c r="F41" s="953">
        <f>SUMIF(修正!A57:A68,G2,修正!F57:F68)</f>
        <v>0.25</v>
      </c>
      <c r="G41" s="944">
        <f>ROUND(IF(E2="工业",C41*$M$42,C41*$M$41),0)</f>
        <v>0</v>
      </c>
      <c r="H41" s="944">
        <f t="shared" si="5"/>
        <v>0</v>
      </c>
      <c r="I41" s="944">
        <f t="shared" si="6"/>
        <v>0</v>
      </c>
      <c r="J41" s="1270"/>
      <c r="K41" s="1788"/>
      <c r="L41" s="3371" t="s">
        <v>3239</v>
      </c>
      <c r="M41" s="1289">
        <v>0.25</v>
      </c>
      <c r="N41" s="1788"/>
      <c r="O41" s="1788"/>
      <c r="P41" s="1788"/>
      <c r="Q41" s="1788"/>
      <c r="R41" s="1796"/>
      <c r="S41" s="1796"/>
      <c r="T41" s="1796"/>
      <c r="U41" s="1796"/>
      <c r="V41" s="1796"/>
      <c r="W41" s="1795"/>
      <c r="X41" s="1795"/>
      <c r="Y41" s="1795"/>
      <c r="Z41" s="1795"/>
      <c r="AA41" s="1795"/>
      <c r="AB41" s="1795"/>
      <c r="AC41" s="1796"/>
      <c r="AD41" s="1186"/>
      <c r="AE41" s="1186"/>
      <c r="AF41" s="1186"/>
      <c r="AG41" s="1186"/>
      <c r="AH41" s="1186"/>
      <c r="AI41" s="1186"/>
      <c r="AJ41" s="1186"/>
      <c r="AK41" s="1186"/>
      <c r="AL41" s="1186"/>
      <c r="AM41" s="1186"/>
    </row>
    <row r="42" spans="1:44" s="1185" customFormat="1" ht="13.5" thickBot="1">
      <c r="A42" s="1254"/>
      <c r="B42" s="1271" t="s">
        <v>927</v>
      </c>
      <c r="C42" s="945">
        <f>ROUND(D5*C22*C23*C44*C28*F42,0)</f>
        <v>0</v>
      </c>
      <c r="D42" s="1282"/>
      <c r="E42" s="945">
        <f t="shared" si="4"/>
        <v>0</v>
      </c>
      <c r="F42" s="955">
        <f>SUMIF(修正!A57:A68,G2,修正!G57:G68)</f>
        <v>0.15</v>
      </c>
      <c r="G42" s="945">
        <f>ROUND(IF(E2="工业",C42*$M$42,C42*$M$41),0)</f>
        <v>0</v>
      </c>
      <c r="H42" s="945">
        <f t="shared" si="5"/>
        <v>0</v>
      </c>
      <c r="I42" s="945">
        <f t="shared" si="6"/>
        <v>0</v>
      </c>
      <c r="J42" s="1272"/>
      <c r="K42" s="1788"/>
      <c r="L42" s="1290" t="s">
        <v>1234</v>
      </c>
      <c r="M42" s="1291">
        <v>0.15</v>
      </c>
      <c r="N42" s="1788"/>
      <c r="O42" s="1788"/>
      <c r="P42" s="1788"/>
      <c r="Q42" s="1788"/>
      <c r="R42" s="1796"/>
      <c r="S42" s="1796"/>
      <c r="T42" s="1796"/>
      <c r="U42" s="1796"/>
      <c r="V42" s="1796"/>
      <c r="W42" s="1795"/>
      <c r="X42" s="1795"/>
      <c r="Y42" s="1795"/>
      <c r="Z42" s="1795"/>
      <c r="AA42" s="1795"/>
      <c r="AB42" s="1795"/>
      <c r="AC42" s="1796"/>
      <c r="AD42" s="1186"/>
      <c r="AE42" s="1186"/>
      <c r="AF42" s="1186"/>
      <c r="AG42" s="1186"/>
      <c r="AH42" s="1186"/>
      <c r="AI42" s="1186"/>
      <c r="AJ42" s="1186"/>
      <c r="AK42" s="1186"/>
      <c r="AL42" s="1186"/>
      <c r="AM42" s="1186"/>
    </row>
    <row r="43" spans="1:44" s="1185" customFormat="1">
      <c r="B43" s="1795"/>
      <c r="C43" s="1795"/>
      <c r="D43" s="1795"/>
      <c r="E43" s="1795"/>
      <c r="F43" s="1795"/>
      <c r="G43" s="1795"/>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6"/>
      <c r="AE43" s="1186"/>
      <c r="AF43" s="1186"/>
      <c r="AG43" s="1186"/>
      <c r="AH43" s="1186"/>
      <c r="AI43" s="1186"/>
      <c r="AJ43" s="1186"/>
      <c r="AK43" s="1186"/>
      <c r="AL43" s="1186"/>
      <c r="AM43" s="1186"/>
    </row>
    <row r="44" spans="1:44" s="1185" customFormat="1" ht="12.75">
      <c r="A44" s="1186"/>
      <c r="B44" s="2395" t="s">
        <v>2237</v>
      </c>
      <c r="C44" s="771">
        <f>ROUND(POWER(1+E44,H44-G44)*(POWER(1+E44,G44)-1)/(POWER(1+E44,H44)-1),4)</f>
        <v>0</v>
      </c>
      <c r="D44" s="348" t="s">
        <v>2235</v>
      </c>
      <c r="E44" s="2394">
        <f>G24</f>
        <v>0.05</v>
      </c>
      <c r="F44" s="348" t="s">
        <v>2236</v>
      </c>
      <c r="G44" s="366"/>
      <c r="H44" s="348">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6"/>
      <c r="AE44" s="1186"/>
      <c r="AF44" s="1186"/>
      <c r="AG44" s="1186"/>
      <c r="AH44" s="1186"/>
      <c r="AI44" s="1186"/>
      <c r="AJ44" s="1186"/>
      <c r="AK44" s="1186"/>
      <c r="AL44" s="1186"/>
      <c r="AM44" s="1186"/>
    </row>
    <row r="45" spans="1:44" s="1185" customFormat="1">
      <c r="A45" s="1186"/>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6"/>
      <c r="AF45" s="1186"/>
      <c r="AG45" s="1186"/>
      <c r="AH45" s="1186"/>
      <c r="AI45" s="1186"/>
      <c r="AJ45" s="1186"/>
      <c r="AK45" s="1186"/>
      <c r="AL45" s="1186"/>
      <c r="AM45" s="1186"/>
      <c r="AN45" s="1186"/>
    </row>
    <row r="46" spans="1:44" s="1185" customFormat="1">
      <c r="A46" s="1186"/>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6"/>
      <c r="AF46" s="1186"/>
      <c r="AG46" s="1186"/>
      <c r="AH46" s="1186"/>
      <c r="AI46" s="1186"/>
      <c r="AJ46" s="1186"/>
      <c r="AK46" s="1186"/>
      <c r="AL46" s="1186"/>
      <c r="AM46" s="1186"/>
      <c r="AN46" s="1186"/>
    </row>
    <row r="47" spans="1:44" s="3312" customFormat="1" ht="15" thickBot="1">
      <c r="A47" s="3308" t="s">
        <v>928</v>
      </c>
      <c r="B47" s="3309"/>
      <c r="C47" s="3310"/>
      <c r="D47" s="3311"/>
      <c r="E47" s="3311"/>
      <c r="F47" s="3311"/>
      <c r="G47" s="3167"/>
      <c r="H47" s="3311"/>
      <c r="I47" s="3167"/>
      <c r="J47" s="3167"/>
      <c r="K47" s="3167"/>
      <c r="L47" s="3167"/>
      <c r="M47" s="3167"/>
      <c r="O47" s="1797"/>
      <c r="P47" s="1797"/>
      <c r="Q47" s="1797"/>
      <c r="R47" s="1797"/>
      <c r="S47" s="1797"/>
      <c r="T47" s="1797"/>
      <c r="U47" s="1797"/>
      <c r="V47" s="1797"/>
      <c r="W47" s="1797"/>
      <c r="X47" s="1797"/>
      <c r="Y47" s="1797"/>
      <c r="Z47" s="1797"/>
      <c r="AA47" s="1797"/>
      <c r="AB47" s="1797"/>
      <c r="AC47" s="1797"/>
      <c r="AD47" s="1797"/>
    </row>
    <row r="48" spans="1:44" s="3312" customFormat="1" ht="15" hidden="1">
      <c r="A48" s="3313" t="s">
        <v>929</v>
      </c>
      <c r="B48" s="3375">
        <f>1+E50</f>
        <v>1</v>
      </c>
      <c r="C48" s="3314"/>
      <c r="D48" s="3315"/>
      <c r="E48" s="3316"/>
      <c r="F48" s="3308"/>
      <c r="G48" s="3311"/>
      <c r="H48" s="3311"/>
      <c r="I48" s="3167"/>
      <c r="J48" s="3167"/>
      <c r="K48" s="3167"/>
      <c r="L48" s="3167"/>
      <c r="M48" s="3167"/>
      <c r="O48" s="1797"/>
      <c r="P48" s="1797"/>
      <c r="Q48" s="1797"/>
      <c r="R48" s="1797"/>
      <c r="S48" s="1797"/>
      <c r="T48" s="1797"/>
      <c r="U48" s="1797"/>
      <c r="V48" s="1797"/>
      <c r="W48" s="1797"/>
      <c r="X48" s="1797"/>
      <c r="Y48" s="1797"/>
      <c r="Z48" s="1797"/>
      <c r="AA48" s="1797"/>
      <c r="AB48" s="1797"/>
      <c r="AC48" s="1797"/>
      <c r="AD48" s="1797"/>
    </row>
    <row r="49" spans="1:30" s="3312" customFormat="1" ht="24" hidden="1">
      <c r="A49" s="3317" t="s">
        <v>930</v>
      </c>
      <c r="B49" s="3318" t="s">
        <v>931</v>
      </c>
      <c r="C49" s="3319" t="s">
        <v>932</v>
      </c>
      <c r="D49" s="3320" t="s">
        <v>933</v>
      </c>
      <c r="E49" s="3321" t="s">
        <v>935</v>
      </c>
      <c r="F49" s="3195" t="s">
        <v>1607</v>
      </c>
      <c r="G49" s="3320" t="s">
        <v>936</v>
      </c>
      <c r="H49" s="3322" t="s">
        <v>1769</v>
      </c>
      <c r="I49" s="3320" t="s">
        <v>934</v>
      </c>
      <c r="J49" s="3323" t="s">
        <v>937</v>
      </c>
      <c r="K49" s="3323" t="s">
        <v>938</v>
      </c>
      <c r="L49" s="3323" t="s">
        <v>939</v>
      </c>
      <c r="M49" s="3323" t="s">
        <v>940</v>
      </c>
      <c r="N49" s="3323" t="s">
        <v>941</v>
      </c>
      <c r="P49" s="1797"/>
      <c r="Q49" s="1797"/>
      <c r="R49" s="1797"/>
      <c r="S49" s="1797"/>
      <c r="T49" s="1797"/>
      <c r="U49" s="1797"/>
      <c r="V49" s="1797"/>
      <c r="W49" s="1797"/>
      <c r="X49" s="1797"/>
      <c r="Y49" s="1797"/>
      <c r="Z49" s="1797"/>
      <c r="AA49" s="1797"/>
      <c r="AB49" s="1797"/>
      <c r="AC49" s="1797"/>
      <c r="AD49" s="1797"/>
    </row>
    <row r="50" spans="1:30" s="3312" customFormat="1" ht="36" hidden="1">
      <c r="A50" s="3317" t="s">
        <v>942</v>
      </c>
      <c r="B50" s="3324" t="str">
        <f>估价对象房地状况!C16</f>
        <v>估价对象位于XX商圈，周边商业氛围成熟，人流量大，商业繁华度好</v>
      </c>
      <c r="C50" s="3325"/>
      <c r="D50" s="3326">
        <f t="shared" ref="D50:D58" si="7">SUMIF($J$49:$N$49,C50,J50:N50)</f>
        <v>0</v>
      </c>
      <c r="E50" s="3327">
        <f>ROUND(SUM(D50:D58),4)</f>
        <v>0</v>
      </c>
      <c r="F50" s="3328" t="str">
        <f>IF(E2="商业",SUMIF(L1:L12,G2,N1:N12),"——")</f>
        <v>——</v>
      </c>
      <c r="G50" s="3329"/>
      <c r="H50" s="3330" t="str">
        <f t="shared" ref="H50:H58" si="8">IFERROR(ROUNDDOWN(($F$50*I50/2),4),"——")</f>
        <v>——</v>
      </c>
      <c r="I50" s="3305">
        <v>0.3</v>
      </c>
      <c r="J50" s="3331">
        <f t="shared" ref="J50:J58" si="9">K50+$G50</f>
        <v>0</v>
      </c>
      <c r="K50" s="3331">
        <f t="shared" ref="K50:K58" si="10">$L50+$G50</f>
        <v>0</v>
      </c>
      <c r="L50" s="3331">
        <v>0</v>
      </c>
      <c r="M50" s="3331">
        <f t="shared" ref="M50:N58" si="11">L50-$G50</f>
        <v>0</v>
      </c>
      <c r="N50" s="3331">
        <f t="shared" si="11"/>
        <v>0</v>
      </c>
      <c r="P50" s="1797"/>
      <c r="Q50" s="1797"/>
      <c r="R50" s="1797"/>
      <c r="S50" s="1797"/>
      <c r="T50" s="1797"/>
      <c r="U50" s="1797"/>
      <c r="V50" s="1797"/>
      <c r="W50" s="1797"/>
      <c r="X50" s="1797"/>
      <c r="Y50" s="1797"/>
      <c r="Z50" s="1797"/>
      <c r="AA50" s="1797"/>
      <c r="AB50" s="1797"/>
      <c r="AC50" s="1797"/>
      <c r="AD50" s="1797"/>
    </row>
    <row r="51" spans="1:30" s="3312" customFormat="1" ht="36" hidden="1">
      <c r="A51" s="3317" t="s">
        <v>943</v>
      </c>
      <c r="B51" s="3318" t="str">
        <f>估价对象房地状况!C18</f>
        <v>估价对象周边道路状况、公共交通通达情况、停车便捷程度，综合评价交通便捷度较好</v>
      </c>
      <c r="C51" s="3325"/>
      <c r="D51" s="3326">
        <f t="shared" si="7"/>
        <v>0</v>
      </c>
      <c r="E51" s="3332"/>
      <c r="F51" s="3328"/>
      <c r="G51" s="3329"/>
      <c r="H51" s="3330" t="str">
        <f t="shared" si="8"/>
        <v>——</v>
      </c>
      <c r="I51" s="3305">
        <v>0.22</v>
      </c>
      <c r="J51" s="3331">
        <f t="shared" si="9"/>
        <v>0</v>
      </c>
      <c r="K51" s="3331">
        <f t="shared" si="10"/>
        <v>0</v>
      </c>
      <c r="L51" s="3331">
        <v>0</v>
      </c>
      <c r="M51" s="3331">
        <f t="shared" si="11"/>
        <v>0</v>
      </c>
      <c r="N51" s="3331">
        <f t="shared" si="11"/>
        <v>0</v>
      </c>
      <c r="P51" s="1797"/>
      <c r="Q51" s="1797"/>
      <c r="R51" s="1797"/>
      <c r="S51" s="1797"/>
      <c r="T51" s="1797"/>
      <c r="U51" s="1797"/>
      <c r="V51" s="1797"/>
      <c r="W51" s="1797"/>
      <c r="X51" s="1797"/>
      <c r="Y51" s="1797"/>
      <c r="Z51" s="1797"/>
      <c r="AA51" s="1797"/>
      <c r="AB51" s="1797"/>
      <c r="AC51" s="1797"/>
      <c r="AD51" s="1797"/>
    </row>
    <row r="52" spans="1:30" s="3312" customFormat="1" ht="36" hidden="1">
      <c r="A52" s="3300" t="s">
        <v>3213</v>
      </c>
      <c r="B52" s="3318">
        <f>估价对象房地状况!C19</f>
        <v>0</v>
      </c>
      <c r="C52" s="3325"/>
      <c r="D52" s="3326">
        <f t="shared" si="7"/>
        <v>0</v>
      </c>
      <c r="E52" s="3332"/>
      <c r="F52" s="3328"/>
      <c r="G52" s="3329"/>
      <c r="H52" s="3330" t="str">
        <f t="shared" si="8"/>
        <v>——</v>
      </c>
      <c r="I52" s="3305">
        <v>0.12</v>
      </c>
      <c r="J52" s="3331">
        <f t="shared" si="9"/>
        <v>0</v>
      </c>
      <c r="K52" s="3331">
        <f t="shared" si="10"/>
        <v>0</v>
      </c>
      <c r="L52" s="3331">
        <v>0</v>
      </c>
      <c r="M52" s="3331">
        <f t="shared" si="11"/>
        <v>0</v>
      </c>
      <c r="N52" s="3331">
        <f t="shared" si="11"/>
        <v>0</v>
      </c>
      <c r="P52" s="1797"/>
      <c r="Q52" s="1797"/>
      <c r="R52" s="1797"/>
      <c r="S52" s="1797"/>
      <c r="T52" s="1797"/>
      <c r="U52" s="1797"/>
      <c r="V52" s="1797"/>
      <c r="W52" s="1797"/>
      <c r="X52" s="1797"/>
      <c r="Y52" s="1797"/>
      <c r="Z52" s="1797"/>
      <c r="AA52" s="1797"/>
      <c r="AB52" s="1797"/>
      <c r="AC52" s="1797"/>
      <c r="AD52" s="1797"/>
    </row>
    <row r="53" spans="1:30" s="3312" customFormat="1" ht="36" hidden="1">
      <c r="A53" s="3317" t="s">
        <v>945</v>
      </c>
      <c r="B53" s="3333" t="s">
        <v>2194</v>
      </c>
      <c r="C53" s="3325"/>
      <c r="D53" s="3326">
        <f t="shared" si="7"/>
        <v>0</v>
      </c>
      <c r="E53" s="3332"/>
      <c r="F53" s="3328"/>
      <c r="G53" s="3329"/>
      <c r="H53" s="3330" t="str">
        <f t="shared" si="8"/>
        <v>——</v>
      </c>
      <c r="I53" s="3305">
        <v>0.05</v>
      </c>
      <c r="J53" s="3331">
        <f t="shared" si="9"/>
        <v>0</v>
      </c>
      <c r="K53" s="3331">
        <f t="shared" si="10"/>
        <v>0</v>
      </c>
      <c r="L53" s="3331">
        <v>0</v>
      </c>
      <c r="M53" s="3331">
        <f t="shared" si="11"/>
        <v>0</v>
      </c>
      <c r="N53" s="3331">
        <f t="shared" si="11"/>
        <v>0</v>
      </c>
      <c r="P53" s="1797"/>
      <c r="Q53" s="1797"/>
      <c r="R53" s="1797"/>
      <c r="S53" s="1797"/>
      <c r="T53" s="1797"/>
      <c r="U53" s="1797"/>
      <c r="V53" s="1797"/>
      <c r="W53" s="1797"/>
      <c r="X53" s="1797"/>
      <c r="Y53" s="1797"/>
      <c r="Z53" s="1797"/>
      <c r="AA53" s="1797"/>
      <c r="AB53" s="1797"/>
      <c r="AC53" s="1797"/>
      <c r="AD53" s="1797"/>
    </row>
    <row r="54" spans="1:30" s="3312" customFormat="1" ht="24" hidden="1">
      <c r="A54" s="3317" t="s">
        <v>946</v>
      </c>
      <c r="B54" s="3318">
        <f>估价对象房地状况!C24</f>
        <v>0</v>
      </c>
      <c r="C54" s="3325"/>
      <c r="D54" s="3326">
        <f t="shared" si="7"/>
        <v>0</v>
      </c>
      <c r="E54" s="3332"/>
      <c r="F54" s="3328"/>
      <c r="G54" s="3329"/>
      <c r="H54" s="3330" t="str">
        <f t="shared" si="8"/>
        <v>——</v>
      </c>
      <c r="I54" s="3305">
        <v>0.08</v>
      </c>
      <c r="J54" s="3331">
        <f t="shared" si="9"/>
        <v>0</v>
      </c>
      <c r="K54" s="3331">
        <f t="shared" si="10"/>
        <v>0</v>
      </c>
      <c r="L54" s="3331">
        <v>0</v>
      </c>
      <c r="M54" s="3331">
        <f t="shared" si="11"/>
        <v>0</v>
      </c>
      <c r="N54" s="3331">
        <f t="shared" si="11"/>
        <v>0</v>
      </c>
      <c r="P54" s="1797"/>
      <c r="Q54" s="1797"/>
      <c r="R54" s="1797"/>
      <c r="S54" s="1797"/>
      <c r="T54" s="1797"/>
      <c r="U54" s="1797"/>
      <c r="V54" s="1797"/>
      <c r="W54" s="1797"/>
      <c r="X54" s="1797"/>
      <c r="Y54" s="1797"/>
      <c r="Z54" s="1797"/>
      <c r="AA54" s="1797"/>
      <c r="AB54" s="1797"/>
      <c r="AC54" s="1797"/>
      <c r="AD54" s="1797"/>
    </row>
    <row r="55" spans="1:30" s="3312" customFormat="1" ht="24" hidden="1">
      <c r="A55" s="3317" t="s">
        <v>947</v>
      </c>
      <c r="B55" s="3334" t="s">
        <v>2193</v>
      </c>
      <c r="C55" s="3325"/>
      <c r="D55" s="3326">
        <f t="shared" si="7"/>
        <v>0</v>
      </c>
      <c r="E55" s="3332"/>
      <c r="F55" s="3328"/>
      <c r="G55" s="3329"/>
      <c r="H55" s="3330" t="str">
        <f t="shared" si="8"/>
        <v>——</v>
      </c>
      <c r="I55" s="3305">
        <v>0.05</v>
      </c>
      <c r="J55" s="3331">
        <f t="shared" si="9"/>
        <v>0</v>
      </c>
      <c r="K55" s="3331">
        <f t="shared" si="10"/>
        <v>0</v>
      </c>
      <c r="L55" s="3331">
        <v>0</v>
      </c>
      <c r="M55" s="3331">
        <f t="shared" si="11"/>
        <v>0</v>
      </c>
      <c r="N55" s="3331">
        <f t="shared" si="11"/>
        <v>0</v>
      </c>
      <c r="P55" s="1797"/>
      <c r="Q55" s="1797"/>
      <c r="R55" s="1797"/>
      <c r="S55" s="1797"/>
      <c r="T55" s="1797"/>
      <c r="U55" s="1797"/>
      <c r="V55" s="1797"/>
      <c r="W55" s="1797"/>
      <c r="X55" s="1797"/>
      <c r="Y55" s="1797"/>
      <c r="Z55" s="1797"/>
      <c r="AA55" s="1797"/>
      <c r="AB55" s="1797"/>
      <c r="AC55" s="1797"/>
      <c r="AD55" s="1797"/>
    </row>
    <row r="56" spans="1:30" s="3312" customFormat="1" ht="24" hidden="1">
      <c r="A56" s="3335" t="s">
        <v>948</v>
      </c>
      <c r="B56" s="3336" t="str">
        <f>估价对象房地状况!C21</f>
        <v>估价对象所在区域公共配套设施齐备情况</v>
      </c>
      <c r="C56" s="3325"/>
      <c r="D56" s="3326">
        <f t="shared" si="7"/>
        <v>0</v>
      </c>
      <c r="E56" s="3332"/>
      <c r="F56" s="3328"/>
      <c r="G56" s="3329"/>
      <c r="H56" s="3330" t="str">
        <f t="shared" si="8"/>
        <v>——</v>
      </c>
      <c r="I56" s="3305">
        <v>0.05</v>
      </c>
      <c r="J56" s="3331">
        <f t="shared" si="9"/>
        <v>0</v>
      </c>
      <c r="K56" s="3331">
        <f t="shared" si="10"/>
        <v>0</v>
      </c>
      <c r="L56" s="3331">
        <v>0</v>
      </c>
      <c r="M56" s="3331">
        <f t="shared" si="11"/>
        <v>0</v>
      </c>
      <c r="N56" s="3331">
        <f t="shared" si="11"/>
        <v>0</v>
      </c>
      <c r="P56" s="1797"/>
      <c r="Q56" s="1797"/>
      <c r="R56" s="1797"/>
      <c r="S56" s="1797"/>
      <c r="T56" s="1797"/>
      <c r="U56" s="1797"/>
      <c r="V56" s="1797"/>
      <c r="W56" s="1797"/>
      <c r="X56" s="1797"/>
      <c r="Y56" s="1797"/>
      <c r="Z56" s="1797"/>
      <c r="AA56" s="1797"/>
      <c r="AB56" s="1797"/>
      <c r="AC56" s="1797"/>
      <c r="AD56" s="1797"/>
    </row>
    <row r="57" spans="1:30" s="3312" customFormat="1" ht="24" hidden="1">
      <c r="A57" s="3335" t="s">
        <v>949</v>
      </c>
      <c r="B57" s="3318" t="str">
        <f>估价对象房地状况!C22</f>
        <v>估价对象所在区域基础设施水平</v>
      </c>
      <c r="C57" s="3325"/>
      <c r="D57" s="3326">
        <f t="shared" si="7"/>
        <v>0</v>
      </c>
      <c r="E57" s="3332"/>
      <c r="F57" s="3328"/>
      <c r="G57" s="3329"/>
      <c r="H57" s="3330" t="str">
        <f t="shared" si="8"/>
        <v>——</v>
      </c>
      <c r="I57" s="3305">
        <v>0.08</v>
      </c>
      <c r="J57" s="3331">
        <f t="shared" si="9"/>
        <v>0</v>
      </c>
      <c r="K57" s="3331">
        <f t="shared" si="10"/>
        <v>0</v>
      </c>
      <c r="L57" s="3331">
        <v>0</v>
      </c>
      <c r="M57" s="3331">
        <f t="shared" si="11"/>
        <v>0</v>
      </c>
      <c r="N57" s="3331">
        <f t="shared" si="11"/>
        <v>0</v>
      </c>
      <c r="P57" s="1797"/>
      <c r="Q57" s="1797"/>
      <c r="R57" s="1797"/>
      <c r="S57" s="1797"/>
      <c r="T57" s="1797"/>
      <c r="U57" s="1797"/>
      <c r="V57" s="1797"/>
      <c r="W57" s="1797"/>
      <c r="X57" s="1797"/>
      <c r="Y57" s="1797"/>
      <c r="Z57" s="1797"/>
      <c r="AA57" s="1797"/>
      <c r="AB57" s="1797"/>
      <c r="AC57" s="1797"/>
      <c r="AD57" s="1797"/>
    </row>
    <row r="58" spans="1:30" s="3312" customFormat="1" ht="24.75" hidden="1" thickBot="1">
      <c r="A58" s="3337" t="s">
        <v>950</v>
      </c>
      <c r="B58" s="3338" t="str">
        <f>估价对象房地状况!C20</f>
        <v>区域自然环境：；人文环境；综合评价环境状况一般</v>
      </c>
      <c r="C58" s="3325"/>
      <c r="D58" s="3326">
        <f t="shared" si="7"/>
        <v>0</v>
      </c>
      <c r="E58" s="3339"/>
      <c r="F58" s="3328"/>
      <c r="G58" s="3329"/>
      <c r="H58" s="3330" t="str">
        <f t="shared" si="8"/>
        <v>——</v>
      </c>
      <c r="I58" s="3307">
        <v>0.05</v>
      </c>
      <c r="J58" s="3331">
        <f t="shared" si="9"/>
        <v>0</v>
      </c>
      <c r="K58" s="3331">
        <f t="shared" si="10"/>
        <v>0</v>
      </c>
      <c r="L58" s="3331">
        <v>0</v>
      </c>
      <c r="M58" s="3331">
        <f t="shared" si="11"/>
        <v>0</v>
      </c>
      <c r="N58" s="3331">
        <f t="shared" si="11"/>
        <v>0</v>
      </c>
      <c r="P58" s="1797"/>
      <c r="Q58" s="1797"/>
      <c r="R58" s="1797"/>
      <c r="S58" s="1797"/>
      <c r="T58" s="1797"/>
      <c r="U58" s="1797"/>
      <c r="V58" s="1797"/>
      <c r="W58" s="1797"/>
      <c r="X58" s="1797"/>
      <c r="Y58" s="1797"/>
      <c r="Z58" s="1797"/>
      <c r="AA58" s="1797"/>
      <c r="AB58" s="1797"/>
      <c r="AC58" s="1797"/>
      <c r="AD58" s="1797"/>
    </row>
    <row r="59" spans="1:30" s="3312" customFormat="1" ht="15" hidden="1">
      <c r="A59" s="3313" t="s">
        <v>951</v>
      </c>
      <c r="B59" s="3375">
        <f>1+E61</f>
        <v>1</v>
      </c>
      <c r="C59" s="3340"/>
      <c r="D59" s="3315"/>
      <c r="E59" s="3316"/>
      <c r="F59" s="3308"/>
      <c r="G59" s="3311"/>
      <c r="H59" s="3311"/>
      <c r="I59" s="3311"/>
      <c r="J59" s="3167"/>
      <c r="K59" s="3167"/>
      <c r="L59" s="3167"/>
      <c r="M59" s="3167"/>
      <c r="N59" s="3167"/>
      <c r="P59" s="1797"/>
      <c r="Q59" s="1797"/>
      <c r="R59" s="1797"/>
      <c r="S59" s="1797"/>
      <c r="T59" s="1797"/>
      <c r="U59" s="1797"/>
      <c r="V59" s="1797"/>
      <c r="W59" s="1797"/>
      <c r="X59" s="1797"/>
      <c r="Y59" s="1797"/>
      <c r="Z59" s="1797"/>
      <c r="AA59" s="1797"/>
      <c r="AB59" s="1797"/>
      <c r="AC59" s="1797"/>
      <c r="AD59" s="1797"/>
    </row>
    <row r="60" spans="1:30" s="3312" customFormat="1" ht="24" hidden="1">
      <c r="A60" s="3317" t="s">
        <v>930</v>
      </c>
      <c r="B60" s="3318"/>
      <c r="C60" s="3319" t="s">
        <v>932</v>
      </c>
      <c r="D60" s="3320" t="s">
        <v>933</v>
      </c>
      <c r="E60" s="3321" t="s">
        <v>935</v>
      </c>
      <c r="F60" s="3195" t="s">
        <v>1608</v>
      </c>
      <c r="G60" s="3320" t="s">
        <v>936</v>
      </c>
      <c r="H60" s="3322" t="s">
        <v>1769</v>
      </c>
      <c r="I60" s="3320" t="s">
        <v>934</v>
      </c>
      <c r="J60" s="3323" t="s">
        <v>937</v>
      </c>
      <c r="K60" s="3323" t="s">
        <v>938</v>
      </c>
      <c r="L60" s="3323" t="s">
        <v>939</v>
      </c>
      <c r="M60" s="3323" t="s">
        <v>940</v>
      </c>
      <c r="N60" s="3323" t="s">
        <v>941</v>
      </c>
      <c r="P60" s="1797"/>
      <c r="Q60" s="1797"/>
      <c r="R60" s="1797"/>
      <c r="S60" s="1797"/>
      <c r="T60" s="1797"/>
      <c r="U60" s="1797"/>
      <c r="V60" s="1797"/>
      <c r="W60" s="1797"/>
      <c r="X60" s="1797"/>
      <c r="Y60" s="1797"/>
      <c r="Z60" s="1797"/>
      <c r="AA60" s="1797"/>
      <c r="AB60" s="1797"/>
      <c r="AC60" s="1797"/>
      <c r="AD60" s="1797"/>
    </row>
    <row r="61" spans="1:30" s="3312" customFormat="1" ht="36" hidden="1">
      <c r="A61" s="3317" t="s">
        <v>952</v>
      </c>
      <c r="B61" s="3324" t="str">
        <f>估价对象房地状况!C17</f>
        <v>估价对象位于XX商圈，周边办公楼项目较多，入驻率高，办公集聚程度较好</v>
      </c>
      <c r="C61" s="3325"/>
      <c r="D61" s="3326">
        <f t="shared" ref="D61:D69" si="12">SUMIF($J$60:$N$60,C61,J61:N61)</f>
        <v>0</v>
      </c>
      <c r="E61" s="3327">
        <f>ROUND(SUM(D61:D69),4)</f>
        <v>0</v>
      </c>
      <c r="F61" s="3328" t="str">
        <f>IF(E2="办公",SUMIF(L1:L12,G2,N1:N12),"——")</f>
        <v>——</v>
      </c>
      <c r="G61" s="3329"/>
      <c r="H61" s="3330" t="str">
        <f>IFERROR(ROUNDDOWN($F$61*I61/2,4),"——")</f>
        <v>——</v>
      </c>
      <c r="I61" s="3305">
        <v>0.25</v>
      </c>
      <c r="J61" s="3331">
        <f t="shared" ref="J61:J69" si="13">K61+$G61</f>
        <v>0</v>
      </c>
      <c r="K61" s="3331">
        <f t="shared" ref="K61:K69" si="14">$L61+$G61</f>
        <v>0</v>
      </c>
      <c r="L61" s="3331">
        <v>0</v>
      </c>
      <c r="M61" s="3331">
        <f t="shared" ref="M61:N69" si="15">L61-$G61</f>
        <v>0</v>
      </c>
      <c r="N61" s="3331">
        <f t="shared" si="15"/>
        <v>0</v>
      </c>
      <c r="P61" s="1797"/>
      <c r="Q61" s="1797"/>
      <c r="R61" s="1797"/>
      <c r="S61" s="1797"/>
      <c r="T61" s="1797"/>
      <c r="U61" s="1797"/>
      <c r="V61" s="1797"/>
      <c r="W61" s="1797"/>
      <c r="X61" s="1797"/>
      <c r="Y61" s="1797"/>
      <c r="Z61" s="1797"/>
      <c r="AA61" s="1797"/>
      <c r="AB61" s="1797"/>
      <c r="AC61" s="1797"/>
      <c r="AD61" s="1797"/>
    </row>
    <row r="62" spans="1:30" s="3312" customFormat="1" ht="36" hidden="1">
      <c r="A62" s="3317" t="s">
        <v>943</v>
      </c>
      <c r="B62" s="3318" t="str">
        <f>估价对象房地状况!C18</f>
        <v>估价对象周边道路状况、公共交通通达情况、停车便捷程度，综合评价交通便捷度较好</v>
      </c>
      <c r="C62" s="3325"/>
      <c r="D62" s="3326">
        <f t="shared" si="12"/>
        <v>0</v>
      </c>
      <c r="E62" s="3332"/>
      <c r="F62" s="3328"/>
      <c r="G62" s="3329"/>
      <c r="H62" s="3330" t="str">
        <f t="shared" ref="H62:H69" si="16">IFERROR(ROUNDDOWN($F$61*I62/2,4),"——")</f>
        <v>——</v>
      </c>
      <c r="I62" s="3305">
        <v>0.26</v>
      </c>
      <c r="J62" s="3331">
        <f t="shared" si="13"/>
        <v>0</v>
      </c>
      <c r="K62" s="3331">
        <f t="shared" si="14"/>
        <v>0</v>
      </c>
      <c r="L62" s="3331">
        <v>0</v>
      </c>
      <c r="M62" s="3331">
        <f t="shared" si="15"/>
        <v>0</v>
      </c>
      <c r="N62" s="3331">
        <f t="shared" si="15"/>
        <v>0</v>
      </c>
      <c r="P62" s="1797"/>
      <c r="Q62" s="1797"/>
      <c r="R62" s="1797"/>
      <c r="S62" s="1797"/>
      <c r="T62" s="1797"/>
      <c r="U62" s="1797"/>
      <c r="V62" s="1797"/>
      <c r="W62" s="1797"/>
      <c r="X62" s="1797"/>
      <c r="Y62" s="1797"/>
      <c r="Z62" s="1797"/>
      <c r="AA62" s="1797"/>
      <c r="AB62" s="1797"/>
      <c r="AC62" s="1797"/>
      <c r="AD62" s="1797"/>
    </row>
    <row r="63" spans="1:30" s="3312" customFormat="1" ht="36" hidden="1">
      <c r="A63" s="3300" t="s">
        <v>3213</v>
      </c>
      <c r="B63" s="3318">
        <f>估价对象房地状况!C19</f>
        <v>0</v>
      </c>
      <c r="C63" s="3325"/>
      <c r="D63" s="3326">
        <f t="shared" si="12"/>
        <v>0</v>
      </c>
      <c r="E63" s="3332"/>
      <c r="F63" s="3328"/>
      <c r="G63" s="3329"/>
      <c r="H63" s="3330" t="str">
        <f t="shared" si="16"/>
        <v>——</v>
      </c>
      <c r="I63" s="3305">
        <v>0.11</v>
      </c>
      <c r="J63" s="3331">
        <f t="shared" si="13"/>
        <v>0</v>
      </c>
      <c r="K63" s="3331">
        <f t="shared" si="14"/>
        <v>0</v>
      </c>
      <c r="L63" s="3331">
        <v>0</v>
      </c>
      <c r="M63" s="3331">
        <f t="shared" si="15"/>
        <v>0</v>
      </c>
      <c r="N63" s="3331">
        <f t="shared" si="15"/>
        <v>0</v>
      </c>
      <c r="P63" s="1797"/>
      <c r="Q63" s="1797"/>
      <c r="R63" s="1797"/>
      <c r="S63" s="1797"/>
      <c r="T63" s="1797"/>
      <c r="U63" s="1797"/>
      <c r="V63" s="1797"/>
      <c r="W63" s="1797"/>
      <c r="X63" s="1797"/>
      <c r="Y63" s="1797"/>
      <c r="Z63" s="1797"/>
      <c r="AA63" s="1797"/>
      <c r="AB63" s="1797"/>
      <c r="AC63" s="1797"/>
      <c r="AD63" s="1797"/>
    </row>
    <row r="64" spans="1:30" s="3312" customFormat="1" ht="36" hidden="1">
      <c r="A64" s="3317" t="s">
        <v>945</v>
      </c>
      <c r="B64" s="3333" t="s">
        <v>2195</v>
      </c>
      <c r="C64" s="3325"/>
      <c r="D64" s="3326">
        <f t="shared" si="12"/>
        <v>0</v>
      </c>
      <c r="E64" s="3332"/>
      <c r="F64" s="3328"/>
      <c r="G64" s="3329"/>
      <c r="H64" s="3330" t="str">
        <f t="shared" si="16"/>
        <v>——</v>
      </c>
      <c r="I64" s="3305">
        <v>0.05</v>
      </c>
      <c r="J64" s="3331">
        <f t="shared" si="13"/>
        <v>0</v>
      </c>
      <c r="K64" s="3331">
        <f t="shared" si="14"/>
        <v>0</v>
      </c>
      <c r="L64" s="3331">
        <v>0</v>
      </c>
      <c r="M64" s="3331">
        <f t="shared" si="15"/>
        <v>0</v>
      </c>
      <c r="N64" s="3331">
        <f t="shared" si="15"/>
        <v>0</v>
      </c>
      <c r="P64" s="1797"/>
      <c r="Q64" s="1797"/>
      <c r="R64" s="1797"/>
      <c r="S64" s="1797"/>
      <c r="T64" s="1797"/>
      <c r="U64" s="1797"/>
      <c r="V64" s="1797"/>
      <c r="W64" s="1797"/>
      <c r="X64" s="1797"/>
      <c r="Y64" s="1797"/>
      <c r="Z64" s="1797"/>
      <c r="AA64" s="1797"/>
      <c r="AB64" s="1797"/>
      <c r="AC64" s="1797"/>
      <c r="AD64" s="1797"/>
    </row>
    <row r="65" spans="1:36" s="3312" customFormat="1" ht="24" hidden="1">
      <c r="A65" s="3317" t="s">
        <v>946</v>
      </c>
      <c r="B65" s="3318">
        <f>估价对象房地状况!C24</f>
        <v>0</v>
      </c>
      <c r="C65" s="3325"/>
      <c r="D65" s="3326">
        <f t="shared" si="12"/>
        <v>0</v>
      </c>
      <c r="E65" s="3332"/>
      <c r="F65" s="3328"/>
      <c r="G65" s="3329"/>
      <c r="H65" s="3330" t="str">
        <f t="shared" si="16"/>
        <v>——</v>
      </c>
      <c r="I65" s="3305">
        <v>0.05</v>
      </c>
      <c r="J65" s="3331">
        <f t="shared" si="13"/>
        <v>0</v>
      </c>
      <c r="K65" s="3331">
        <f t="shared" si="14"/>
        <v>0</v>
      </c>
      <c r="L65" s="3331">
        <v>0</v>
      </c>
      <c r="M65" s="3331">
        <f t="shared" si="15"/>
        <v>0</v>
      </c>
      <c r="N65" s="3331">
        <f t="shared" si="15"/>
        <v>0</v>
      </c>
      <c r="P65" s="1797"/>
      <c r="Q65" s="1797"/>
      <c r="R65" s="1797"/>
      <c r="S65" s="1797"/>
      <c r="T65" s="1797"/>
      <c r="U65" s="1797"/>
      <c r="V65" s="1797"/>
      <c r="W65" s="1797"/>
      <c r="X65" s="1797"/>
      <c r="Y65" s="1797"/>
      <c r="Z65" s="1797"/>
      <c r="AA65" s="1797"/>
      <c r="AB65" s="1797"/>
      <c r="AC65" s="1797"/>
      <c r="AD65" s="1797"/>
    </row>
    <row r="66" spans="1:36" s="3312" customFormat="1" ht="24" hidden="1">
      <c r="A66" s="3317" t="s">
        <v>947</v>
      </c>
      <c r="B66" s="3334" t="s">
        <v>2193</v>
      </c>
      <c r="C66" s="3325"/>
      <c r="D66" s="3326">
        <f t="shared" si="12"/>
        <v>0</v>
      </c>
      <c r="E66" s="3332"/>
      <c r="F66" s="3328"/>
      <c r="G66" s="3329"/>
      <c r="H66" s="3330" t="str">
        <f t="shared" si="16"/>
        <v>——</v>
      </c>
      <c r="I66" s="3305">
        <v>0.06</v>
      </c>
      <c r="J66" s="3331">
        <f t="shared" si="13"/>
        <v>0</v>
      </c>
      <c r="K66" s="3331">
        <f t="shared" si="14"/>
        <v>0</v>
      </c>
      <c r="L66" s="3331">
        <v>0</v>
      </c>
      <c r="M66" s="3331">
        <f t="shared" si="15"/>
        <v>0</v>
      </c>
      <c r="N66" s="3331">
        <f t="shared" si="15"/>
        <v>0</v>
      </c>
      <c r="P66" s="1797"/>
      <c r="Q66" s="1797"/>
      <c r="R66" s="1797"/>
      <c r="S66" s="1797"/>
      <c r="T66" s="1797"/>
      <c r="U66" s="1797"/>
      <c r="V66" s="1797"/>
      <c r="W66" s="1797"/>
      <c r="X66" s="1797"/>
      <c r="Y66" s="1797"/>
      <c r="Z66" s="1797"/>
      <c r="AA66" s="1797"/>
      <c r="AB66" s="1797"/>
      <c r="AC66" s="1797"/>
      <c r="AD66" s="1797"/>
    </row>
    <row r="67" spans="1:36" s="3312" customFormat="1" ht="24" hidden="1">
      <c r="A67" s="3317" t="s">
        <v>948</v>
      </c>
      <c r="B67" s="3336" t="str">
        <f>估价对象房地状况!C21</f>
        <v>估价对象所在区域公共配套设施齐备情况</v>
      </c>
      <c r="C67" s="3325"/>
      <c r="D67" s="3326">
        <f t="shared" si="12"/>
        <v>0</v>
      </c>
      <c r="E67" s="3332"/>
      <c r="F67" s="3328"/>
      <c r="G67" s="3329"/>
      <c r="H67" s="3330" t="str">
        <f t="shared" si="16"/>
        <v>——</v>
      </c>
      <c r="I67" s="3305">
        <v>0.06</v>
      </c>
      <c r="J67" s="3331">
        <f t="shared" si="13"/>
        <v>0</v>
      </c>
      <c r="K67" s="3331">
        <f t="shared" si="14"/>
        <v>0</v>
      </c>
      <c r="L67" s="3331">
        <v>0</v>
      </c>
      <c r="M67" s="3331">
        <f t="shared" si="15"/>
        <v>0</v>
      </c>
      <c r="N67" s="3331">
        <f t="shared" si="15"/>
        <v>0</v>
      </c>
      <c r="P67" s="1797"/>
      <c r="Q67" s="1797"/>
      <c r="R67" s="1797"/>
      <c r="S67" s="1797"/>
      <c r="T67" s="1797"/>
      <c r="U67" s="1797"/>
      <c r="V67" s="1797"/>
      <c r="W67" s="1797"/>
      <c r="X67" s="1797"/>
      <c r="Y67" s="1797"/>
      <c r="Z67" s="1797"/>
      <c r="AA67" s="1797"/>
      <c r="AB67" s="1797"/>
      <c r="AC67" s="1797"/>
      <c r="AD67" s="1797"/>
    </row>
    <row r="68" spans="1:36" s="3312" customFormat="1" ht="24" hidden="1">
      <c r="A68" s="3317" t="s">
        <v>949</v>
      </c>
      <c r="B68" s="3336" t="str">
        <f>估价对象房地状况!C22</f>
        <v>估价对象所在区域基础设施水平</v>
      </c>
      <c r="C68" s="3325"/>
      <c r="D68" s="3326">
        <f t="shared" si="12"/>
        <v>0</v>
      </c>
      <c r="E68" s="3332"/>
      <c r="F68" s="3328"/>
      <c r="G68" s="3329"/>
      <c r="H68" s="3330" t="str">
        <f t="shared" si="16"/>
        <v>——</v>
      </c>
      <c r="I68" s="3305">
        <v>0.09</v>
      </c>
      <c r="J68" s="3331">
        <f t="shared" si="13"/>
        <v>0</v>
      </c>
      <c r="K68" s="3331">
        <f t="shared" si="14"/>
        <v>0</v>
      </c>
      <c r="L68" s="3331">
        <v>0</v>
      </c>
      <c r="M68" s="3331">
        <f t="shared" si="15"/>
        <v>0</v>
      </c>
      <c r="N68" s="3331">
        <f t="shared" si="15"/>
        <v>0</v>
      </c>
      <c r="P68" s="1797"/>
      <c r="Q68" s="1797"/>
      <c r="R68" s="1797"/>
      <c r="S68" s="1797"/>
      <c r="T68" s="1797"/>
      <c r="U68" s="1797"/>
      <c r="V68" s="1797"/>
      <c r="W68" s="1797"/>
      <c r="X68" s="1797"/>
      <c r="Y68" s="1797"/>
      <c r="Z68" s="1797"/>
      <c r="AA68" s="1797"/>
      <c r="AB68" s="1797"/>
      <c r="AC68" s="1797"/>
      <c r="AD68" s="1797"/>
    </row>
    <row r="69" spans="1:36" s="3312" customFormat="1" ht="24.75" hidden="1" thickBot="1">
      <c r="A69" s="3337" t="s">
        <v>950</v>
      </c>
      <c r="B69" s="3341" t="str">
        <f>估价对象房地状况!C20</f>
        <v>区域自然环境：；人文环境；综合评价环境状况一般</v>
      </c>
      <c r="C69" s="3325"/>
      <c r="D69" s="3326">
        <f t="shared" si="12"/>
        <v>0</v>
      </c>
      <c r="E69" s="3339"/>
      <c r="F69" s="3328"/>
      <c r="G69" s="3329"/>
      <c r="H69" s="3330" t="str">
        <f t="shared" si="16"/>
        <v>——</v>
      </c>
      <c r="I69" s="3307">
        <v>7.0000000000000007E-2</v>
      </c>
      <c r="J69" s="3331">
        <f t="shared" si="13"/>
        <v>0</v>
      </c>
      <c r="K69" s="3331">
        <f t="shared" si="14"/>
        <v>0</v>
      </c>
      <c r="L69" s="3331">
        <v>0</v>
      </c>
      <c r="M69" s="3331">
        <f t="shared" si="15"/>
        <v>0</v>
      </c>
      <c r="N69" s="3331">
        <f t="shared" si="15"/>
        <v>0</v>
      </c>
      <c r="P69" s="1797"/>
      <c r="Q69" s="1797"/>
      <c r="R69" s="1797"/>
      <c r="S69" s="1797"/>
      <c r="T69" s="1797"/>
      <c r="U69" s="1797"/>
      <c r="V69" s="1797"/>
      <c r="W69" s="1797"/>
      <c r="X69" s="1797"/>
      <c r="Y69" s="1797"/>
      <c r="Z69" s="1797"/>
      <c r="AA69" s="1797"/>
      <c r="AB69" s="1797"/>
      <c r="AC69" s="1797"/>
      <c r="AD69" s="1797"/>
    </row>
    <row r="70" spans="1:36" s="3312" customFormat="1" ht="15" hidden="1">
      <c r="A70" s="3313" t="s">
        <v>953</v>
      </c>
      <c r="B70" s="3375">
        <f>1+E72</f>
        <v>1</v>
      </c>
      <c r="C70" s="3340"/>
      <c r="D70" s="3315"/>
      <c r="E70" s="3316"/>
      <c r="F70" s="3308"/>
      <c r="G70" s="3311"/>
      <c r="H70" s="3311"/>
      <c r="I70" s="3311"/>
      <c r="J70" s="3167"/>
      <c r="K70" s="3167"/>
      <c r="L70" s="3167"/>
      <c r="M70" s="3167"/>
      <c r="N70" s="3167"/>
      <c r="P70" s="1797"/>
      <c r="Q70" s="1797"/>
      <c r="R70" s="1797"/>
      <c r="S70" s="1797"/>
      <c r="T70" s="1797"/>
      <c r="U70" s="1797"/>
      <c r="V70" s="1797"/>
      <c r="W70" s="1797"/>
      <c r="X70" s="1797"/>
      <c r="Y70" s="1797"/>
      <c r="Z70" s="1797"/>
      <c r="AA70" s="1797"/>
      <c r="AB70" s="1797"/>
      <c r="AC70" s="1797"/>
      <c r="AD70" s="1797"/>
    </row>
    <row r="71" spans="1:36" s="3312" customFormat="1" ht="24" hidden="1">
      <c r="A71" s="3317" t="s">
        <v>930</v>
      </c>
      <c r="B71" s="3318"/>
      <c r="C71" s="3319" t="s">
        <v>932</v>
      </c>
      <c r="D71" s="3320" t="s">
        <v>933</v>
      </c>
      <c r="E71" s="3321" t="s">
        <v>935</v>
      </c>
      <c r="F71" s="3195" t="s">
        <v>1609</v>
      </c>
      <c r="G71" s="3320" t="s">
        <v>936</v>
      </c>
      <c r="H71" s="3322" t="s">
        <v>1769</v>
      </c>
      <c r="I71" s="3320" t="s">
        <v>934</v>
      </c>
      <c r="J71" s="3323" t="s">
        <v>937</v>
      </c>
      <c r="K71" s="3323" t="s">
        <v>938</v>
      </c>
      <c r="L71" s="3323" t="s">
        <v>939</v>
      </c>
      <c r="M71" s="3323" t="s">
        <v>940</v>
      </c>
      <c r="N71" s="3323" t="s">
        <v>941</v>
      </c>
      <c r="P71" s="1797"/>
      <c r="Q71" s="1797"/>
      <c r="R71" s="1797"/>
      <c r="S71" s="1797"/>
      <c r="T71" s="1797"/>
      <c r="U71" s="1797"/>
      <c r="V71" s="1797"/>
      <c r="W71" s="1797"/>
      <c r="X71" s="1797"/>
      <c r="Y71" s="1797"/>
      <c r="Z71" s="1797"/>
      <c r="AA71" s="1797"/>
      <c r="AB71" s="1797"/>
      <c r="AC71" s="1797"/>
      <c r="AD71" s="1797"/>
    </row>
    <row r="72" spans="1:36" s="3312" customFormat="1" ht="48" hidden="1">
      <c r="A72" s="3317" t="s">
        <v>954</v>
      </c>
      <c r="B72" s="3318" t="str">
        <f>估价对象房地状况!C15</f>
        <v>估价对象周边居住用地比例、居住小区规模和社区发展完善程度，综合评价居住社区成熟度一般</v>
      </c>
      <c r="C72" s="3342"/>
      <c r="D72" s="3326">
        <f t="shared" ref="D72:D80" si="17">SUMIF($J$71:$N$71,C72,J72:N72)</f>
        <v>0</v>
      </c>
      <c r="E72" s="3327">
        <f>ROUND(SUM(D72:D80),4)</f>
        <v>0</v>
      </c>
      <c r="F72" s="3328" t="str">
        <f>IF(E2="住宅",SUMIF(L1:L12,G2,N1:N12),"——")</f>
        <v>——</v>
      </c>
      <c r="G72" s="3343"/>
      <c r="H72" s="3344" t="str">
        <f t="shared" ref="H72:H80" si="18">IFERROR(ROUNDDOWN($F$72*I72/2,4),"——")</f>
        <v>——</v>
      </c>
      <c r="I72" s="3305">
        <v>0.2</v>
      </c>
      <c r="J72" s="3331">
        <f t="shared" ref="J72:J80" si="19">K72+$G72</f>
        <v>0</v>
      </c>
      <c r="K72" s="3331">
        <f t="shared" ref="K72:K80" si="20">$L72+$G72</f>
        <v>0</v>
      </c>
      <c r="L72" s="3331">
        <v>0</v>
      </c>
      <c r="M72" s="3331">
        <f t="shared" ref="M72:N80" si="21">L72-$G72</f>
        <v>0</v>
      </c>
      <c r="N72" s="3331">
        <f t="shared" si="21"/>
        <v>0</v>
      </c>
      <c r="P72" s="1797"/>
      <c r="Q72" s="1797"/>
      <c r="R72" s="1797"/>
      <c r="S72" s="1797"/>
      <c r="T72" s="1797"/>
      <c r="U72" s="1797"/>
      <c r="V72" s="1797"/>
      <c r="W72" s="1797"/>
      <c r="X72" s="1797"/>
      <c r="Y72" s="1797"/>
      <c r="Z72" s="1797"/>
      <c r="AA72" s="1797"/>
      <c r="AB72" s="1797"/>
      <c r="AC72" s="1797"/>
      <c r="AD72" s="1797"/>
    </row>
    <row r="73" spans="1:36" s="3312" customFormat="1" ht="36" hidden="1">
      <c r="A73" s="3317" t="s">
        <v>955</v>
      </c>
      <c r="B73" s="3318" t="str">
        <f>估价对象房地状况!C18</f>
        <v>估价对象周边道路状况、公共交通通达情况、停车便捷程度，综合评价交通便捷度较好</v>
      </c>
      <c r="C73" s="3342"/>
      <c r="D73" s="3326">
        <f t="shared" si="17"/>
        <v>0</v>
      </c>
      <c r="E73" s="3332"/>
      <c r="F73" s="3328"/>
      <c r="G73" s="3343"/>
      <c r="H73" s="3344" t="str">
        <f t="shared" si="18"/>
        <v>——</v>
      </c>
      <c r="I73" s="3305">
        <v>0.26</v>
      </c>
      <c r="J73" s="3331">
        <f t="shared" si="19"/>
        <v>0</v>
      </c>
      <c r="K73" s="3331">
        <f t="shared" si="20"/>
        <v>0</v>
      </c>
      <c r="L73" s="3331">
        <v>0</v>
      </c>
      <c r="M73" s="3331">
        <f t="shared" si="21"/>
        <v>0</v>
      </c>
      <c r="N73" s="3331">
        <f t="shared" si="21"/>
        <v>0</v>
      </c>
      <c r="P73" s="1797"/>
      <c r="Q73" s="1797"/>
      <c r="R73" s="1797"/>
      <c r="S73" s="1797"/>
      <c r="T73" s="1797"/>
      <c r="U73" s="1797"/>
      <c r="V73" s="1797"/>
      <c r="W73" s="1797"/>
      <c r="X73" s="1797"/>
      <c r="Y73" s="1797"/>
      <c r="Z73" s="1797"/>
      <c r="AA73" s="1797"/>
      <c r="AB73" s="1797"/>
      <c r="AC73" s="1797"/>
      <c r="AD73" s="1797"/>
    </row>
    <row r="74" spans="1:36" s="3312" customFormat="1" ht="36" hidden="1">
      <c r="A74" s="3300" t="s">
        <v>3213</v>
      </c>
      <c r="B74" s="3318">
        <f>估价对象房地状况!C19</f>
        <v>0</v>
      </c>
      <c r="C74" s="3342"/>
      <c r="D74" s="3326">
        <f t="shared" si="17"/>
        <v>0</v>
      </c>
      <c r="E74" s="3332"/>
      <c r="F74" s="3328"/>
      <c r="G74" s="3343"/>
      <c r="H74" s="3344" t="str">
        <f t="shared" si="18"/>
        <v>——</v>
      </c>
      <c r="I74" s="3305">
        <v>0.1</v>
      </c>
      <c r="J74" s="3331">
        <f t="shared" si="19"/>
        <v>0</v>
      </c>
      <c r="K74" s="3331">
        <f t="shared" si="20"/>
        <v>0</v>
      </c>
      <c r="L74" s="3331">
        <v>0</v>
      </c>
      <c r="M74" s="3331">
        <f t="shared" si="21"/>
        <v>0</v>
      </c>
      <c r="N74" s="3331">
        <f t="shared" si="21"/>
        <v>0</v>
      </c>
      <c r="P74" s="1797"/>
      <c r="Q74" s="1797"/>
      <c r="R74" s="1797"/>
      <c r="S74" s="1797"/>
      <c r="T74" s="1797"/>
      <c r="U74" s="1797"/>
      <c r="V74" s="1797"/>
      <c r="W74" s="1797"/>
      <c r="X74" s="1797"/>
      <c r="Y74" s="1797"/>
      <c r="Z74" s="1797"/>
      <c r="AA74" s="1797"/>
      <c r="AB74" s="1797"/>
      <c r="AC74" s="1797"/>
      <c r="AD74" s="1797"/>
    </row>
    <row r="75" spans="1:36" s="1273" customFormat="1" ht="14.25" hidden="1">
      <c r="A75" s="3317" t="s">
        <v>956</v>
      </c>
      <c r="B75" s="3318">
        <f>估价对象房地状况!C24</f>
        <v>0</v>
      </c>
      <c r="C75" s="3342"/>
      <c r="D75" s="3326">
        <f t="shared" si="17"/>
        <v>0</v>
      </c>
      <c r="E75" s="3332"/>
      <c r="F75" s="3328"/>
      <c r="G75" s="3343"/>
      <c r="H75" s="3344" t="str">
        <f t="shared" si="18"/>
        <v>——</v>
      </c>
      <c r="I75" s="3305">
        <v>0.05</v>
      </c>
      <c r="J75" s="3331">
        <f t="shared" si="19"/>
        <v>0</v>
      </c>
      <c r="K75" s="3331">
        <f t="shared" si="20"/>
        <v>0</v>
      </c>
      <c r="L75" s="3331">
        <v>0</v>
      </c>
      <c r="M75" s="3331">
        <f t="shared" si="21"/>
        <v>0</v>
      </c>
      <c r="N75" s="3331">
        <f t="shared" si="21"/>
        <v>0</v>
      </c>
      <c r="O75" s="3312"/>
      <c r="P75" s="1797"/>
      <c r="Q75" s="1797"/>
      <c r="R75" s="3345"/>
      <c r="S75" s="3345"/>
      <c r="T75" s="3345"/>
      <c r="U75" s="3345"/>
      <c r="V75" s="3345"/>
      <c r="W75" s="3345"/>
      <c r="X75" s="3345"/>
      <c r="Y75" s="3345"/>
      <c r="Z75" s="3345"/>
      <c r="AA75" s="3345"/>
      <c r="AB75" s="3345"/>
      <c r="AC75" s="3345"/>
      <c r="AD75" s="3345"/>
      <c r="AE75" s="3312"/>
      <c r="AF75" s="3312"/>
      <c r="AG75" s="3312"/>
      <c r="AH75" s="3312"/>
      <c r="AI75" s="3312"/>
      <c r="AJ75" s="3312"/>
    </row>
    <row r="76" spans="1:36" s="1273" customFormat="1" ht="24" hidden="1">
      <c r="A76" s="3317" t="s">
        <v>948</v>
      </c>
      <c r="B76" s="3336" t="str">
        <f>估价对象房地状况!C21</f>
        <v>估价对象所在区域公共配套设施齐备情况</v>
      </c>
      <c r="C76" s="3342"/>
      <c r="D76" s="3326">
        <f t="shared" si="17"/>
        <v>0</v>
      </c>
      <c r="E76" s="3332"/>
      <c r="F76" s="3328"/>
      <c r="G76" s="3343"/>
      <c r="H76" s="3344" t="str">
        <f t="shared" si="18"/>
        <v>——</v>
      </c>
      <c r="I76" s="3305">
        <v>0.08</v>
      </c>
      <c r="J76" s="3331">
        <f t="shared" si="19"/>
        <v>0</v>
      </c>
      <c r="K76" s="3331">
        <f t="shared" si="20"/>
        <v>0</v>
      </c>
      <c r="L76" s="3331">
        <v>0</v>
      </c>
      <c r="M76" s="3331">
        <f t="shared" si="21"/>
        <v>0</v>
      </c>
      <c r="N76" s="3331">
        <f t="shared" si="21"/>
        <v>0</v>
      </c>
      <c r="O76" s="3312"/>
      <c r="P76" s="1797"/>
      <c r="Q76" s="1797"/>
      <c r="AE76" s="3312"/>
      <c r="AF76" s="3312"/>
      <c r="AG76" s="3312"/>
      <c r="AH76" s="3312"/>
      <c r="AI76" s="3312"/>
      <c r="AJ76" s="3312"/>
    </row>
    <row r="77" spans="1:36" s="1273" customFormat="1" ht="24" hidden="1">
      <c r="A77" s="3317" t="s">
        <v>949</v>
      </c>
      <c r="B77" s="3336" t="str">
        <f>估价对象房地状况!C22</f>
        <v>估价对象所在区域基础设施水平</v>
      </c>
      <c r="C77" s="3342"/>
      <c r="D77" s="3326">
        <f t="shared" si="17"/>
        <v>0</v>
      </c>
      <c r="E77" s="3332"/>
      <c r="F77" s="3328"/>
      <c r="G77" s="3343"/>
      <c r="H77" s="3344" t="str">
        <f t="shared" si="18"/>
        <v>——</v>
      </c>
      <c r="I77" s="3305">
        <v>0.09</v>
      </c>
      <c r="J77" s="3331">
        <f t="shared" si="19"/>
        <v>0</v>
      </c>
      <c r="K77" s="3331">
        <f t="shared" si="20"/>
        <v>0</v>
      </c>
      <c r="L77" s="3331">
        <v>0</v>
      </c>
      <c r="M77" s="3331">
        <f t="shared" si="21"/>
        <v>0</v>
      </c>
      <c r="N77" s="3331">
        <f t="shared" si="21"/>
        <v>0</v>
      </c>
      <c r="O77" s="3312"/>
      <c r="P77" s="1797"/>
      <c r="Q77" s="1797"/>
      <c r="AE77" s="3312"/>
      <c r="AF77" s="3312"/>
      <c r="AG77" s="3312"/>
      <c r="AH77" s="3312"/>
      <c r="AI77" s="3312"/>
      <c r="AJ77" s="3312"/>
    </row>
    <row r="78" spans="1:36" s="1273" customFormat="1" ht="24" hidden="1">
      <c r="A78" s="3317" t="s">
        <v>947</v>
      </c>
      <c r="B78" s="3334" t="s">
        <v>2193</v>
      </c>
      <c r="C78" s="3342"/>
      <c r="D78" s="3326">
        <f t="shared" si="17"/>
        <v>0</v>
      </c>
      <c r="E78" s="3332"/>
      <c r="F78" s="3328"/>
      <c r="G78" s="3343"/>
      <c r="H78" s="3344" t="str">
        <f t="shared" si="18"/>
        <v>——</v>
      </c>
      <c r="I78" s="3305">
        <v>0.05</v>
      </c>
      <c r="J78" s="3331">
        <f t="shared" si="19"/>
        <v>0</v>
      </c>
      <c r="K78" s="3331">
        <f t="shared" si="20"/>
        <v>0</v>
      </c>
      <c r="L78" s="3331">
        <v>0</v>
      </c>
      <c r="M78" s="3331">
        <f t="shared" si="21"/>
        <v>0</v>
      </c>
      <c r="N78" s="3331">
        <f t="shared" si="21"/>
        <v>0</v>
      </c>
      <c r="O78" s="3312"/>
      <c r="P78" s="1797"/>
      <c r="Q78" s="1797"/>
      <c r="AE78" s="3312"/>
      <c r="AF78" s="3312"/>
      <c r="AG78" s="3312"/>
      <c r="AH78" s="3312"/>
      <c r="AI78" s="3312"/>
      <c r="AJ78" s="3312"/>
    </row>
    <row r="79" spans="1:36" s="1273" customFormat="1" ht="24" hidden="1">
      <c r="A79" s="3317" t="s">
        <v>950</v>
      </c>
      <c r="B79" s="3324" t="str">
        <f>估价对象房地状况!C20</f>
        <v>区域自然环境：；人文环境；综合评价环境状况一般</v>
      </c>
      <c r="C79" s="3342"/>
      <c r="D79" s="3326">
        <f t="shared" si="17"/>
        <v>0</v>
      </c>
      <c r="E79" s="3332"/>
      <c r="F79" s="3328"/>
      <c r="G79" s="3343"/>
      <c r="H79" s="3344" t="str">
        <f t="shared" si="18"/>
        <v>——</v>
      </c>
      <c r="I79" s="3305">
        <v>0.12</v>
      </c>
      <c r="J79" s="3331">
        <f t="shared" si="19"/>
        <v>0</v>
      </c>
      <c r="K79" s="3331">
        <f t="shared" si="20"/>
        <v>0</v>
      </c>
      <c r="L79" s="3331">
        <v>0</v>
      </c>
      <c r="M79" s="3331">
        <f t="shared" si="21"/>
        <v>0</v>
      </c>
      <c r="N79" s="3331">
        <f t="shared" si="21"/>
        <v>0</v>
      </c>
      <c r="P79" s="3345"/>
      <c r="Q79" s="3345"/>
      <c r="AE79" s="3312"/>
      <c r="AF79" s="3312"/>
      <c r="AG79" s="3312"/>
      <c r="AH79" s="3312"/>
      <c r="AI79" s="3312"/>
      <c r="AJ79" s="3312"/>
    </row>
    <row r="80" spans="1:36" s="1273" customFormat="1" ht="24.75" hidden="1" thickBot="1">
      <c r="A80" s="3337" t="s">
        <v>957</v>
      </c>
      <c r="B80" s="3346"/>
      <c r="C80" s="3342"/>
      <c r="D80" s="3326">
        <f t="shared" si="17"/>
        <v>0</v>
      </c>
      <c r="E80" s="3339"/>
      <c r="F80" s="3328"/>
      <c r="G80" s="3343"/>
      <c r="H80" s="3344" t="str">
        <f t="shared" si="18"/>
        <v>——</v>
      </c>
      <c r="I80" s="3307">
        <v>0.05</v>
      </c>
      <c r="J80" s="3331">
        <f t="shared" si="19"/>
        <v>0</v>
      </c>
      <c r="K80" s="3331">
        <f t="shared" si="20"/>
        <v>0</v>
      </c>
      <c r="L80" s="3331">
        <v>0</v>
      </c>
      <c r="M80" s="3331">
        <f t="shared" si="21"/>
        <v>0</v>
      </c>
      <c r="N80" s="3331">
        <f t="shared" si="21"/>
        <v>0</v>
      </c>
      <c r="AE80" s="3312"/>
      <c r="AF80" s="3312"/>
      <c r="AG80" s="3312"/>
      <c r="AH80" s="3312"/>
      <c r="AI80" s="3312"/>
      <c r="AJ80" s="3312"/>
    </row>
    <row r="81" spans="1:36" s="1273" customFormat="1" ht="15">
      <c r="A81" s="3313" t="s">
        <v>958</v>
      </c>
      <c r="B81" s="3375">
        <f>1+E83</f>
        <v>1.0349999999999999</v>
      </c>
      <c r="C81" s="3340"/>
      <c r="D81" s="3315"/>
      <c r="E81" s="3316"/>
      <c r="F81" s="3308"/>
      <c r="G81" s="3311"/>
      <c r="H81" s="3311"/>
      <c r="I81" s="3311"/>
      <c r="J81" s="3167"/>
      <c r="K81" s="3167"/>
      <c r="L81" s="3167"/>
      <c r="M81" s="3167"/>
      <c r="N81" s="3167"/>
      <c r="AE81" s="3312"/>
      <c r="AF81" s="3312"/>
      <c r="AG81" s="3312"/>
      <c r="AH81" s="3312"/>
      <c r="AI81" s="3312"/>
      <c r="AJ81" s="3312"/>
    </row>
    <row r="82" spans="1:36" s="1273" customFormat="1" ht="24">
      <c r="A82" s="3317" t="s">
        <v>930</v>
      </c>
      <c r="B82" s="3318"/>
      <c r="C82" s="3319" t="s">
        <v>932</v>
      </c>
      <c r="D82" s="3320" t="s">
        <v>933</v>
      </c>
      <c r="E82" s="3321" t="s">
        <v>935</v>
      </c>
      <c r="F82" s="3195" t="s">
        <v>1610</v>
      </c>
      <c r="G82" s="3320" t="s">
        <v>936</v>
      </c>
      <c r="H82" s="3322" t="s">
        <v>1769</v>
      </c>
      <c r="I82" s="3320" t="s">
        <v>934</v>
      </c>
      <c r="J82" s="3323" t="s">
        <v>937</v>
      </c>
      <c r="K82" s="3323" t="s">
        <v>938</v>
      </c>
      <c r="L82" s="3323" t="s">
        <v>939</v>
      </c>
      <c r="M82" s="3323" t="s">
        <v>940</v>
      </c>
      <c r="N82" s="3323" t="s">
        <v>941</v>
      </c>
      <c r="AE82" s="3312"/>
      <c r="AF82" s="3312"/>
      <c r="AG82" s="3312"/>
      <c r="AH82" s="3312"/>
      <c r="AI82" s="3312"/>
      <c r="AJ82" s="3312"/>
    </row>
    <row r="83" spans="1:36" s="1273" customFormat="1" ht="24">
      <c r="A83" s="3317" t="s">
        <v>959</v>
      </c>
      <c r="B83" s="3318" t="str">
        <f>估价对象房地状况!G15</f>
        <v>估价对象位于XX开发区，园区建设成熟度XX，产业集聚程度XX</v>
      </c>
      <c r="C83" s="3325" t="s">
        <v>3268</v>
      </c>
      <c r="D83" s="3326">
        <f t="shared" ref="D83:D90" si="22">SUMIF($J$82:$N$82,C83,J83:N83)</f>
        <v>0</v>
      </c>
      <c r="E83" s="3327">
        <f>ROUND(SUM(D83:D90),4)</f>
        <v>3.5000000000000003E-2</v>
      </c>
      <c r="F83" s="3328">
        <f>IF(E2="工业",SUMIF(L1:L12,G2,N1:N12),"——")</f>
        <v>0.1</v>
      </c>
      <c r="G83" s="3329">
        <f>H83</f>
        <v>1.2999999999999999E-2</v>
      </c>
      <c r="H83" s="3330">
        <f t="shared" ref="H83:H90" si="23">IFERROR(ROUNDDOWN($F$83*I83/2,4),"——")</f>
        <v>1.2999999999999999E-2</v>
      </c>
      <c r="I83" s="3305">
        <v>0.26</v>
      </c>
      <c r="J83" s="3331">
        <f t="shared" ref="J83:J90" si="24">K83+$G83</f>
        <v>2.5999999999999999E-2</v>
      </c>
      <c r="K83" s="3331">
        <f t="shared" ref="K83:K90" si="25">$L83+$G83</f>
        <v>1.2999999999999999E-2</v>
      </c>
      <c r="L83" s="3331">
        <v>0</v>
      </c>
      <c r="M83" s="3331">
        <f t="shared" ref="M83:N90" si="26">L83-$G83</f>
        <v>-1.2999999999999999E-2</v>
      </c>
      <c r="N83" s="3331">
        <f t="shared" si="26"/>
        <v>-2.5999999999999999E-2</v>
      </c>
      <c r="AE83" s="3312"/>
      <c r="AF83" s="3312"/>
      <c r="AG83" s="3312"/>
      <c r="AH83" s="3312"/>
      <c r="AI83" s="3312"/>
      <c r="AJ83" s="3312"/>
    </row>
    <row r="84" spans="1:36" s="1273" customFormat="1" ht="36">
      <c r="A84" s="3317" t="s">
        <v>955</v>
      </c>
      <c r="B84" s="3318" t="str">
        <f>估价对象房地状况!G16</f>
        <v>估价对象周边道路状况、公共交通通达情况、停车便捷程度，综合评价交通便捷度较好</v>
      </c>
      <c r="C84" s="3325" t="s">
        <v>3267</v>
      </c>
      <c r="D84" s="3326">
        <f t="shared" si="22"/>
        <v>1.4999999999999999E-2</v>
      </c>
      <c r="E84" s="3332"/>
      <c r="F84" s="3328"/>
      <c r="G84" s="3329">
        <f t="shared" ref="G84:G90" si="27">H84</f>
        <v>1.4999999999999999E-2</v>
      </c>
      <c r="H84" s="3330">
        <f t="shared" si="23"/>
        <v>1.4999999999999999E-2</v>
      </c>
      <c r="I84" s="3305">
        <v>0.3</v>
      </c>
      <c r="J84" s="3331">
        <f t="shared" si="24"/>
        <v>0.03</v>
      </c>
      <c r="K84" s="3331">
        <f t="shared" si="25"/>
        <v>1.4999999999999999E-2</v>
      </c>
      <c r="L84" s="3331">
        <v>0</v>
      </c>
      <c r="M84" s="3331">
        <f t="shared" si="26"/>
        <v>-1.4999999999999999E-2</v>
      </c>
      <c r="N84" s="3331">
        <f t="shared" si="26"/>
        <v>-0.03</v>
      </c>
      <c r="AE84" s="3312"/>
      <c r="AF84" s="3312"/>
      <c r="AG84" s="3312"/>
      <c r="AH84" s="3312"/>
      <c r="AI84" s="3312"/>
      <c r="AJ84" s="3312"/>
    </row>
    <row r="85" spans="1:36" s="1273" customFormat="1" ht="24">
      <c r="A85" s="3317" t="s">
        <v>944</v>
      </c>
      <c r="B85" s="3318">
        <f>估价对象房地状况!G17</f>
        <v>0</v>
      </c>
      <c r="C85" s="3325" t="s">
        <v>3268</v>
      </c>
      <c r="D85" s="3326">
        <f t="shared" si="22"/>
        <v>0</v>
      </c>
      <c r="E85" s="3332"/>
      <c r="F85" s="3328"/>
      <c r="G85" s="3329">
        <f t="shared" si="27"/>
        <v>5.0000000000000001E-3</v>
      </c>
      <c r="H85" s="3330">
        <f t="shared" si="23"/>
        <v>5.0000000000000001E-3</v>
      </c>
      <c r="I85" s="3305">
        <v>0.1</v>
      </c>
      <c r="J85" s="3331">
        <f t="shared" si="24"/>
        <v>0.01</v>
      </c>
      <c r="K85" s="3331">
        <f t="shared" si="25"/>
        <v>5.0000000000000001E-3</v>
      </c>
      <c r="L85" s="3331">
        <v>0</v>
      </c>
      <c r="M85" s="3331">
        <f t="shared" si="26"/>
        <v>-5.0000000000000001E-3</v>
      </c>
      <c r="N85" s="3331">
        <f t="shared" si="26"/>
        <v>-0.01</v>
      </c>
      <c r="AE85" s="3312"/>
      <c r="AF85" s="3312"/>
      <c r="AG85" s="3312"/>
      <c r="AH85" s="3312"/>
      <c r="AI85" s="3312"/>
      <c r="AJ85" s="3312"/>
    </row>
    <row r="86" spans="1:36" s="1273" customFormat="1" ht="14.25">
      <c r="A86" s="3317" t="s">
        <v>956</v>
      </c>
      <c r="B86" s="3318">
        <f>估价对象房地状况!G22</f>
        <v>0</v>
      </c>
      <c r="C86" s="3325" t="s">
        <v>3267</v>
      </c>
      <c r="D86" s="3326">
        <f t="shared" si="22"/>
        <v>2.5000000000000001E-3</v>
      </c>
      <c r="E86" s="3332"/>
      <c r="F86" s="3328"/>
      <c r="G86" s="3329">
        <f t="shared" si="27"/>
        <v>2.5000000000000001E-3</v>
      </c>
      <c r="H86" s="3330">
        <f t="shared" si="23"/>
        <v>2.5000000000000001E-3</v>
      </c>
      <c r="I86" s="3305">
        <v>0.05</v>
      </c>
      <c r="J86" s="3331">
        <f t="shared" si="24"/>
        <v>5.0000000000000001E-3</v>
      </c>
      <c r="K86" s="3331">
        <f t="shared" si="25"/>
        <v>2.5000000000000001E-3</v>
      </c>
      <c r="L86" s="3331">
        <v>0</v>
      </c>
      <c r="M86" s="3331">
        <f t="shared" si="26"/>
        <v>-2.5000000000000001E-3</v>
      </c>
      <c r="N86" s="3331">
        <f t="shared" si="26"/>
        <v>-5.0000000000000001E-3</v>
      </c>
      <c r="AE86" s="3312"/>
      <c r="AF86" s="3312"/>
      <c r="AG86" s="3312"/>
      <c r="AH86" s="3312"/>
      <c r="AI86" s="3312"/>
      <c r="AJ86" s="3312"/>
    </row>
    <row r="87" spans="1:36" s="1273" customFormat="1" ht="24">
      <c r="A87" s="3317" t="s">
        <v>948</v>
      </c>
      <c r="B87" s="3336" t="str">
        <f>估价对象房地状况!G19</f>
        <v>估价对象所在区域公共配套设施齐备情况</v>
      </c>
      <c r="C87" s="3325" t="s">
        <v>3268</v>
      </c>
      <c r="D87" s="3326">
        <f t="shared" si="22"/>
        <v>0</v>
      </c>
      <c r="E87" s="3332"/>
      <c r="F87" s="3328"/>
      <c r="G87" s="3329">
        <f t="shared" si="27"/>
        <v>3.0000000000000001E-3</v>
      </c>
      <c r="H87" s="3330">
        <f t="shared" si="23"/>
        <v>3.0000000000000001E-3</v>
      </c>
      <c r="I87" s="3305">
        <v>0.06</v>
      </c>
      <c r="J87" s="3331">
        <f t="shared" si="24"/>
        <v>6.0000000000000001E-3</v>
      </c>
      <c r="K87" s="3331">
        <f t="shared" si="25"/>
        <v>3.0000000000000001E-3</v>
      </c>
      <c r="L87" s="3331">
        <v>0</v>
      </c>
      <c r="M87" s="3331">
        <f t="shared" si="26"/>
        <v>-3.0000000000000001E-3</v>
      </c>
      <c r="N87" s="3331">
        <f t="shared" si="26"/>
        <v>-6.0000000000000001E-3</v>
      </c>
      <c r="AE87" s="3312"/>
      <c r="AF87" s="3312"/>
      <c r="AG87" s="3312"/>
      <c r="AH87" s="3312"/>
      <c r="AI87" s="3312"/>
      <c r="AJ87" s="3312"/>
    </row>
    <row r="88" spans="1:36" s="1273" customFormat="1" ht="24">
      <c r="A88" s="3317" t="s">
        <v>949</v>
      </c>
      <c r="B88" s="3336" t="str">
        <f>估价对象房地状况!G20</f>
        <v>估价对象所在区域基础设施水平</v>
      </c>
      <c r="C88" s="3325" t="s">
        <v>3269</v>
      </c>
      <c r="D88" s="3326">
        <f t="shared" si="22"/>
        <v>1.2E-2</v>
      </c>
      <c r="E88" s="3332"/>
      <c r="F88" s="3328"/>
      <c r="G88" s="3329">
        <f t="shared" si="27"/>
        <v>6.0000000000000001E-3</v>
      </c>
      <c r="H88" s="3330">
        <f t="shared" si="23"/>
        <v>6.0000000000000001E-3</v>
      </c>
      <c r="I88" s="3305">
        <v>0.12</v>
      </c>
      <c r="J88" s="3331">
        <f t="shared" si="24"/>
        <v>1.2E-2</v>
      </c>
      <c r="K88" s="3331">
        <f t="shared" si="25"/>
        <v>6.0000000000000001E-3</v>
      </c>
      <c r="L88" s="3331">
        <v>0</v>
      </c>
      <c r="M88" s="3331">
        <f t="shared" si="26"/>
        <v>-6.0000000000000001E-3</v>
      </c>
      <c r="N88" s="3331">
        <f t="shared" si="26"/>
        <v>-1.2E-2</v>
      </c>
      <c r="AE88" s="3312"/>
      <c r="AF88" s="3312"/>
      <c r="AG88" s="3312"/>
      <c r="AH88" s="3312"/>
      <c r="AI88" s="3312"/>
      <c r="AJ88" s="3312"/>
    </row>
    <row r="89" spans="1:36" s="1273" customFormat="1" ht="24">
      <c r="A89" s="3317" t="s">
        <v>947</v>
      </c>
      <c r="B89" s="3334" t="s">
        <v>2193</v>
      </c>
      <c r="C89" s="3325" t="s">
        <v>3267</v>
      </c>
      <c r="D89" s="3326">
        <f t="shared" si="22"/>
        <v>3.0000000000000001E-3</v>
      </c>
      <c r="E89" s="3332"/>
      <c r="F89" s="3328"/>
      <c r="G89" s="3329">
        <f t="shared" si="27"/>
        <v>3.0000000000000001E-3</v>
      </c>
      <c r="H89" s="3330">
        <f t="shared" si="23"/>
        <v>3.0000000000000001E-3</v>
      </c>
      <c r="I89" s="3305">
        <v>0.06</v>
      </c>
      <c r="J89" s="3331">
        <f t="shared" si="24"/>
        <v>6.0000000000000001E-3</v>
      </c>
      <c r="K89" s="3331">
        <f t="shared" si="25"/>
        <v>3.0000000000000001E-3</v>
      </c>
      <c r="L89" s="3331">
        <v>0</v>
      </c>
      <c r="M89" s="3331">
        <f t="shared" si="26"/>
        <v>-3.0000000000000001E-3</v>
      </c>
      <c r="N89" s="3331">
        <f t="shared" si="26"/>
        <v>-6.0000000000000001E-3</v>
      </c>
      <c r="AE89" s="3312"/>
      <c r="AF89" s="3312"/>
      <c r="AG89" s="3312"/>
      <c r="AH89" s="3312"/>
      <c r="AI89" s="3312"/>
      <c r="AJ89" s="3312"/>
    </row>
    <row r="90" spans="1:36" s="1273" customFormat="1" ht="36.75" thickBot="1">
      <c r="A90" s="3337" t="s">
        <v>960</v>
      </c>
      <c r="B90" s="3347" t="str">
        <f>估价对象房地状况!G18</f>
        <v>该园区内是否有污染型企业，绿化情况，卫生条件，整体环境状况判断</v>
      </c>
      <c r="C90" s="3325" t="s">
        <v>3267</v>
      </c>
      <c r="D90" s="3326">
        <f t="shared" si="22"/>
        <v>2.5000000000000001E-3</v>
      </c>
      <c r="E90" s="3339"/>
      <c r="F90" s="3328"/>
      <c r="G90" s="3329">
        <f t="shared" si="27"/>
        <v>2.5000000000000001E-3</v>
      </c>
      <c r="H90" s="3330">
        <f t="shared" si="23"/>
        <v>2.5000000000000001E-3</v>
      </c>
      <c r="I90" s="3307">
        <v>0.05</v>
      </c>
      <c r="J90" s="3331">
        <f t="shared" si="24"/>
        <v>5.0000000000000001E-3</v>
      </c>
      <c r="K90" s="3331">
        <f t="shared" si="25"/>
        <v>2.5000000000000001E-3</v>
      </c>
      <c r="L90" s="3331">
        <v>0</v>
      </c>
      <c r="M90" s="3331">
        <f t="shared" si="26"/>
        <v>-2.5000000000000001E-3</v>
      </c>
      <c r="N90" s="3331">
        <f t="shared" si="26"/>
        <v>-5.0000000000000001E-3</v>
      </c>
      <c r="AE90" s="3312"/>
      <c r="AF90" s="3312"/>
      <c r="AG90" s="3312"/>
      <c r="AH90" s="3312"/>
      <c r="AI90" s="3312"/>
      <c r="AJ90" s="3312"/>
    </row>
    <row r="91" spans="1:36" s="1273" customFormat="1" ht="15" hidden="1">
      <c r="A91" s="3301" t="s">
        <v>3222</v>
      </c>
      <c r="B91" s="3375">
        <f>1+E93</f>
        <v>1</v>
      </c>
      <c r="C91" s="3349"/>
      <c r="D91" s="3349"/>
      <c r="E91" s="3350"/>
      <c r="F91" s="3328"/>
      <c r="G91" s="3351"/>
      <c r="H91" s="3352"/>
      <c r="I91" s="3353"/>
      <c r="J91" s="3354"/>
      <c r="K91" s="3354"/>
      <c r="L91" s="3354"/>
      <c r="M91" s="3354"/>
      <c r="N91" s="3354"/>
      <c r="AE91" s="3312"/>
      <c r="AF91" s="3312"/>
      <c r="AG91" s="3312"/>
      <c r="AH91" s="3312"/>
      <c r="AI91" s="3312"/>
      <c r="AJ91" s="3312"/>
    </row>
    <row r="92" spans="1:36" s="1273" customFormat="1" ht="24" hidden="1">
      <c r="A92" s="3302" t="s">
        <v>3223</v>
      </c>
      <c r="B92" s="3302"/>
      <c r="C92" s="3302" t="s">
        <v>3228</v>
      </c>
      <c r="D92" s="3302" t="s">
        <v>3215</v>
      </c>
      <c r="E92" s="346" t="s">
        <v>3216</v>
      </c>
      <c r="F92" s="3357" t="s">
        <v>1607</v>
      </c>
      <c r="G92" s="3320" t="s">
        <v>936</v>
      </c>
      <c r="H92" s="3322" t="s">
        <v>1769</v>
      </c>
      <c r="I92" s="3320" t="s">
        <v>934</v>
      </c>
      <c r="J92" s="3323" t="s">
        <v>937</v>
      </c>
      <c r="K92" s="3323" t="s">
        <v>938</v>
      </c>
      <c r="L92" s="3323" t="s">
        <v>939</v>
      </c>
      <c r="M92" s="3323" t="s">
        <v>940</v>
      </c>
      <c r="N92" s="3323" t="s">
        <v>941</v>
      </c>
      <c r="AE92" s="3312"/>
      <c r="AF92" s="3312"/>
      <c r="AG92" s="3312"/>
      <c r="AH92" s="3312"/>
      <c r="AI92" s="3312"/>
      <c r="AJ92" s="3312"/>
    </row>
    <row r="93" spans="1:36" s="1273" customFormat="1" ht="24" hidden="1">
      <c r="A93" s="3356" t="s">
        <v>3224</v>
      </c>
      <c r="B93" s="3304"/>
      <c r="C93" s="3325"/>
      <c r="D93" s="3326">
        <f>SUMIF($J$92:$N$92,C93,J93:N93)</f>
        <v>0</v>
      </c>
      <c r="E93" s="3358">
        <f>ROUND(SUM(D93:D101),4)</f>
        <v>0</v>
      </c>
      <c r="F93" s="3328" t="str">
        <f>IF(E2="公共服务",SUMIF(L1:L12,G2,N1:N12),"——")</f>
        <v>——</v>
      </c>
      <c r="G93" s="3343"/>
      <c r="H93" s="3330" t="str">
        <f>IFERROR(ROUNDDOWN($F$93*I93/2,4),"——")</f>
        <v>——</v>
      </c>
      <c r="I93" s="3305">
        <v>0.25</v>
      </c>
      <c r="J93" s="3355">
        <f>K93+$G93</f>
        <v>0</v>
      </c>
      <c r="K93" s="3355">
        <f t="shared" ref="K93:K101" si="28">$L93+$G93</f>
        <v>0</v>
      </c>
      <c r="L93" s="3355">
        <v>0</v>
      </c>
      <c r="M93" s="3355">
        <f t="shared" ref="M93:N93" si="29">L93-$G93</f>
        <v>0</v>
      </c>
      <c r="N93" s="3355">
        <f t="shared" si="29"/>
        <v>0</v>
      </c>
      <c r="AE93" s="3312"/>
      <c r="AF93" s="3312"/>
      <c r="AG93" s="3312"/>
      <c r="AH93" s="3312"/>
      <c r="AI93" s="3312"/>
      <c r="AJ93" s="3312"/>
    </row>
    <row r="94" spans="1:36" s="1273" customFormat="1" ht="36" hidden="1">
      <c r="A94" s="3302" t="s">
        <v>3225</v>
      </c>
      <c r="B94" s="3318" t="str">
        <f>估价对象房地状况!G16</f>
        <v>估价对象周边道路状况、公共交通通达情况、停车便捷程度，综合评价交通便捷度较好</v>
      </c>
      <c r="C94" s="3325"/>
      <c r="D94" s="3326">
        <f t="shared" ref="D94:D101" si="30">SUMIF($J$92:$N$92,C94,J94:N94)</f>
        <v>0</v>
      </c>
      <c r="E94" s="3350"/>
      <c r="F94" s="3328"/>
      <c r="G94" s="3343"/>
      <c r="H94" s="3330" t="str">
        <f t="shared" ref="H94:H101" si="31">IFERROR(ROUNDDOWN($F$93*I94/2,4),"——")</f>
        <v>——</v>
      </c>
      <c r="I94" s="3305">
        <v>0.26</v>
      </c>
      <c r="J94" s="3355">
        <f>K94+$G94</f>
        <v>0</v>
      </c>
      <c r="K94" s="3355">
        <f t="shared" si="28"/>
        <v>0</v>
      </c>
      <c r="L94" s="3355">
        <v>0</v>
      </c>
      <c r="M94" s="3355">
        <f t="shared" ref="M94:M101" si="32">L94-$G94</f>
        <v>0</v>
      </c>
      <c r="N94" s="3355">
        <f t="shared" ref="N94:N101" si="33">M94-$G94</f>
        <v>0</v>
      </c>
      <c r="AE94" s="3312"/>
      <c r="AF94" s="3312"/>
      <c r="AG94" s="3312"/>
      <c r="AH94" s="3312"/>
      <c r="AI94" s="3312"/>
      <c r="AJ94" s="3312"/>
    </row>
    <row r="95" spans="1:36" s="1273" customFormat="1" ht="36" hidden="1">
      <c r="A95" s="3356" t="s">
        <v>3213</v>
      </c>
      <c r="B95" s="3318">
        <f>估价对象房地状况!G17</f>
        <v>0</v>
      </c>
      <c r="C95" s="3325"/>
      <c r="D95" s="3326">
        <f t="shared" si="30"/>
        <v>0</v>
      </c>
      <c r="E95" s="3350"/>
      <c r="F95" s="3328"/>
      <c r="G95" s="3343"/>
      <c r="H95" s="3330" t="str">
        <f t="shared" si="31"/>
        <v>——</v>
      </c>
      <c r="I95" s="3305">
        <v>0.11</v>
      </c>
      <c r="J95" s="3355">
        <f t="shared" ref="J95:J101" si="34">K95+$G95</f>
        <v>0</v>
      </c>
      <c r="K95" s="3355">
        <f t="shared" si="28"/>
        <v>0</v>
      </c>
      <c r="L95" s="3355">
        <v>0</v>
      </c>
      <c r="M95" s="3355">
        <f t="shared" si="32"/>
        <v>0</v>
      </c>
      <c r="N95" s="3355">
        <f t="shared" si="33"/>
        <v>0</v>
      </c>
      <c r="AE95" s="3312"/>
      <c r="AF95" s="3312"/>
      <c r="AG95" s="3312"/>
      <c r="AH95" s="3312"/>
      <c r="AI95" s="3312"/>
      <c r="AJ95" s="3312"/>
    </row>
    <row r="96" spans="1:36" s="1273" customFormat="1" ht="36.75" hidden="1">
      <c r="A96" s="3302" t="s">
        <v>3217</v>
      </c>
      <c r="B96" s="3306" t="s">
        <v>3218</v>
      </c>
      <c r="C96" s="3325"/>
      <c r="D96" s="3326">
        <f t="shared" si="30"/>
        <v>0</v>
      </c>
      <c r="E96" s="3350"/>
      <c r="F96" s="3328"/>
      <c r="G96" s="3343"/>
      <c r="H96" s="3330" t="str">
        <f t="shared" si="31"/>
        <v>——</v>
      </c>
      <c r="I96" s="3305">
        <v>0.05</v>
      </c>
      <c r="J96" s="3355">
        <f t="shared" si="34"/>
        <v>0</v>
      </c>
      <c r="K96" s="3355">
        <f t="shared" si="28"/>
        <v>0</v>
      </c>
      <c r="L96" s="3355">
        <v>0</v>
      </c>
      <c r="M96" s="3355">
        <f>L96-$G96</f>
        <v>0</v>
      </c>
      <c r="N96" s="3355">
        <f t="shared" si="33"/>
        <v>0</v>
      </c>
      <c r="AE96" s="3312"/>
      <c r="AF96" s="3312"/>
      <c r="AG96" s="3312"/>
      <c r="AH96" s="3312"/>
      <c r="AI96" s="3312"/>
      <c r="AJ96" s="3312"/>
    </row>
    <row r="97" spans="1:36" s="1273" customFormat="1" ht="24" hidden="1">
      <c r="A97" s="3302" t="s">
        <v>3219</v>
      </c>
      <c r="B97" s="3318">
        <f>估价对象房地状况!G22</f>
        <v>0</v>
      </c>
      <c r="C97" s="3325"/>
      <c r="D97" s="3326">
        <f t="shared" si="30"/>
        <v>0</v>
      </c>
      <c r="E97" s="3350"/>
      <c r="F97" s="3328"/>
      <c r="G97" s="3343"/>
      <c r="H97" s="3330" t="str">
        <f t="shared" si="31"/>
        <v>——</v>
      </c>
      <c r="I97" s="3305">
        <v>0.05</v>
      </c>
      <c r="J97" s="3355">
        <f t="shared" si="34"/>
        <v>0</v>
      </c>
      <c r="K97" s="3355">
        <f t="shared" si="28"/>
        <v>0</v>
      </c>
      <c r="L97" s="3355">
        <v>0</v>
      </c>
      <c r="M97" s="3355">
        <f t="shared" si="32"/>
        <v>0</v>
      </c>
      <c r="N97" s="3355">
        <f t="shared" si="33"/>
        <v>0</v>
      </c>
      <c r="AE97" s="3312"/>
      <c r="AF97" s="3312"/>
      <c r="AG97" s="3312"/>
      <c r="AH97" s="3312"/>
      <c r="AI97" s="3312"/>
      <c r="AJ97" s="3312"/>
    </row>
    <row r="98" spans="1:36" s="1273" customFormat="1" ht="24" hidden="1">
      <c r="A98" s="3302" t="s">
        <v>3226</v>
      </c>
      <c r="B98" s="3333" t="s">
        <v>2193</v>
      </c>
      <c r="C98" s="3325"/>
      <c r="D98" s="3326">
        <f t="shared" si="30"/>
        <v>0</v>
      </c>
      <c r="E98" s="3350"/>
      <c r="F98" s="3328"/>
      <c r="G98" s="3343"/>
      <c r="H98" s="3330" t="str">
        <f t="shared" si="31"/>
        <v>——</v>
      </c>
      <c r="I98" s="3305">
        <v>0.06</v>
      </c>
      <c r="J98" s="3355">
        <f t="shared" si="34"/>
        <v>0</v>
      </c>
      <c r="K98" s="3355">
        <f t="shared" si="28"/>
        <v>0</v>
      </c>
      <c r="L98" s="3355">
        <v>0</v>
      </c>
      <c r="M98" s="3355">
        <f t="shared" si="32"/>
        <v>0</v>
      </c>
      <c r="N98" s="3355">
        <f t="shared" si="33"/>
        <v>0</v>
      </c>
      <c r="AE98" s="3312"/>
      <c r="AF98" s="3312"/>
      <c r="AG98" s="3312"/>
      <c r="AH98" s="3312"/>
      <c r="AI98" s="3312"/>
      <c r="AJ98" s="3312"/>
    </row>
    <row r="99" spans="1:36" s="1273" customFormat="1" ht="24" hidden="1">
      <c r="A99" s="3302" t="s">
        <v>3227</v>
      </c>
      <c r="B99" s="3318" t="str">
        <f>估价对象房地状况!C21</f>
        <v>估价对象所在区域公共配套设施齐备情况</v>
      </c>
      <c r="C99" s="3325"/>
      <c r="D99" s="3326">
        <f t="shared" si="30"/>
        <v>0</v>
      </c>
      <c r="E99" s="3350"/>
      <c r="F99" s="3328"/>
      <c r="G99" s="3343"/>
      <c r="H99" s="3330" t="str">
        <f t="shared" si="31"/>
        <v>——</v>
      </c>
      <c r="I99" s="3305">
        <v>0.06</v>
      </c>
      <c r="J99" s="3355">
        <f t="shared" si="34"/>
        <v>0</v>
      </c>
      <c r="K99" s="3355">
        <f t="shared" si="28"/>
        <v>0</v>
      </c>
      <c r="L99" s="3355">
        <v>0</v>
      </c>
      <c r="M99" s="3355">
        <f t="shared" si="32"/>
        <v>0</v>
      </c>
      <c r="N99" s="3355">
        <f t="shared" si="33"/>
        <v>0</v>
      </c>
      <c r="AE99" s="3312"/>
      <c r="AF99" s="3312"/>
      <c r="AG99" s="3312"/>
      <c r="AH99" s="3312"/>
      <c r="AI99" s="3312"/>
      <c r="AJ99" s="3312"/>
    </row>
    <row r="100" spans="1:36" s="1273" customFormat="1" ht="24" hidden="1">
      <c r="A100" s="3302" t="s">
        <v>3220</v>
      </c>
      <c r="B100" s="3318" t="str">
        <f>估价对象房地状况!C22</f>
        <v>估价对象所在区域基础设施水平</v>
      </c>
      <c r="C100" s="3325"/>
      <c r="D100" s="3326">
        <f t="shared" si="30"/>
        <v>0</v>
      </c>
      <c r="E100" s="3350"/>
      <c r="F100" s="3328"/>
      <c r="G100" s="3343"/>
      <c r="H100" s="3330" t="str">
        <f t="shared" si="31"/>
        <v>——</v>
      </c>
      <c r="I100" s="3305">
        <v>0.09</v>
      </c>
      <c r="J100" s="3355">
        <f t="shared" si="34"/>
        <v>0</v>
      </c>
      <c r="K100" s="3355">
        <f t="shared" si="28"/>
        <v>0</v>
      </c>
      <c r="L100" s="3355">
        <v>0</v>
      </c>
      <c r="M100" s="3355">
        <f t="shared" si="32"/>
        <v>0</v>
      </c>
      <c r="N100" s="3355">
        <f t="shared" si="33"/>
        <v>0</v>
      </c>
      <c r="AE100" s="3312"/>
      <c r="AF100" s="3312"/>
      <c r="AG100" s="3312"/>
      <c r="AH100" s="3312"/>
      <c r="AI100" s="3312"/>
      <c r="AJ100" s="3312"/>
    </row>
    <row r="101" spans="1:36" s="1273" customFormat="1" ht="24.75" hidden="1" thickBot="1">
      <c r="A101" s="3302" t="s">
        <v>3221</v>
      </c>
      <c r="B101" s="3324" t="str">
        <f>估价对象房地状况!C20</f>
        <v>区域自然环境：；人文环境；综合评价环境状况一般</v>
      </c>
      <c r="C101" s="3325"/>
      <c r="D101" s="3326">
        <f t="shared" si="30"/>
        <v>0</v>
      </c>
      <c r="E101" s="3350"/>
      <c r="F101" s="3328"/>
      <c r="G101" s="3343"/>
      <c r="H101" s="3330" t="str">
        <f t="shared" si="31"/>
        <v>——</v>
      </c>
      <c r="I101" s="3307">
        <v>7.0000000000000007E-2</v>
      </c>
      <c r="J101" s="3355">
        <f t="shared" si="34"/>
        <v>0</v>
      </c>
      <c r="K101" s="3355">
        <f t="shared" si="28"/>
        <v>0</v>
      </c>
      <c r="L101" s="3355">
        <v>0</v>
      </c>
      <c r="M101" s="3355">
        <f t="shared" si="32"/>
        <v>0</v>
      </c>
      <c r="N101" s="3355">
        <f t="shared" si="33"/>
        <v>0</v>
      </c>
      <c r="AE101" s="3312"/>
      <c r="AF101" s="3312"/>
      <c r="AG101" s="3312"/>
      <c r="AH101" s="3312"/>
      <c r="AI101" s="3312"/>
      <c r="AJ101" s="3312"/>
    </row>
    <row r="102" spans="1:36" s="1273" customFormat="1" ht="14.25" hidden="1">
      <c r="A102" s="3376"/>
      <c r="B102" s="3377"/>
      <c r="C102" s="3348"/>
      <c r="D102" s="3349"/>
      <c r="E102" s="3350"/>
      <c r="F102" s="3328"/>
      <c r="G102" s="3378"/>
      <c r="H102" s="3352"/>
      <c r="I102" s="3379"/>
      <c r="J102" s="3380"/>
      <c r="K102" s="3380"/>
      <c r="L102" s="3380"/>
      <c r="M102" s="3380"/>
      <c r="N102" s="3380"/>
      <c r="AE102" s="3312"/>
      <c r="AF102" s="3312"/>
      <c r="AG102" s="3312"/>
      <c r="AH102" s="3312"/>
      <c r="AI102" s="3312"/>
      <c r="AJ102" s="3312"/>
    </row>
    <row r="103" spans="1:36" s="1273" customFormat="1">
      <c r="K103" s="3312"/>
      <c r="AD103" s="3312"/>
      <c r="AE103" s="3312"/>
      <c r="AF103" s="3312"/>
      <c r="AG103" s="3312"/>
      <c r="AH103" s="3312"/>
      <c r="AI103" s="3312"/>
    </row>
    <row r="104" spans="1:36">
      <c r="A104" s="3752" t="s">
        <v>1172</v>
      </c>
      <c r="B104" s="3752"/>
      <c r="C104" s="3752"/>
      <c r="D104" s="3752"/>
      <c r="E104" s="3752"/>
      <c r="F104" s="3752"/>
      <c r="G104" s="3752"/>
      <c r="H104" s="3752"/>
      <c r="I104" s="3752"/>
      <c r="J104" s="3752"/>
      <c r="K104" s="999"/>
      <c r="L104" s="999"/>
      <c r="M104" s="999"/>
      <c r="N104" s="999"/>
    </row>
    <row r="105" spans="1:36">
      <c r="A105" s="3753" t="s">
        <v>1161</v>
      </c>
      <c r="B105" s="3753" t="s">
        <v>1173</v>
      </c>
      <c r="C105" s="987" t="s">
        <v>1174</v>
      </c>
      <c r="D105" s="988"/>
      <c r="E105" s="988"/>
      <c r="F105" s="988"/>
      <c r="G105" s="988"/>
      <c r="H105" s="988"/>
      <c r="I105" s="988"/>
      <c r="J105" s="989"/>
      <c r="K105" s="982"/>
      <c r="L105" s="982"/>
      <c r="M105" s="982"/>
      <c r="N105" s="982"/>
    </row>
    <row r="106" spans="1:36">
      <c r="A106" s="3753"/>
      <c r="B106" s="3753"/>
      <c r="C106" s="998" t="s">
        <v>836</v>
      </c>
      <c r="D106" s="998" t="s">
        <v>820</v>
      </c>
      <c r="E106" s="998" t="s">
        <v>821</v>
      </c>
      <c r="F106" s="998" t="s">
        <v>839</v>
      </c>
      <c r="G106" s="998" t="s">
        <v>823</v>
      </c>
      <c r="H106" s="998" t="s">
        <v>824</v>
      </c>
      <c r="I106" s="998" t="s">
        <v>825</v>
      </c>
      <c r="J106" s="998" t="s">
        <v>826</v>
      </c>
      <c r="K106" s="998" t="s">
        <v>844</v>
      </c>
      <c r="L106" s="998" t="s">
        <v>828</v>
      </c>
      <c r="M106" s="998" t="s">
        <v>829</v>
      </c>
      <c r="N106" s="998" t="s">
        <v>847</v>
      </c>
    </row>
    <row r="107" spans="1:36">
      <c r="A107" s="3759" t="s">
        <v>2042</v>
      </c>
      <c r="B107" s="990">
        <v>1</v>
      </c>
      <c r="C107" s="991">
        <v>1.5206</v>
      </c>
      <c r="D107" s="991">
        <v>1.5206</v>
      </c>
      <c r="E107" s="991">
        <v>1.5019</v>
      </c>
      <c r="F107" s="991">
        <v>1.5019</v>
      </c>
      <c r="G107" s="991">
        <v>1.5019</v>
      </c>
      <c r="H107" s="991">
        <v>1.5019</v>
      </c>
      <c r="I107" s="991">
        <v>1.5019</v>
      </c>
      <c r="J107" s="991">
        <v>1.5418000000000001</v>
      </c>
      <c r="K107" s="991">
        <v>1.5418000000000001</v>
      </c>
      <c r="L107" s="991">
        <v>1.5418000000000001</v>
      </c>
      <c r="M107" s="991">
        <v>1.5418000000000001</v>
      </c>
      <c r="N107" s="991">
        <v>1.5418000000000001</v>
      </c>
    </row>
    <row r="108" spans="1:36">
      <c r="A108" s="3760"/>
      <c r="B108" s="990">
        <v>2</v>
      </c>
      <c r="C108" s="991">
        <v>1.2072000000000001</v>
      </c>
      <c r="D108" s="991">
        <v>1.2072000000000001</v>
      </c>
      <c r="E108" s="991">
        <v>1.1838</v>
      </c>
      <c r="F108" s="991">
        <v>1.1838</v>
      </c>
      <c r="G108" s="991">
        <v>1.1838</v>
      </c>
      <c r="H108" s="991">
        <v>1.1838</v>
      </c>
      <c r="I108" s="991">
        <v>1.1838</v>
      </c>
      <c r="J108" s="991">
        <v>1.1883999999999999</v>
      </c>
      <c r="K108" s="991">
        <v>1.1883999999999999</v>
      </c>
      <c r="L108" s="991">
        <v>1.1883999999999999</v>
      </c>
      <c r="M108" s="991">
        <v>1.1883999999999999</v>
      </c>
      <c r="N108" s="991">
        <v>1.1883999999999999</v>
      </c>
    </row>
    <row r="109" spans="1:36">
      <c r="A109" s="3760"/>
      <c r="B109" s="990">
        <v>3</v>
      </c>
      <c r="C109" s="991">
        <v>1.0430999999999999</v>
      </c>
      <c r="D109" s="991">
        <v>1.0430999999999999</v>
      </c>
      <c r="E109" s="991">
        <v>1.0004999999999999</v>
      </c>
      <c r="F109" s="991">
        <v>1.0004999999999999</v>
      </c>
      <c r="G109" s="991">
        <v>1.0004999999999999</v>
      </c>
      <c r="H109" s="991">
        <v>1.0004999999999999</v>
      </c>
      <c r="I109" s="991">
        <v>1.0004999999999999</v>
      </c>
      <c r="J109" s="991">
        <v>0.96940000000000004</v>
      </c>
      <c r="K109" s="991">
        <v>0.96940000000000004</v>
      </c>
      <c r="L109" s="991">
        <v>0.96940000000000004</v>
      </c>
      <c r="M109" s="991">
        <v>0.96940000000000004</v>
      </c>
      <c r="N109" s="991">
        <v>0.96940000000000004</v>
      </c>
    </row>
    <row r="110" spans="1:36">
      <c r="A110" s="3760"/>
      <c r="B110" s="990">
        <v>4</v>
      </c>
      <c r="C110" s="991">
        <v>0.94389999999999996</v>
      </c>
      <c r="D110" s="991">
        <v>0.94389999999999996</v>
      </c>
      <c r="E110" s="991">
        <v>0.88239999999999996</v>
      </c>
      <c r="F110" s="991">
        <v>0.88239999999999996</v>
      </c>
      <c r="G110" s="991">
        <v>0.88239999999999996</v>
      </c>
      <c r="H110" s="991">
        <v>0.88239999999999996</v>
      </c>
      <c r="I110" s="991">
        <v>0.88239999999999996</v>
      </c>
      <c r="J110" s="991">
        <v>0.82299999999999995</v>
      </c>
      <c r="K110" s="991">
        <v>0.82299999999999995</v>
      </c>
      <c r="L110" s="991">
        <v>0.82299999999999995</v>
      </c>
      <c r="M110" s="991">
        <v>0.82299999999999995</v>
      </c>
      <c r="N110" s="991">
        <v>0.82299999999999995</v>
      </c>
    </row>
    <row r="111" spans="1:36">
      <c r="A111" s="3760"/>
      <c r="B111" s="990">
        <v>5</v>
      </c>
      <c r="C111" s="991">
        <v>0.89959999999999996</v>
      </c>
      <c r="D111" s="991">
        <v>0.89959999999999996</v>
      </c>
      <c r="E111" s="991">
        <v>0.84799999999999998</v>
      </c>
      <c r="F111" s="991">
        <v>0.84799999999999998</v>
      </c>
      <c r="G111" s="991">
        <v>0.84799999999999998</v>
      </c>
      <c r="H111" s="991">
        <v>0.84799999999999998</v>
      </c>
      <c r="I111" s="991">
        <v>0.84799999999999998</v>
      </c>
      <c r="J111" s="991">
        <v>0.74980000000000002</v>
      </c>
      <c r="K111" s="991">
        <v>0.74980000000000002</v>
      </c>
      <c r="L111" s="991">
        <v>0.74980000000000002</v>
      </c>
      <c r="M111" s="991">
        <v>0.74980000000000002</v>
      </c>
      <c r="N111" s="991">
        <v>0.74980000000000002</v>
      </c>
    </row>
    <row r="112" spans="1:36">
      <c r="A112" s="3760"/>
      <c r="B112" s="990" t="s">
        <v>3229</v>
      </c>
      <c r="C112" s="992">
        <f>$I$3</f>
        <v>0</v>
      </c>
      <c r="D112" s="992">
        <f t="shared" ref="D112:N112" si="35">$I$3</f>
        <v>0</v>
      </c>
      <c r="E112" s="992">
        <f t="shared" si="35"/>
        <v>0</v>
      </c>
      <c r="F112" s="992">
        <f t="shared" si="35"/>
        <v>0</v>
      </c>
      <c r="G112" s="992">
        <f t="shared" si="35"/>
        <v>0</v>
      </c>
      <c r="H112" s="992">
        <f t="shared" si="35"/>
        <v>0</v>
      </c>
      <c r="I112" s="992">
        <f t="shared" si="35"/>
        <v>0</v>
      </c>
      <c r="J112" s="992">
        <f t="shared" si="35"/>
        <v>0</v>
      </c>
      <c r="K112" s="992">
        <f t="shared" si="35"/>
        <v>0</v>
      </c>
      <c r="L112" s="992">
        <f t="shared" si="35"/>
        <v>0</v>
      </c>
      <c r="M112" s="992">
        <f t="shared" si="35"/>
        <v>0</v>
      </c>
      <c r="N112" s="992">
        <f t="shared" si="35"/>
        <v>0</v>
      </c>
    </row>
    <row r="113" spans="1:14">
      <c r="A113" s="3761"/>
      <c r="B113" s="990">
        <v>6</v>
      </c>
      <c r="C113" s="993">
        <f>(-0.5556*(C112^2)-0.2719*C112+8944)*(10^(-4))</f>
        <v>0.89440000000000008</v>
      </c>
      <c r="D113" s="993">
        <f>(-0.5556*(D112^2)-0.2719*D112+8944)*(10^(-4))</f>
        <v>0.89440000000000008</v>
      </c>
      <c r="E113" s="993">
        <f>(-0.7912*(E112^2)-11.3794*E112+8482)*(10^(-4))</f>
        <v>0.84820000000000007</v>
      </c>
      <c r="F113" s="993">
        <f>(-0.7912*(F112^2)-11.3794*F112+8482)*(10^(-4))</f>
        <v>0.84820000000000007</v>
      </c>
      <c r="G113" s="993">
        <f>(-0.7912*(G112^2)-11.3794*G112+8482)*(10^(-4))</f>
        <v>0.84820000000000007</v>
      </c>
      <c r="H113" s="993">
        <f>(-0.7912*(H112^2)-11.3794*H112+8482)*(10^(-4))</f>
        <v>0.84820000000000007</v>
      </c>
      <c r="I113" s="993">
        <f>(-0.7912*(I112^2)-11.3794*I112+8482)*(10^(-4))</f>
        <v>0.84820000000000007</v>
      </c>
      <c r="J113" s="993">
        <f>(-0.989*(J112^2)-63.78*J112+7771)*(10^(-4))</f>
        <v>0.77710000000000001</v>
      </c>
      <c r="K113" s="993">
        <f>(-0.989*(K112^2)-63.78*K112+7771)*(10^(-4))</f>
        <v>0.77710000000000001</v>
      </c>
      <c r="L113" s="993">
        <f>(-0.989*(L112^2)-63.78*L112+7771)*(10^(-4))</f>
        <v>0.77710000000000001</v>
      </c>
      <c r="M113" s="993">
        <f>(-0.989*(M112^2)-63.78*M112+7771)*(10^(-4))</f>
        <v>0.77710000000000001</v>
      </c>
      <c r="N113" s="993">
        <f>(-0.989*(N112^2)-63.78*N112+7771)*(10^(-4))</f>
        <v>0.77710000000000001</v>
      </c>
    </row>
    <row r="114" spans="1:14">
      <c r="A114" s="3749" t="s">
        <v>1175</v>
      </c>
      <c r="B114" s="3749"/>
      <c r="C114" s="3749"/>
      <c r="D114" s="3749"/>
      <c r="E114" s="3749"/>
      <c r="F114" s="3749"/>
      <c r="G114" s="3749"/>
      <c r="H114" s="3749"/>
      <c r="I114" s="3749"/>
      <c r="J114" s="3749"/>
      <c r="K114" s="1967"/>
      <c r="L114" s="1967"/>
      <c r="M114" s="1967"/>
      <c r="N114" s="1967"/>
    </row>
    <row r="116" spans="1:14" ht="12.75" thickBot="1"/>
    <row r="117" spans="1:14" ht="25.5" thickBot="1">
      <c r="A117" s="925" t="s">
        <v>831</v>
      </c>
      <c r="B117" s="1968">
        <f>G3</f>
        <v>1</v>
      </c>
      <c r="C117" s="926" t="s">
        <v>832</v>
      </c>
      <c r="D117" s="927" t="e">
        <f>SUMPRODUCT((A118:A122=F116)*(B117:M117=H116)*B118:M122)</f>
        <v>#VALUE!</v>
      </c>
      <c r="E117" s="928" t="s">
        <v>833</v>
      </c>
      <c r="F117" s="929" t="str">
        <f>E2</f>
        <v>工业</v>
      </c>
      <c r="G117" s="928" t="s">
        <v>834</v>
      </c>
      <c r="H117" s="929" t="str">
        <f>G2</f>
        <v>四级</v>
      </c>
      <c r="I117" s="928"/>
      <c r="J117" s="920"/>
      <c r="K117" s="920"/>
      <c r="L117" s="920"/>
      <c r="M117" s="920"/>
    </row>
    <row r="118" spans="1:14" ht="12.75">
      <c r="A118" s="931"/>
      <c r="B118" s="932" t="s">
        <v>819</v>
      </c>
      <c r="C118" s="932" t="s">
        <v>820</v>
      </c>
      <c r="D118" s="932" t="s">
        <v>821</v>
      </c>
      <c r="E118" s="933" t="s">
        <v>822</v>
      </c>
      <c r="F118" s="933" t="s">
        <v>823</v>
      </c>
      <c r="G118" s="933" t="s">
        <v>824</v>
      </c>
      <c r="H118" s="934" t="s">
        <v>825</v>
      </c>
      <c r="I118" s="934" t="s">
        <v>826</v>
      </c>
      <c r="J118" s="935" t="s">
        <v>827</v>
      </c>
      <c r="K118" s="935" t="s">
        <v>828</v>
      </c>
      <c r="L118" s="935" t="s">
        <v>829</v>
      </c>
      <c r="M118" s="936" t="s">
        <v>830</v>
      </c>
    </row>
    <row r="119" spans="1:14" ht="12.75">
      <c r="A119" s="3359" t="s">
        <v>3230</v>
      </c>
      <c r="B119" s="3303">
        <f>ROUND(0.9968-0.011*B117,4)</f>
        <v>0.98580000000000001</v>
      </c>
      <c r="C119" s="3303">
        <f>B119</f>
        <v>0.98580000000000001</v>
      </c>
      <c r="D119" s="3303">
        <f>ROUND(0.949-0.014*B117,4)</f>
        <v>0.93500000000000005</v>
      </c>
      <c r="E119" s="3303">
        <f>D119</f>
        <v>0.93500000000000005</v>
      </c>
      <c r="F119" s="3303">
        <f>E119</f>
        <v>0.93500000000000005</v>
      </c>
      <c r="G119" s="3303">
        <f>F119</f>
        <v>0.93500000000000005</v>
      </c>
      <c r="H119" s="3303">
        <f>G119</f>
        <v>0.93500000000000005</v>
      </c>
      <c r="I119" s="3303">
        <f>ROUND(0.8486-0.018*B117,4)</f>
        <v>0.8306</v>
      </c>
      <c r="J119" s="3303">
        <f t="shared" ref="J119:M123" si="36">I119</f>
        <v>0.8306</v>
      </c>
      <c r="K119" s="3303">
        <f t="shared" si="36"/>
        <v>0.8306</v>
      </c>
      <c r="L119" s="3303">
        <f t="shared" si="36"/>
        <v>0.8306</v>
      </c>
      <c r="M119" s="3362">
        <f t="shared" si="36"/>
        <v>0.8306</v>
      </c>
    </row>
    <row r="120" spans="1:14" ht="12.75">
      <c r="A120" s="3359" t="s">
        <v>3231</v>
      </c>
      <c r="B120" s="3303">
        <f>ROUND(0.993-0.0112*B117,4)</f>
        <v>0.98180000000000001</v>
      </c>
      <c r="C120" s="3303">
        <f>B120</f>
        <v>0.98180000000000001</v>
      </c>
      <c r="D120" s="3303">
        <f>ROUND(0.9415-0.0142*B117,4)</f>
        <v>0.92730000000000001</v>
      </c>
      <c r="E120" s="3303">
        <f t="shared" ref="E120:H121" si="37">D120</f>
        <v>0.92730000000000001</v>
      </c>
      <c r="F120" s="3303">
        <f t="shared" si="37"/>
        <v>0.92730000000000001</v>
      </c>
      <c r="G120" s="3303">
        <f t="shared" si="37"/>
        <v>0.92730000000000001</v>
      </c>
      <c r="H120" s="3303">
        <f t="shared" si="37"/>
        <v>0.92730000000000001</v>
      </c>
      <c r="I120" s="3303">
        <f>ROUND(0.838-0.0182*B117,4)</f>
        <v>0.81979999999999997</v>
      </c>
      <c r="J120" s="3303">
        <f t="shared" si="36"/>
        <v>0.81979999999999997</v>
      </c>
      <c r="K120" s="3303">
        <f t="shared" si="36"/>
        <v>0.81979999999999997</v>
      </c>
      <c r="L120" s="3303">
        <f t="shared" si="36"/>
        <v>0.81979999999999997</v>
      </c>
      <c r="M120" s="3362">
        <f t="shared" si="36"/>
        <v>0.81979999999999997</v>
      </c>
    </row>
    <row r="121" spans="1:14" ht="12.75">
      <c r="A121" s="3359" t="s">
        <v>3232</v>
      </c>
      <c r="B121" s="3303">
        <f>ROUND(0.9448-0.0115*B117,4)</f>
        <v>0.93330000000000002</v>
      </c>
      <c r="C121" s="3303">
        <f>B121</f>
        <v>0.93330000000000002</v>
      </c>
      <c r="D121" s="3303">
        <f>ROUND(0.937-0.0145*B117,4)</f>
        <v>0.92249999999999999</v>
      </c>
      <c r="E121" s="3303">
        <f t="shared" si="37"/>
        <v>0.92249999999999999</v>
      </c>
      <c r="F121" s="3303">
        <f t="shared" si="37"/>
        <v>0.92249999999999999</v>
      </c>
      <c r="G121" s="3303">
        <f t="shared" si="37"/>
        <v>0.92249999999999999</v>
      </c>
      <c r="H121" s="3303">
        <f t="shared" si="37"/>
        <v>0.92249999999999999</v>
      </c>
      <c r="I121" s="3303">
        <f>ROUND(0.7965-0.0185*B117,4)</f>
        <v>0.77800000000000002</v>
      </c>
      <c r="J121" s="3303">
        <f t="shared" si="36"/>
        <v>0.77800000000000002</v>
      </c>
      <c r="K121" s="3303">
        <f t="shared" si="36"/>
        <v>0.77800000000000002</v>
      </c>
      <c r="L121" s="3303">
        <f t="shared" si="36"/>
        <v>0.77800000000000002</v>
      </c>
      <c r="M121" s="3362">
        <f t="shared" si="36"/>
        <v>0.77800000000000002</v>
      </c>
    </row>
    <row r="122" spans="1:14" ht="13.5" thickBot="1">
      <c r="A122" s="3360" t="s">
        <v>3233</v>
      </c>
      <c r="B122" s="3363">
        <f>ROUND(0.7836-0.012*B117,4)</f>
        <v>0.77159999999999995</v>
      </c>
      <c r="C122" s="3363">
        <f>B122</f>
        <v>0.77159999999999995</v>
      </c>
      <c r="D122" s="3363">
        <f>ROUND(0.753-0.015*B117,4)</f>
        <v>0.73799999999999999</v>
      </c>
      <c r="E122" s="3363">
        <f>D122</f>
        <v>0.73799999999999999</v>
      </c>
      <c r="F122" s="3363">
        <f>E122</f>
        <v>0.73799999999999999</v>
      </c>
      <c r="G122" s="3363">
        <f>ROUND(0.6612-0.018*B117,4)</f>
        <v>0.64319999999999999</v>
      </c>
      <c r="H122" s="3363">
        <f>G122</f>
        <v>0.64319999999999999</v>
      </c>
      <c r="I122" s="3363">
        <f>ROUND(0.5905-0.019*B117,4)</f>
        <v>0.57150000000000001</v>
      </c>
      <c r="J122" s="3363">
        <f t="shared" si="36"/>
        <v>0.57150000000000001</v>
      </c>
      <c r="K122" s="3363">
        <f t="shared" si="36"/>
        <v>0.57150000000000001</v>
      </c>
      <c r="L122" s="3363">
        <f t="shared" si="36"/>
        <v>0.57150000000000001</v>
      </c>
      <c r="M122" s="3364">
        <f t="shared" si="36"/>
        <v>0.57150000000000001</v>
      </c>
    </row>
    <row r="123" spans="1:14" ht="12.75">
      <c r="A123" s="3361" t="s">
        <v>3214</v>
      </c>
      <c r="B123" s="3303">
        <f>ROUND(0.9404-0.0106*B117,4)</f>
        <v>0.92979999999999996</v>
      </c>
      <c r="C123" s="3303">
        <f>B123</f>
        <v>0.92979999999999996</v>
      </c>
      <c r="D123" s="3303">
        <f>ROUND(0.8955-0.0135*B117,4)</f>
        <v>0.88200000000000001</v>
      </c>
      <c r="E123" s="3303">
        <f t="shared" ref="E123:H123" si="38">D123</f>
        <v>0.88200000000000001</v>
      </c>
      <c r="F123" s="3303">
        <f t="shared" si="38"/>
        <v>0.88200000000000001</v>
      </c>
      <c r="G123" s="3303">
        <f t="shared" si="38"/>
        <v>0.88200000000000001</v>
      </c>
      <c r="H123" s="3303">
        <f t="shared" si="38"/>
        <v>0.88200000000000001</v>
      </c>
      <c r="I123" s="3303">
        <f>ROUND(0.7632-0.0166*B117,4)</f>
        <v>0.74660000000000004</v>
      </c>
      <c r="J123" s="3303">
        <f t="shared" si="36"/>
        <v>0.74660000000000004</v>
      </c>
      <c r="K123" s="3303">
        <f t="shared" si="36"/>
        <v>0.74660000000000004</v>
      </c>
      <c r="L123" s="3303">
        <f t="shared" si="36"/>
        <v>0.74660000000000004</v>
      </c>
      <c r="M123" s="3362">
        <f t="shared" si="36"/>
        <v>0.74660000000000004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3" priority="7" stopIfTrue="1" operator="notEqual">
      <formula>"——"</formula>
    </cfRule>
  </conditionalFormatting>
  <conditionalFormatting sqref="F61">
    <cfRule type="cellIs" dxfId="132" priority="6" stopIfTrue="1" operator="notEqual">
      <formula>"——"</formula>
    </cfRule>
  </conditionalFormatting>
  <conditionalFormatting sqref="F72">
    <cfRule type="cellIs" dxfId="131" priority="5" stopIfTrue="1" operator="notEqual">
      <formula>"——"</formula>
    </cfRule>
  </conditionalFormatting>
  <conditionalFormatting sqref="F83">
    <cfRule type="cellIs" dxfId="130" priority="4" stopIfTrue="1" operator="notEqual">
      <formula>"——"</formula>
    </cfRule>
  </conditionalFormatting>
  <conditionalFormatting sqref="H50:H58 H61:H69 H72:H80 H83:H91 H93:H102">
    <cfRule type="cellIs" dxfId="129"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5" zoomScale="85" zoomScaleNormal="50" zoomScaleSheetLayoutView="85" workbookViewId="0">
      <selection activeCell="G55" sqref="G55"/>
    </sheetView>
  </sheetViews>
  <sheetFormatPr defaultColWidth="9" defaultRowHeight="14.25"/>
  <cols>
    <col min="1" max="1" width="13.37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465</v>
      </c>
      <c r="B1" s="454"/>
      <c r="C1" s="455" t="s">
        <v>545</v>
      </c>
      <c r="D1" s="456" t="s">
        <v>467</v>
      </c>
      <c r="E1" s="674"/>
      <c r="F1" s="675"/>
      <c r="G1" s="674"/>
      <c r="H1" s="674"/>
      <c r="I1" s="674"/>
      <c r="J1" s="674"/>
      <c r="K1" s="676"/>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459">
        <f>F62</f>
        <v>10583</v>
      </c>
      <c r="C2" s="2728"/>
      <c r="D2" s="2728"/>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70" t="s">
        <v>1218</v>
      </c>
      <c r="B3" s="461">
        <f>ROUND(B2*10000/'数据-汇总表'!E3,0)</f>
        <v>21137</v>
      </c>
      <c r="C3" s="2727"/>
      <c r="D3" s="2727"/>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1673"/>
      <c r="AC3" s="1673"/>
    </row>
    <row r="4" spans="1:29" s="1129" customFormat="1" ht="28.5" customHeight="1">
      <c r="A4" s="462" t="s">
        <v>469</v>
      </c>
      <c r="B4" s="397">
        <f>IF(B43="单位面积地价",C45,ROUND(B2*10000/'数据-汇总表'!D3,0))</f>
        <v>6028</v>
      </c>
      <c r="C4" s="2727"/>
      <c r="D4" s="2727"/>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9"/>
      <c r="B5" s="400">
        <f>ROUND(B2/('数据-汇总表'!D3/666.67),0)</f>
        <v>402</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2719"/>
      <c r="AC5" s="1673"/>
    </row>
    <row r="6" spans="1:29" ht="15">
      <c r="A6" s="463" t="s">
        <v>470</v>
      </c>
      <c r="B6" s="464"/>
      <c r="C6" s="3732" t="s">
        <v>471</v>
      </c>
      <c r="D6" s="3733"/>
      <c r="E6" s="3769" t="s">
        <v>472</v>
      </c>
      <c r="F6" s="3770"/>
      <c r="G6" s="3732" t="s">
        <v>473</v>
      </c>
      <c r="H6" s="3733"/>
      <c r="I6" s="3732" t="s">
        <v>474</v>
      </c>
      <c r="J6" s="3733"/>
      <c r="K6" s="465" t="s">
        <v>475</v>
      </c>
      <c r="L6" s="1740"/>
      <c r="M6" s="1741"/>
      <c r="N6" s="1741"/>
      <c r="O6" s="1741"/>
      <c r="P6" s="3734" t="s">
        <v>476</v>
      </c>
      <c r="Q6" s="3735"/>
      <c r="R6" s="3718" t="s">
        <v>472</v>
      </c>
      <c r="S6" s="3719"/>
      <c r="T6" s="3718" t="s">
        <v>473</v>
      </c>
      <c r="U6" s="3719"/>
      <c r="V6" s="3740" t="s">
        <v>474</v>
      </c>
      <c r="W6" s="3740"/>
      <c r="X6" s="1301"/>
      <c r="Y6" s="3718" t="s">
        <v>476</v>
      </c>
      <c r="Z6" s="3719"/>
      <c r="AA6" s="3713" t="s">
        <v>472</v>
      </c>
      <c r="AB6" s="3714" t="s">
        <v>473</v>
      </c>
      <c r="AC6" s="3713" t="s">
        <v>474</v>
      </c>
    </row>
    <row r="7" spans="1:29" ht="15">
      <c r="A7" s="466"/>
      <c r="B7" s="467"/>
      <c r="C7" s="3743" t="s">
        <v>2186</v>
      </c>
      <c r="D7" s="3744"/>
      <c r="E7" s="3771" t="str">
        <f>'通兴房顺昌门出让-工业'!A13</f>
        <v>北京大兴国际机场综合保税区 DX12-0107-081-01地块W1物流用地</v>
      </c>
      <c r="F7" s="3772"/>
      <c r="G7" s="3743" t="str">
        <f>'通兴房顺昌门出让-工业'!A25</f>
        <v>北京大兴国际机场临空经济区0107-076、095地块W1一类物流仓储用地国有建设用地使用权出让</v>
      </c>
      <c r="H7" s="3744"/>
      <c r="I7" s="3743" t="str">
        <f>'通兴房顺昌门出让-工业'!A17</f>
        <v>北京大兴国际机场临空经济区DX12-0107-053地块</v>
      </c>
      <c r="J7" s="3744"/>
      <c r="K7" s="465"/>
      <c r="L7" s="1740"/>
      <c r="M7" s="1741"/>
      <c r="N7" s="1741"/>
      <c r="O7" s="1741"/>
      <c r="P7" s="3736"/>
      <c r="Q7" s="3737"/>
      <c r="R7" s="3720"/>
      <c r="S7" s="3721"/>
      <c r="T7" s="3720"/>
      <c r="U7" s="3721"/>
      <c r="V7" s="3740"/>
      <c r="W7" s="3740"/>
      <c r="X7" s="1301"/>
      <c r="Y7" s="3720"/>
      <c r="Z7" s="3721"/>
      <c r="AA7" s="3714"/>
      <c r="AB7" s="3714"/>
      <c r="AC7" s="3714"/>
    </row>
    <row r="8" spans="1:29" ht="15.75" thickBot="1">
      <c r="A8" s="468"/>
      <c r="B8" s="469"/>
      <c r="C8" s="3741" t="s">
        <v>2190</v>
      </c>
      <c r="D8" s="3742"/>
      <c r="E8" s="3773" t="s">
        <v>2190</v>
      </c>
      <c r="F8" s="3774"/>
      <c r="G8" s="3741" t="s">
        <v>2190</v>
      </c>
      <c r="H8" s="3742"/>
      <c r="I8" s="3741" t="s">
        <v>2190</v>
      </c>
      <c r="J8" s="3742"/>
      <c r="K8" s="465" t="s">
        <v>477</v>
      </c>
      <c r="L8" s="1740"/>
      <c r="M8" s="1741"/>
      <c r="N8" s="1741"/>
      <c r="O8" s="1741"/>
      <c r="P8" s="3738"/>
      <c r="Q8" s="3739"/>
      <c r="R8" s="3720"/>
      <c r="S8" s="3721"/>
      <c r="T8" s="3722"/>
      <c r="U8" s="3723"/>
      <c r="V8" s="3740"/>
      <c r="W8" s="3740"/>
      <c r="X8" s="1301"/>
      <c r="Y8" s="3722"/>
      <c r="Z8" s="3723"/>
      <c r="AA8" s="3715"/>
      <c r="AB8" s="3715"/>
      <c r="AC8" s="3715"/>
    </row>
    <row r="9" spans="1:29" s="1058" customFormat="1" ht="15.75" thickBot="1">
      <c r="A9" s="2208"/>
      <c r="B9" s="2215" t="s">
        <v>478</v>
      </c>
      <c r="C9" s="470">
        <f>'数据-取费表'!B2</f>
        <v>45196</v>
      </c>
      <c r="D9" s="471">
        <v>100</v>
      </c>
      <c r="E9" s="472">
        <f>'通兴房顺昌门出让-工业'!AC13</f>
        <v>44712.0004976852</v>
      </c>
      <c r="F9" s="473">
        <f>SUMIF(66:66,YEAR(E9)&amp;"-"&amp;INT((MONTH(E9)+2)/3),67:67)</f>
        <v>100</v>
      </c>
      <c r="G9" s="474">
        <f>'通兴房顺昌门出让-工业'!AC25</f>
        <v>44343.0004976852</v>
      </c>
      <c r="H9" s="471">
        <f>SUMIF(66:66,YEAR(G9)&amp;"-"&amp;INT((MONTH(G9)+2)/3),67:67)</f>
        <v>100</v>
      </c>
      <c r="I9" s="474">
        <f>'通兴房顺昌门出让-工业'!AC17</f>
        <v>44521.0004976852</v>
      </c>
      <c r="J9" s="471">
        <f>SUMIF(66:66,YEAR(I9)&amp;"-"&amp;INT((MONTH(I9)+2)/3),67:67)</f>
        <v>100</v>
      </c>
      <c r="K9" s="88"/>
      <c r="L9" s="1742"/>
      <c r="M9" s="1639"/>
      <c r="N9" s="1639"/>
      <c r="O9" s="1639"/>
      <c r="P9" s="3716" t="s">
        <v>479</v>
      </c>
      <c r="Q9" s="3725"/>
      <c r="R9" s="1302" t="s">
        <v>5</v>
      </c>
      <c r="S9" s="1303">
        <f t="shared" ref="S9:S17" si="0">F9</f>
        <v>100</v>
      </c>
      <c r="T9" s="1302" t="s">
        <v>5</v>
      </c>
      <c r="U9" s="1303">
        <f t="shared" ref="U9:U17" si="1">H9</f>
        <v>100</v>
      </c>
      <c r="V9" s="1302" t="s">
        <v>5</v>
      </c>
      <c r="W9" s="1303">
        <f t="shared" ref="W9:W17" si="2">J9</f>
        <v>100</v>
      </c>
      <c r="X9" s="1304"/>
      <c r="Y9" s="3716" t="s">
        <v>479</v>
      </c>
      <c r="Z9" s="3717"/>
      <c r="AA9" s="995">
        <f>D9/F9</f>
        <v>1</v>
      </c>
      <c r="AB9" s="995">
        <f>D9/H9</f>
        <v>1</v>
      </c>
      <c r="AC9" s="995">
        <f>D9/J9</f>
        <v>1</v>
      </c>
    </row>
    <row r="10" spans="1:29" s="1058" customFormat="1" ht="15.75" thickBot="1">
      <c r="A10" s="2209"/>
      <c r="B10" s="2216" t="s">
        <v>480</v>
      </c>
      <c r="C10" s="475" t="s">
        <v>481</v>
      </c>
      <c r="D10" s="471">
        <v>100</v>
      </c>
      <c r="E10" s="475" t="s">
        <v>3776</v>
      </c>
      <c r="F10" s="473">
        <f>SUMIF(69:69,E10,70:70)-SUMIF(69:69,C10,70:70)+100</f>
        <v>100</v>
      </c>
      <c r="G10" s="475" t="s">
        <v>3776</v>
      </c>
      <c r="H10" s="471">
        <f>SUMIF(69:69,G10,70:70)-SUMIF(69:69,C10,70:70)+100</f>
        <v>100</v>
      </c>
      <c r="I10" s="475" t="s">
        <v>3776</v>
      </c>
      <c r="J10" s="471">
        <f>SUMIF(69:69,I10,70:70)-SUMIF(69:69,C10,70:70)+100</f>
        <v>100</v>
      </c>
      <c r="K10" s="88"/>
      <c r="L10" s="1742"/>
      <c r="M10" s="1639"/>
      <c r="N10" s="1639"/>
      <c r="O10" s="1639"/>
      <c r="P10" s="3716" t="s">
        <v>482</v>
      </c>
      <c r="Q10" s="3717"/>
      <c r="R10" s="1302" t="s">
        <v>5</v>
      </c>
      <c r="S10" s="1303">
        <f t="shared" si="0"/>
        <v>100</v>
      </c>
      <c r="T10" s="1302" t="s">
        <v>5</v>
      </c>
      <c r="U10" s="1303">
        <f t="shared" si="1"/>
        <v>100</v>
      </c>
      <c r="V10" s="1302" t="s">
        <v>5</v>
      </c>
      <c r="W10" s="1303">
        <f t="shared" si="2"/>
        <v>100</v>
      </c>
      <c r="X10" s="1304"/>
      <c r="Y10" s="3716" t="s">
        <v>482</v>
      </c>
      <c r="Z10" s="3717"/>
      <c r="AA10" s="995">
        <f t="shared" ref="AA10:AA42" si="3">D10/F10</f>
        <v>1</v>
      </c>
      <c r="AB10" s="995">
        <f t="shared" ref="AB10:AB42" si="4">D10/H10</f>
        <v>1</v>
      </c>
      <c r="AC10" s="995">
        <f t="shared" ref="AC10:AC42" si="5">D10/J10</f>
        <v>1</v>
      </c>
    </row>
    <row r="11" spans="1:29" s="1058" customFormat="1" ht="15">
      <c r="A11" s="2210"/>
      <c r="B11" s="2217" t="s">
        <v>2035</v>
      </c>
      <c r="C11" s="476" t="s">
        <v>2737</v>
      </c>
      <c r="D11" s="154">
        <v>100</v>
      </c>
      <c r="E11" s="476" t="s">
        <v>3444</v>
      </c>
      <c r="F11" s="154">
        <f>SUMIF(71:71,E11,72:72)-SUMIF(71:71,C11,72:72)+100</f>
        <v>100</v>
      </c>
      <c r="G11" s="476" t="s">
        <v>3515</v>
      </c>
      <c r="H11" s="154">
        <f>SUMIF(71:71,G11,72:72)-SUMIF(71:71,C11,72:72)+100</f>
        <v>100</v>
      </c>
      <c r="I11" s="476" t="s">
        <v>3444</v>
      </c>
      <c r="J11" s="154">
        <f>SUMIF(71:71,I11,72:72)-SUMIF(71:71,C11,72:72)+100</f>
        <v>100</v>
      </c>
      <c r="K11" s="88"/>
      <c r="L11" s="1742"/>
      <c r="M11" s="1639"/>
      <c r="N11" s="1639"/>
      <c r="O11" s="1743"/>
      <c r="P11" s="3724" t="s">
        <v>484</v>
      </c>
      <c r="Q11" s="816" t="str">
        <f t="shared" ref="Q11:Q17" si="6">B11</f>
        <v>用途</v>
      </c>
      <c r="R11" s="1302" t="s">
        <v>5</v>
      </c>
      <c r="S11" s="1303">
        <f t="shared" si="0"/>
        <v>100</v>
      </c>
      <c r="T11" s="1302" t="s">
        <v>5</v>
      </c>
      <c r="U11" s="1303">
        <f t="shared" si="1"/>
        <v>100</v>
      </c>
      <c r="V11" s="1302" t="s">
        <v>5</v>
      </c>
      <c r="W11" s="1303">
        <f t="shared" si="2"/>
        <v>100</v>
      </c>
      <c r="X11" s="1304"/>
      <c r="Y11" s="3672" t="s">
        <v>485</v>
      </c>
      <c r="Z11" s="995" t="str">
        <f t="shared" ref="Z11:Z17" si="7">Q11</f>
        <v>用途</v>
      </c>
      <c r="AA11" s="995">
        <f t="shared" si="3"/>
        <v>1</v>
      </c>
      <c r="AB11" s="995">
        <f t="shared" si="4"/>
        <v>1</v>
      </c>
      <c r="AC11" s="995">
        <f t="shared" si="5"/>
        <v>1</v>
      </c>
    </row>
    <row r="12" spans="1:29" s="1131" customFormat="1" ht="27">
      <c r="A12" s="2211"/>
      <c r="B12" s="2216" t="s">
        <v>2036</v>
      </c>
      <c r="C12" s="478"/>
      <c r="D12" s="235">
        <v>100</v>
      </c>
      <c r="E12" s="478"/>
      <c r="F12" s="235">
        <f>ROUND(100/'数据-取费表'!G16,0)</f>
        <v>100</v>
      </c>
      <c r="G12" s="478"/>
      <c r="H12" s="235">
        <f>ROUND(100/'数据-取费表'!G16,0)</f>
        <v>100</v>
      </c>
      <c r="I12" s="478"/>
      <c r="J12" s="235">
        <f>ROUND(100/'数据-取费表'!G16,0)</f>
        <v>100</v>
      </c>
      <c r="K12" s="481"/>
      <c r="L12" s="1744"/>
      <c r="M12" s="1777"/>
      <c r="N12" s="1777"/>
      <c r="O12" s="1745"/>
      <c r="P12" s="3724"/>
      <c r="Q12" s="816" t="str">
        <f t="shared" si="6"/>
        <v>土地使用年限（年）</v>
      </c>
      <c r="R12" s="1302" t="s">
        <v>5</v>
      </c>
      <c r="S12" s="1303">
        <f t="shared" si="0"/>
        <v>100</v>
      </c>
      <c r="T12" s="1302" t="s">
        <v>5</v>
      </c>
      <c r="U12" s="1303">
        <f t="shared" si="1"/>
        <v>100</v>
      </c>
      <c r="V12" s="1302" t="s">
        <v>5</v>
      </c>
      <c r="W12" s="1303">
        <f t="shared" si="2"/>
        <v>100</v>
      </c>
      <c r="X12" s="1304"/>
      <c r="Y12" s="3672"/>
      <c r="Z12" s="995" t="str">
        <f t="shared" si="7"/>
        <v>土地使用年限（年）</v>
      </c>
      <c r="AA12" s="995">
        <f t="shared" si="3"/>
        <v>1</v>
      </c>
      <c r="AB12" s="995">
        <f t="shared" si="4"/>
        <v>1</v>
      </c>
      <c r="AC12" s="995">
        <f t="shared" si="5"/>
        <v>1</v>
      </c>
    </row>
    <row r="13" spans="1:29" ht="15">
      <c r="A13" s="2212"/>
      <c r="B13" s="2216" t="s">
        <v>2037</v>
      </c>
      <c r="C13" s="483"/>
      <c r="D13" s="235">
        <v>100</v>
      </c>
      <c r="E13" s="483"/>
      <c r="F13" s="235">
        <f>LOOKUP(E13,76:76,77:77)-LOOKUP(C13,76:76,77:77)+100</f>
        <v>100</v>
      </c>
      <c r="G13" s="484"/>
      <c r="H13" s="235">
        <f>LOOKUP(G13,76:76,77:77)-LOOKUP(C13,76:76,77:77)+100</f>
        <v>100</v>
      </c>
      <c r="I13" s="483"/>
      <c r="J13" s="235">
        <f>LOOKUP(I13,76:76,77:77)-LOOKUP(C13,76:76,77:77)+100</f>
        <v>100</v>
      </c>
      <c r="K13" s="485"/>
      <c r="L13" s="1746"/>
      <c r="M13" s="1741"/>
      <c r="N13" s="1741"/>
      <c r="O13" s="1747"/>
      <c r="P13" s="3724"/>
      <c r="Q13" s="816" t="str">
        <f t="shared" si="6"/>
        <v>容积率</v>
      </c>
      <c r="R13" s="1302" t="s">
        <v>5</v>
      </c>
      <c r="S13" s="1303">
        <f t="shared" si="0"/>
        <v>100</v>
      </c>
      <c r="T13" s="1302" t="s">
        <v>5</v>
      </c>
      <c r="U13" s="1303">
        <f t="shared" si="1"/>
        <v>100</v>
      </c>
      <c r="V13" s="1302" t="s">
        <v>5</v>
      </c>
      <c r="W13" s="1303">
        <f t="shared" si="2"/>
        <v>100</v>
      </c>
      <c r="X13" s="1304"/>
      <c r="Y13" s="3672"/>
      <c r="Z13" s="995" t="str">
        <f t="shared" si="7"/>
        <v>容积率</v>
      </c>
      <c r="AA13" s="995">
        <f t="shared" si="3"/>
        <v>1</v>
      </c>
      <c r="AB13" s="995">
        <f t="shared" si="4"/>
        <v>1</v>
      </c>
      <c r="AC13" s="995">
        <f t="shared" si="5"/>
        <v>1</v>
      </c>
    </row>
    <row r="14" spans="1:29" s="1058" customFormat="1" ht="15">
      <c r="A14" s="2213"/>
      <c r="B14" s="2219"/>
      <c r="C14" s="478"/>
      <c r="D14" s="488">
        <v>100</v>
      </c>
      <c r="E14" s="491"/>
      <c r="F14" s="235">
        <f>SUMIF(78:78,E14,79:79)-SUMIF(78:78,C14,79:79)+100</f>
        <v>100</v>
      </c>
      <c r="G14" s="492"/>
      <c r="H14" s="235">
        <f>SUMIF(78:78,G14,79:79)-SUMIF(78:78,C14,79:79)+100</f>
        <v>100</v>
      </c>
      <c r="I14" s="491"/>
      <c r="J14" s="235">
        <f>SUMIF(78:78,I14,79:79)-SUMIF(78:78,C14,79:79)+100</f>
        <v>100</v>
      </c>
      <c r="K14" s="481"/>
      <c r="L14" s="1742"/>
      <c r="M14" s="1639"/>
      <c r="N14" s="1639"/>
      <c r="O14" s="1743"/>
      <c r="P14" s="3724"/>
      <c r="Q14" s="816">
        <f t="shared" si="6"/>
        <v>0</v>
      </c>
      <c r="R14" s="1302" t="s">
        <v>5</v>
      </c>
      <c r="S14" s="1303">
        <f t="shared" si="0"/>
        <v>100</v>
      </c>
      <c r="T14" s="1302" t="s">
        <v>5</v>
      </c>
      <c r="U14" s="1303">
        <f t="shared" si="1"/>
        <v>100</v>
      </c>
      <c r="V14" s="1302" t="s">
        <v>5</v>
      </c>
      <c r="W14" s="1303">
        <f t="shared" si="2"/>
        <v>100</v>
      </c>
      <c r="X14" s="1304"/>
      <c r="Y14" s="3672"/>
      <c r="Z14" s="995">
        <f t="shared" si="7"/>
        <v>0</v>
      </c>
      <c r="AA14" s="995">
        <f>D14/F14</f>
        <v>1</v>
      </c>
      <c r="AB14" s="995">
        <f>D14/H14</f>
        <v>1</v>
      </c>
      <c r="AC14" s="995">
        <f>D14/J14</f>
        <v>1</v>
      </c>
    </row>
    <row r="15" spans="1:29" ht="15">
      <c r="A15" s="2213"/>
      <c r="B15" s="2219"/>
      <c r="C15" s="489"/>
      <c r="D15" s="490">
        <v>100</v>
      </c>
      <c r="E15" s="491"/>
      <c r="F15" s="235">
        <f>SUMIF(80:80,E15,81:81)-SUMIF(80:80,C15,81:81)+100</f>
        <v>100</v>
      </c>
      <c r="G15" s="492"/>
      <c r="H15" s="490">
        <f>SUMIF(80:80,G15,81:81)-SUMIF(80:80,C15,81:81)+100</f>
        <v>100</v>
      </c>
      <c r="I15" s="491"/>
      <c r="J15" s="490">
        <f>SUMIF(80:80,I15,81:81)-SUMIF(80:80,C15,81:81)+100</f>
        <v>100</v>
      </c>
      <c r="K15" s="481"/>
      <c r="L15" s="1748"/>
      <c r="M15" s="1741"/>
      <c r="N15" s="1741"/>
      <c r="O15" s="1747"/>
      <c r="P15" s="3724"/>
      <c r="Q15" s="816">
        <f t="shared" si="6"/>
        <v>0</v>
      </c>
      <c r="R15" s="1302" t="s">
        <v>5</v>
      </c>
      <c r="S15" s="1303">
        <f t="shared" si="0"/>
        <v>100</v>
      </c>
      <c r="T15" s="1302" t="s">
        <v>5</v>
      </c>
      <c r="U15" s="1303">
        <f t="shared" si="1"/>
        <v>100</v>
      </c>
      <c r="V15" s="1302" t="s">
        <v>5</v>
      </c>
      <c r="W15" s="1303">
        <f t="shared" si="2"/>
        <v>100</v>
      </c>
      <c r="X15" s="1304"/>
      <c r="Y15" s="3672"/>
      <c r="Z15" s="995">
        <f t="shared" si="7"/>
        <v>0</v>
      </c>
      <c r="AA15" s="995">
        <f t="shared" si="3"/>
        <v>1</v>
      </c>
      <c r="AB15" s="995">
        <f t="shared" si="4"/>
        <v>1</v>
      </c>
      <c r="AC15" s="995">
        <f t="shared" si="5"/>
        <v>1</v>
      </c>
    </row>
    <row r="16" spans="1:29" ht="15.75" thickBot="1">
      <c r="A16" s="2214"/>
      <c r="B16" s="2220"/>
      <c r="C16" s="495"/>
      <c r="D16" s="496">
        <v>100</v>
      </c>
      <c r="E16" s="491"/>
      <c r="F16" s="496">
        <f>SUMIF(82:82,E16,83:83)-SUMIF(82:82,C16,83:83)+100</f>
        <v>100</v>
      </c>
      <c r="G16" s="492"/>
      <c r="H16" s="496">
        <f>SUMIF(82:82,G16,83:83)-SUMIF(82:82,C16,83:83)+100</f>
        <v>100</v>
      </c>
      <c r="I16" s="491"/>
      <c r="J16" s="496">
        <f>SUMIF(82:82,I16,83:83)-SUMIF(82:82,C16,83:83)+100</f>
        <v>100</v>
      </c>
      <c r="K16" s="481"/>
      <c r="L16" s="1748"/>
      <c r="M16" s="1741"/>
      <c r="N16" s="1741"/>
      <c r="O16" s="1747"/>
      <c r="P16" s="3724"/>
      <c r="Q16" s="816">
        <f t="shared" si="6"/>
        <v>0</v>
      </c>
      <c r="R16" s="1302" t="s">
        <v>5</v>
      </c>
      <c r="S16" s="1303">
        <f t="shared" si="0"/>
        <v>100</v>
      </c>
      <c r="T16" s="1302" t="s">
        <v>5</v>
      </c>
      <c r="U16" s="1303">
        <f t="shared" si="1"/>
        <v>100</v>
      </c>
      <c r="V16" s="1302" t="s">
        <v>5</v>
      </c>
      <c r="W16" s="1303">
        <f t="shared" si="2"/>
        <v>100</v>
      </c>
      <c r="X16" s="1304"/>
      <c r="Y16" s="3672"/>
      <c r="Z16" s="995">
        <f t="shared" si="7"/>
        <v>0</v>
      </c>
      <c r="AA16" s="995">
        <f t="shared" si="3"/>
        <v>1</v>
      </c>
      <c r="AB16" s="995">
        <f t="shared" si="4"/>
        <v>1</v>
      </c>
      <c r="AC16" s="995">
        <f t="shared" si="5"/>
        <v>1</v>
      </c>
    </row>
    <row r="17" spans="1:29" ht="57">
      <c r="A17" s="2206" t="s">
        <v>2033</v>
      </c>
      <c r="B17" s="150" t="s">
        <v>546</v>
      </c>
      <c r="C17" s="841"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8"/>
      <c r="M17" s="1741"/>
      <c r="N17" s="1741"/>
      <c r="O17" s="1747"/>
      <c r="P17" s="3726" t="s">
        <v>489</v>
      </c>
      <c r="Q17" s="1305" t="str">
        <f t="shared" si="6"/>
        <v>产业集聚程度</v>
      </c>
      <c r="R17" s="1306" t="s">
        <v>5</v>
      </c>
      <c r="S17" s="1307">
        <f t="shared" si="0"/>
        <v>100</v>
      </c>
      <c r="T17" s="1306" t="s">
        <v>5</v>
      </c>
      <c r="U17" s="1307">
        <f t="shared" si="1"/>
        <v>100</v>
      </c>
      <c r="V17" s="1306" t="s">
        <v>5</v>
      </c>
      <c r="W17" s="1307">
        <f t="shared" si="2"/>
        <v>100</v>
      </c>
      <c r="X17" s="1301"/>
      <c r="Y17" s="3726" t="s">
        <v>489</v>
      </c>
      <c r="Z17" s="1308" t="str">
        <f t="shared" si="7"/>
        <v>产业集聚程度</v>
      </c>
      <c r="AA17" s="1308">
        <f t="shared" si="3"/>
        <v>1</v>
      </c>
      <c r="AB17" s="1308">
        <f t="shared" si="4"/>
        <v>1</v>
      </c>
      <c r="AC17" s="1308">
        <f t="shared" si="5"/>
        <v>1</v>
      </c>
    </row>
    <row r="18" spans="1:29" ht="15">
      <c r="A18" s="482"/>
      <c r="B18" s="797"/>
      <c r="C18" s="526"/>
      <c r="D18" s="505"/>
      <c r="E18" s="504"/>
      <c r="F18" s="505"/>
      <c r="G18" s="504"/>
      <c r="H18" s="509"/>
      <c r="I18" s="504"/>
      <c r="J18" s="505"/>
      <c r="K18" s="481"/>
      <c r="L18" s="1748"/>
      <c r="M18" s="1741"/>
      <c r="N18" s="1741"/>
      <c r="O18" s="1747"/>
      <c r="P18" s="3727"/>
      <c r="Q18" s="1305"/>
      <c r="R18" s="1306"/>
      <c r="S18" s="1307"/>
      <c r="T18" s="1306"/>
      <c r="U18" s="1307"/>
      <c r="V18" s="1306"/>
      <c r="W18" s="1307"/>
      <c r="X18" s="1301"/>
      <c r="Y18" s="3727"/>
      <c r="Z18" s="1308"/>
      <c r="AA18" s="1308">
        <v>1</v>
      </c>
      <c r="AB18" s="1308">
        <v>1</v>
      </c>
      <c r="AC18" s="1308">
        <v>1</v>
      </c>
    </row>
    <row r="19" spans="1:29" ht="85.5">
      <c r="A19" s="482"/>
      <c r="B19" s="677" t="s">
        <v>492</v>
      </c>
      <c r="C19" s="799"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8"/>
      <c r="M19" s="1741"/>
      <c r="N19" s="1741"/>
      <c r="O19" s="1747"/>
      <c r="P19" s="3727"/>
      <c r="Q19" s="1305" t="str">
        <f>B19</f>
        <v>交通便捷度</v>
      </c>
      <c r="R19" s="1306" t="s">
        <v>5</v>
      </c>
      <c r="S19" s="1307">
        <f>F19</f>
        <v>100</v>
      </c>
      <c r="T19" s="1306" t="s">
        <v>5</v>
      </c>
      <c r="U19" s="1307">
        <f>H19</f>
        <v>100</v>
      </c>
      <c r="V19" s="1306" t="s">
        <v>5</v>
      </c>
      <c r="W19" s="1307">
        <f>J19</f>
        <v>100</v>
      </c>
      <c r="X19" s="1301"/>
      <c r="Y19" s="3727"/>
      <c r="Z19" s="1308" t="str">
        <f>Q19</f>
        <v>交通便捷度</v>
      </c>
      <c r="AA19" s="1308">
        <f t="shared" si="3"/>
        <v>1</v>
      </c>
      <c r="AB19" s="1308">
        <f t="shared" si="4"/>
        <v>1</v>
      </c>
      <c r="AC19" s="1308">
        <f t="shared" si="5"/>
        <v>1</v>
      </c>
    </row>
    <row r="20" spans="1:29" ht="15">
      <c r="A20" s="482"/>
      <c r="B20" s="842"/>
      <c r="C20" s="526"/>
      <c r="D20" s="505"/>
      <c r="E20" s="506"/>
      <c r="F20" s="505"/>
      <c r="G20" s="506"/>
      <c r="H20" s="505"/>
      <c r="I20" s="508"/>
      <c r="J20" s="505"/>
      <c r="K20" s="481"/>
      <c r="L20" s="1748"/>
      <c r="M20" s="1741"/>
      <c r="N20" s="1741"/>
      <c r="O20" s="1747"/>
      <c r="P20" s="3727"/>
      <c r="Q20" s="1305"/>
      <c r="R20" s="1306"/>
      <c r="S20" s="1307"/>
      <c r="T20" s="1306"/>
      <c r="U20" s="1307"/>
      <c r="V20" s="1306"/>
      <c r="W20" s="1307"/>
      <c r="X20" s="1301"/>
      <c r="Y20" s="3727"/>
      <c r="Z20" s="1308"/>
      <c r="AA20" s="1308">
        <v>1</v>
      </c>
      <c r="AB20" s="1308">
        <v>1</v>
      </c>
      <c r="AC20" s="1308">
        <v>1</v>
      </c>
    </row>
    <row r="21" spans="1:29" ht="27">
      <c r="A21" s="466"/>
      <c r="B21" s="677" t="s">
        <v>493</v>
      </c>
      <c r="C21" s="799">
        <f>估价对象房地状况!G17</f>
        <v>0</v>
      </c>
      <c r="D21" s="509">
        <v>100</v>
      </c>
      <c r="E21" s="512"/>
      <c r="F21" s="513">
        <f>SUMIF(88:88,E22,89:89)-SUMIF(88:88,C22,89:89)+100</f>
        <v>100</v>
      </c>
      <c r="G21" s="514"/>
      <c r="H21" s="513">
        <f>SUMIF(88:88,G22,89:89)-SUMIF(88:88,C22,89:89)+100</f>
        <v>100</v>
      </c>
      <c r="I21" s="514"/>
      <c r="J21" s="513">
        <f>SUMIF(88:88,I22,89:89)-SUMIF(88:88,C22,89:89)+100</f>
        <v>100</v>
      </c>
      <c r="K21" s="918"/>
      <c r="L21" s="1748"/>
      <c r="M21" s="1741"/>
      <c r="N21" s="1741"/>
      <c r="O21" s="1747"/>
      <c r="P21" s="3727"/>
      <c r="Q21" s="1305" t="str">
        <f t="shared" ref="Q21:Q35" si="8">B21</f>
        <v>区域土地利用方向</v>
      </c>
      <c r="R21" s="1306" t="s">
        <v>5</v>
      </c>
      <c r="S21" s="1307">
        <f>F21</f>
        <v>100</v>
      </c>
      <c r="T21" s="1306" t="s">
        <v>5</v>
      </c>
      <c r="U21" s="1307">
        <f>H21</f>
        <v>100</v>
      </c>
      <c r="V21" s="1306" t="s">
        <v>5</v>
      </c>
      <c r="W21" s="1307">
        <f>J21</f>
        <v>100</v>
      </c>
      <c r="X21" s="1301"/>
      <c r="Y21" s="3727"/>
      <c r="Z21" s="1308" t="str">
        <f>Q21</f>
        <v>区域土地利用方向</v>
      </c>
      <c r="AA21" s="1308">
        <f t="shared" si="3"/>
        <v>1</v>
      </c>
      <c r="AB21" s="1308">
        <f t="shared" si="4"/>
        <v>1</v>
      </c>
      <c r="AC21" s="1308">
        <f t="shared" si="5"/>
        <v>1</v>
      </c>
    </row>
    <row r="22" spans="1:29" ht="15">
      <c r="A22" s="466"/>
      <c r="B22" s="544"/>
      <c r="C22" s="526"/>
      <c r="D22" s="505"/>
      <c r="E22" s="506"/>
      <c r="F22" s="507"/>
      <c r="G22" s="508"/>
      <c r="H22" s="507"/>
      <c r="I22" s="508"/>
      <c r="J22" s="507"/>
      <c r="K22" s="1140"/>
      <c r="L22" s="1748"/>
      <c r="M22" s="1741"/>
      <c r="N22" s="1741"/>
      <c r="O22" s="1747"/>
      <c r="P22" s="3727"/>
      <c r="Q22" s="1305"/>
      <c r="R22" s="1306"/>
      <c r="S22" s="1307"/>
      <c r="T22" s="1306"/>
      <c r="U22" s="1307"/>
      <c r="V22" s="1306"/>
      <c r="W22" s="1307"/>
      <c r="X22" s="1301"/>
      <c r="Y22" s="3727"/>
      <c r="Z22" s="1308"/>
      <c r="AA22" s="1308"/>
      <c r="AB22" s="1308"/>
      <c r="AC22" s="1308"/>
    </row>
    <row r="23" spans="1:29" ht="71.25">
      <c r="A23" s="466"/>
      <c r="B23" s="842" t="s">
        <v>547</v>
      </c>
      <c r="C23" s="799"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8"/>
      <c r="M23" s="1741"/>
      <c r="N23" s="1741"/>
      <c r="O23" s="1747"/>
      <c r="P23" s="3727"/>
      <c r="Q23" s="1305" t="str">
        <f t="shared" si="8"/>
        <v>环境状况</v>
      </c>
      <c r="R23" s="1306" t="s">
        <v>5</v>
      </c>
      <c r="S23" s="1307">
        <f>F23</f>
        <v>100</v>
      </c>
      <c r="T23" s="1306" t="s">
        <v>5</v>
      </c>
      <c r="U23" s="1307">
        <f>H23</f>
        <v>100</v>
      </c>
      <c r="V23" s="1306" t="s">
        <v>5</v>
      </c>
      <c r="W23" s="1307">
        <f>J23</f>
        <v>100</v>
      </c>
      <c r="X23" s="1301"/>
      <c r="Y23" s="3727"/>
      <c r="Z23" s="1308" t="str">
        <f>Q23</f>
        <v>环境状况</v>
      </c>
      <c r="AA23" s="1308">
        <f t="shared" si="3"/>
        <v>1</v>
      </c>
      <c r="AB23" s="1308">
        <f t="shared" si="4"/>
        <v>1</v>
      </c>
      <c r="AC23" s="1308">
        <f t="shared" si="5"/>
        <v>1</v>
      </c>
    </row>
    <row r="24" spans="1:29" ht="15">
      <c r="A24" s="466"/>
      <c r="B24" s="544"/>
      <c r="C24" s="526"/>
      <c r="D24" s="505"/>
      <c r="E24" s="504"/>
      <c r="F24" s="505"/>
      <c r="G24" s="504"/>
      <c r="H24" s="505"/>
      <c r="I24" s="526"/>
      <c r="J24" s="505"/>
      <c r="K24" s="481"/>
      <c r="L24" s="1748"/>
      <c r="M24" s="1741"/>
      <c r="N24" s="1741"/>
      <c r="O24" s="1747"/>
      <c r="P24" s="3727"/>
      <c r="Q24" s="1305"/>
      <c r="R24" s="1306"/>
      <c r="S24" s="1307"/>
      <c r="T24" s="1306"/>
      <c r="U24" s="1307"/>
      <c r="V24" s="1306"/>
      <c r="W24" s="1307"/>
      <c r="X24" s="1301"/>
      <c r="Y24" s="3727"/>
      <c r="Z24" s="1308"/>
      <c r="AA24" s="1308">
        <v>1</v>
      </c>
      <c r="AB24" s="1308">
        <v>1</v>
      </c>
      <c r="AC24" s="1308">
        <v>1</v>
      </c>
    </row>
    <row r="25" spans="1:29" s="1058" customFormat="1" ht="42.75">
      <c r="A25" s="527"/>
      <c r="B25" s="2051" t="s">
        <v>1828</v>
      </c>
      <c r="C25" s="799"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2"/>
      <c r="M25" s="1639"/>
      <c r="N25" s="1639"/>
      <c r="O25" s="1743"/>
      <c r="P25" s="3727"/>
      <c r="Q25" s="816" t="str">
        <f t="shared" si="8"/>
        <v>公共配套设施</v>
      </c>
      <c r="R25" s="1302" t="s">
        <v>5</v>
      </c>
      <c r="S25" s="1303">
        <f>F25</f>
        <v>100</v>
      </c>
      <c r="T25" s="1302" t="s">
        <v>5</v>
      </c>
      <c r="U25" s="1303">
        <f>H25</f>
        <v>100</v>
      </c>
      <c r="V25" s="1302" t="s">
        <v>5</v>
      </c>
      <c r="W25" s="1303">
        <f>J25</f>
        <v>100</v>
      </c>
      <c r="X25" s="1304"/>
      <c r="Y25" s="3727"/>
      <c r="Z25" s="995" t="str">
        <f>Q25</f>
        <v>公共配套设施</v>
      </c>
      <c r="AA25" s="1308">
        <f>D25/F25</f>
        <v>1</v>
      </c>
      <c r="AB25" s="1308">
        <f>D25/H25</f>
        <v>1</v>
      </c>
      <c r="AC25" s="1308">
        <f>D25/J25</f>
        <v>1</v>
      </c>
    </row>
    <row r="26" spans="1:29" s="1058" customFormat="1" ht="15">
      <c r="A26" s="527"/>
      <c r="B26" s="544"/>
      <c r="C26" s="2050"/>
      <c r="D26" s="505"/>
      <c r="E26" s="504"/>
      <c r="F26" s="505"/>
      <c r="G26" s="504"/>
      <c r="H26" s="505"/>
      <c r="I26" s="526"/>
      <c r="J26" s="505"/>
      <c r="K26" s="481"/>
      <c r="L26" s="1742"/>
      <c r="M26" s="1639"/>
      <c r="N26" s="1639"/>
      <c r="O26" s="1743"/>
      <c r="P26" s="3727"/>
      <c r="Q26" s="816"/>
      <c r="R26" s="1302"/>
      <c r="S26" s="1303"/>
      <c r="T26" s="1302"/>
      <c r="U26" s="1303"/>
      <c r="V26" s="1302"/>
      <c r="W26" s="1303"/>
      <c r="X26" s="1304"/>
      <c r="Y26" s="3727"/>
      <c r="Z26" s="995"/>
      <c r="AA26" s="995">
        <v>1</v>
      </c>
      <c r="AB26" s="995">
        <v>1</v>
      </c>
      <c r="AC26" s="995">
        <v>1</v>
      </c>
    </row>
    <row r="27" spans="1:29" s="1058" customFormat="1" ht="28.5">
      <c r="A27" s="527"/>
      <c r="B27" s="2051" t="s">
        <v>1829</v>
      </c>
      <c r="C27" s="799"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2"/>
      <c r="M27" s="1639"/>
      <c r="N27" s="1639"/>
      <c r="O27" s="1743"/>
      <c r="P27" s="3727"/>
      <c r="Q27" s="816" t="str">
        <f>B27</f>
        <v>基础设施水平</v>
      </c>
      <c r="R27" s="1302" t="s">
        <v>5</v>
      </c>
      <c r="S27" s="1303">
        <f>F27</f>
        <v>100</v>
      </c>
      <c r="T27" s="1302" t="s">
        <v>5</v>
      </c>
      <c r="U27" s="1303">
        <f>H27</f>
        <v>100</v>
      </c>
      <c r="V27" s="1302" t="s">
        <v>5</v>
      </c>
      <c r="W27" s="1303">
        <f>J27</f>
        <v>100</v>
      </c>
      <c r="X27" s="1304"/>
      <c r="Y27" s="3727"/>
      <c r="Z27" s="995" t="str">
        <f>Q27</f>
        <v>基础设施水平</v>
      </c>
      <c r="AA27" s="1308">
        <f>D27/F27</f>
        <v>1</v>
      </c>
      <c r="AB27" s="1308">
        <f>D27/H27</f>
        <v>1</v>
      </c>
      <c r="AC27" s="1308">
        <f>D27/J27</f>
        <v>1</v>
      </c>
    </row>
    <row r="28" spans="1:29" s="1058" customFormat="1" ht="15">
      <c r="A28" s="527"/>
      <c r="B28" s="544"/>
      <c r="C28" s="2050"/>
      <c r="D28" s="505"/>
      <c r="E28" s="529"/>
      <c r="F28" s="505"/>
      <c r="G28" s="529"/>
      <c r="H28" s="505"/>
      <c r="I28" s="529"/>
      <c r="J28" s="505"/>
      <c r="K28" s="481"/>
      <c r="L28" s="1742"/>
      <c r="M28" s="1639"/>
      <c r="N28" s="1639"/>
      <c r="O28" s="1743"/>
      <c r="P28" s="3727"/>
      <c r="Q28" s="816"/>
      <c r="R28" s="1302"/>
      <c r="S28" s="1303"/>
      <c r="T28" s="1302"/>
      <c r="U28" s="1303"/>
      <c r="V28" s="1302"/>
      <c r="W28" s="1303"/>
      <c r="X28" s="1304"/>
      <c r="Y28" s="3727"/>
      <c r="Z28" s="995"/>
      <c r="AA28" s="995">
        <v>1</v>
      </c>
      <c r="AB28" s="995">
        <v>1</v>
      </c>
      <c r="AC28" s="995">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8"/>
      <c r="M29" s="1741"/>
      <c r="N29" s="1741"/>
      <c r="O29" s="1747"/>
      <c r="P29" s="3727"/>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727"/>
      <c r="Z29" s="1308" t="str">
        <f t="shared" ref="Z29:Z42" si="12">Q29</f>
        <v>临街状况</v>
      </c>
      <c r="AA29" s="1308">
        <f t="shared" si="3"/>
        <v>1</v>
      </c>
      <c r="AB29" s="1308">
        <f t="shared" si="4"/>
        <v>1</v>
      </c>
      <c r="AC29" s="1308">
        <f t="shared" si="5"/>
        <v>1</v>
      </c>
    </row>
    <row r="30" spans="1:29" ht="27">
      <c r="A30" s="482"/>
      <c r="B30" s="842" t="s">
        <v>497</v>
      </c>
      <c r="C30" s="2053">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8"/>
      <c r="M30" s="1741"/>
      <c r="N30" s="1741"/>
      <c r="O30" s="1747"/>
      <c r="P30" s="3727"/>
      <c r="Q30" s="1305" t="str">
        <f t="shared" si="8"/>
        <v>毗邻道路的类型与等级</v>
      </c>
      <c r="R30" s="1306" t="s">
        <v>5</v>
      </c>
      <c r="S30" s="1307">
        <f t="shared" si="9"/>
        <v>100</v>
      </c>
      <c r="T30" s="1306" t="s">
        <v>5</v>
      </c>
      <c r="U30" s="1307">
        <f t="shared" si="10"/>
        <v>100</v>
      </c>
      <c r="V30" s="1306" t="s">
        <v>5</v>
      </c>
      <c r="W30" s="1307">
        <f t="shared" si="11"/>
        <v>100</v>
      </c>
      <c r="X30" s="1301"/>
      <c r="Y30" s="3727"/>
      <c r="Z30" s="1308" t="str">
        <f t="shared" si="12"/>
        <v>毗邻道路的类型与等级</v>
      </c>
      <c r="AA30" s="1308">
        <f t="shared" si="3"/>
        <v>1</v>
      </c>
      <c r="AB30" s="1308">
        <f t="shared" si="4"/>
        <v>1</v>
      </c>
      <c r="AC30" s="1308">
        <f t="shared" si="5"/>
        <v>1</v>
      </c>
    </row>
    <row r="31" spans="1:29" ht="15">
      <c r="A31" s="482"/>
      <c r="B31" s="544"/>
      <c r="C31" s="526"/>
      <c r="D31" s="505"/>
      <c r="E31" s="526"/>
      <c r="F31" s="505"/>
      <c r="G31" s="526"/>
      <c r="H31" s="505"/>
      <c r="I31" s="526"/>
      <c r="J31" s="505"/>
      <c r="K31" s="531"/>
      <c r="L31" s="1748"/>
      <c r="M31" s="1741"/>
      <c r="N31" s="1741"/>
      <c r="O31" s="1747"/>
      <c r="P31" s="3727"/>
      <c r="Q31" s="1305"/>
      <c r="R31" s="1306"/>
      <c r="S31" s="1307"/>
      <c r="T31" s="1306"/>
      <c r="U31" s="1307"/>
      <c r="V31" s="1306"/>
      <c r="W31" s="1307"/>
      <c r="X31" s="1301"/>
      <c r="Y31" s="3727"/>
      <c r="Z31" s="1308"/>
      <c r="AA31" s="1308">
        <v>1</v>
      </c>
      <c r="AB31" s="1308">
        <v>1</v>
      </c>
      <c r="AC31" s="1308">
        <v>1</v>
      </c>
    </row>
    <row r="32" spans="1:29" ht="15">
      <c r="A32" s="482"/>
      <c r="B32" s="477" t="s">
        <v>498</v>
      </c>
      <c r="C32" s="2054">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8"/>
      <c r="M32" s="1741"/>
      <c r="N32" s="1741"/>
      <c r="O32" s="1747"/>
      <c r="P32" s="3727"/>
      <c r="Q32" s="1305" t="str">
        <f t="shared" si="8"/>
        <v>土地级别</v>
      </c>
      <c r="R32" s="1306" t="s">
        <v>5</v>
      </c>
      <c r="S32" s="1307">
        <f t="shared" si="9"/>
        <v>100</v>
      </c>
      <c r="T32" s="1306" t="s">
        <v>5</v>
      </c>
      <c r="U32" s="1307">
        <f t="shared" si="10"/>
        <v>100</v>
      </c>
      <c r="V32" s="1306" t="s">
        <v>5</v>
      </c>
      <c r="W32" s="1307">
        <f t="shared" si="11"/>
        <v>100</v>
      </c>
      <c r="X32" s="1301"/>
      <c r="Y32" s="3727"/>
      <c r="Z32" s="1308" t="str">
        <f t="shared" si="12"/>
        <v>土地级别</v>
      </c>
      <c r="AA32" s="1308">
        <f t="shared" si="3"/>
        <v>1</v>
      </c>
      <c r="AB32" s="1308">
        <f t="shared" si="4"/>
        <v>1</v>
      </c>
      <c r="AC32" s="1308">
        <f t="shared" si="5"/>
        <v>1</v>
      </c>
    </row>
    <row r="33" spans="1:29" ht="15">
      <c r="A33" s="466"/>
      <c r="B33" s="91"/>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8"/>
      <c r="M33" s="1741"/>
      <c r="N33" s="1741"/>
      <c r="O33" s="1747"/>
      <c r="P33" s="3727"/>
      <c r="Q33" s="1305">
        <f t="shared" si="8"/>
        <v>0</v>
      </c>
      <c r="R33" s="1306" t="s">
        <v>5</v>
      </c>
      <c r="S33" s="1307">
        <f t="shared" si="9"/>
        <v>100</v>
      </c>
      <c r="T33" s="1306" t="s">
        <v>5</v>
      </c>
      <c r="U33" s="1307">
        <f t="shared" si="10"/>
        <v>100</v>
      </c>
      <c r="V33" s="1306" t="s">
        <v>5</v>
      </c>
      <c r="W33" s="1307">
        <f t="shared" si="11"/>
        <v>100</v>
      </c>
      <c r="X33" s="1301"/>
      <c r="Y33" s="3727"/>
      <c r="Z33" s="1308">
        <f t="shared" si="12"/>
        <v>0</v>
      </c>
      <c r="AA33" s="1308">
        <f t="shared" si="3"/>
        <v>1</v>
      </c>
      <c r="AB33" s="1308">
        <f t="shared" si="4"/>
        <v>1</v>
      </c>
      <c r="AC33" s="1308">
        <f t="shared" si="5"/>
        <v>1</v>
      </c>
    </row>
    <row r="34" spans="1:29" ht="15">
      <c r="A34" s="536"/>
      <c r="B34" s="551"/>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8"/>
      <c r="M34" s="1741"/>
      <c r="N34" s="1741"/>
      <c r="O34" s="1747"/>
      <c r="P34" s="3728" t="s">
        <v>499</v>
      </c>
      <c r="Q34" s="1305">
        <f t="shared" si="8"/>
        <v>0</v>
      </c>
      <c r="R34" s="1306" t="s">
        <v>5</v>
      </c>
      <c r="S34" s="1307">
        <f t="shared" si="9"/>
        <v>100</v>
      </c>
      <c r="T34" s="1306" t="s">
        <v>5</v>
      </c>
      <c r="U34" s="1307">
        <f t="shared" si="10"/>
        <v>100</v>
      </c>
      <c r="V34" s="1306" t="s">
        <v>5</v>
      </c>
      <c r="W34" s="1307">
        <f t="shared" si="11"/>
        <v>100</v>
      </c>
      <c r="X34" s="1301"/>
      <c r="Y34" s="3729" t="s">
        <v>499</v>
      </c>
      <c r="Z34" s="1308">
        <f t="shared" si="12"/>
        <v>0</v>
      </c>
      <c r="AA34" s="1308">
        <f t="shared" si="3"/>
        <v>1</v>
      </c>
      <c r="AB34" s="1308">
        <f t="shared" si="4"/>
        <v>1</v>
      </c>
      <c r="AC34" s="1308">
        <f t="shared" si="5"/>
        <v>1</v>
      </c>
    </row>
    <row r="35" spans="1:29" s="1132" customFormat="1" ht="15.75" thickBot="1">
      <c r="A35" s="538"/>
      <c r="B35" s="2052"/>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6"/>
      <c r="M35" s="1770"/>
      <c r="N35" s="1770"/>
      <c r="O35" s="1749"/>
      <c r="P35" s="3729"/>
      <c r="Q35" s="1305">
        <f t="shared" si="8"/>
        <v>0</v>
      </c>
      <c r="R35" s="1309" t="s">
        <v>5</v>
      </c>
      <c r="S35" s="1310">
        <f t="shared" si="9"/>
        <v>100</v>
      </c>
      <c r="T35" s="1309" t="s">
        <v>5</v>
      </c>
      <c r="U35" s="1310">
        <f t="shared" si="10"/>
        <v>100</v>
      </c>
      <c r="V35" s="1309" t="s">
        <v>5</v>
      </c>
      <c r="W35" s="1310">
        <f t="shared" si="11"/>
        <v>100</v>
      </c>
      <c r="X35" s="1311"/>
      <c r="Y35" s="3729"/>
      <c r="Z35" s="1312">
        <f t="shared" si="12"/>
        <v>0</v>
      </c>
      <c r="AA35" s="1308">
        <f t="shared" si="3"/>
        <v>1</v>
      </c>
      <c r="AB35" s="1308">
        <f t="shared" si="4"/>
        <v>1</v>
      </c>
      <c r="AC35" s="1308">
        <f t="shared" si="5"/>
        <v>1</v>
      </c>
    </row>
    <row r="36" spans="1:29" ht="15">
      <c r="A36" s="2203" t="s">
        <v>2034</v>
      </c>
      <c r="B36" s="544" t="s">
        <v>501</v>
      </c>
      <c r="C36" s="545"/>
      <c r="D36" s="546">
        <v>100</v>
      </c>
      <c r="E36" s="545"/>
      <c r="F36" s="546">
        <f>LOOKUP(E36,109:109,110:110)-LOOKUP(C36,109:109,110:110)+100</f>
        <v>100</v>
      </c>
      <c r="G36" s="545"/>
      <c r="H36" s="546">
        <f>LOOKUP(G36,109:109,110:110)-LOOKUP(C36,109:109,110:110)+100</f>
        <v>100</v>
      </c>
      <c r="I36" s="547"/>
      <c r="J36" s="546">
        <f>LOOKUP(I36,109:109,110:110)-LOOKUP(C36,109:109,110:110)+100</f>
        <v>100</v>
      </c>
      <c r="K36" s="531"/>
      <c r="L36" s="1748"/>
      <c r="M36" s="1741"/>
      <c r="N36" s="1741"/>
      <c r="O36" s="1747"/>
      <c r="P36" s="3729"/>
      <c r="Q36" s="1305" t="str">
        <f>B36</f>
        <v>宗地面积</v>
      </c>
      <c r="R36" s="1306" t="s">
        <v>5</v>
      </c>
      <c r="S36" s="1307">
        <f t="shared" si="9"/>
        <v>100</v>
      </c>
      <c r="T36" s="1306" t="s">
        <v>5</v>
      </c>
      <c r="U36" s="1307">
        <f t="shared" si="10"/>
        <v>100</v>
      </c>
      <c r="V36" s="1306" t="s">
        <v>5</v>
      </c>
      <c r="W36" s="1307">
        <f t="shared" si="11"/>
        <v>100</v>
      </c>
      <c r="X36" s="1301"/>
      <c r="Y36" s="3729"/>
      <c r="Z36" s="1308" t="str">
        <f t="shared" si="12"/>
        <v>宗地面积</v>
      </c>
      <c r="AA36" s="1308">
        <f t="shared" si="3"/>
        <v>1</v>
      </c>
      <c r="AB36" s="1308">
        <f t="shared" si="4"/>
        <v>1</v>
      </c>
      <c r="AC36" s="1308">
        <f t="shared" si="5"/>
        <v>1</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8"/>
      <c r="M37" s="1741"/>
      <c r="N37" s="1741"/>
      <c r="O37" s="1747"/>
      <c r="P37" s="3729"/>
      <c r="Q37" s="1305" t="str">
        <f t="shared" ref="Q37:Q42" si="13">B37</f>
        <v>宗地形状</v>
      </c>
      <c r="R37" s="1306" t="s">
        <v>5</v>
      </c>
      <c r="S37" s="1307">
        <f t="shared" si="9"/>
        <v>100</v>
      </c>
      <c r="T37" s="1306" t="s">
        <v>5</v>
      </c>
      <c r="U37" s="1307">
        <f t="shared" si="10"/>
        <v>100</v>
      </c>
      <c r="V37" s="1306" t="s">
        <v>5</v>
      </c>
      <c r="W37" s="1307">
        <f t="shared" si="11"/>
        <v>100</v>
      </c>
      <c r="X37" s="1301"/>
      <c r="Y37" s="3729"/>
      <c r="Z37" s="1308" t="str">
        <f t="shared" si="12"/>
        <v>宗地形状</v>
      </c>
      <c r="AA37" s="1308">
        <f t="shared" si="3"/>
        <v>1</v>
      </c>
      <c r="AB37" s="1308">
        <f t="shared" si="4"/>
        <v>1</v>
      </c>
      <c r="AC37" s="1308">
        <f t="shared" si="5"/>
        <v>1</v>
      </c>
    </row>
    <row r="38" spans="1:29" s="1058" customFormat="1" ht="15">
      <c r="A38" s="549"/>
      <c r="B38" s="1553" t="s">
        <v>1773</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2"/>
      <c r="M38" s="1639"/>
      <c r="N38" s="1639"/>
      <c r="O38" s="1743"/>
      <c r="P38" s="3729"/>
      <c r="Q38" s="1305" t="str">
        <f t="shared" si="13"/>
        <v>宗地开发程度</v>
      </c>
      <c r="R38" s="1302" t="s">
        <v>5</v>
      </c>
      <c r="S38" s="1303">
        <f t="shared" si="9"/>
        <v>100</v>
      </c>
      <c r="T38" s="1302" t="s">
        <v>5</v>
      </c>
      <c r="U38" s="1303">
        <f t="shared" si="10"/>
        <v>100</v>
      </c>
      <c r="V38" s="1302" t="s">
        <v>5</v>
      </c>
      <c r="W38" s="1303">
        <f t="shared" si="11"/>
        <v>100</v>
      </c>
      <c r="X38" s="1304"/>
      <c r="Y38" s="3729"/>
      <c r="Z38" s="995" t="str">
        <f t="shared" si="12"/>
        <v>宗地开发程度</v>
      </c>
      <c r="AA38" s="995">
        <f t="shared" si="3"/>
        <v>1</v>
      </c>
      <c r="AB38" s="995">
        <f t="shared" si="4"/>
        <v>1</v>
      </c>
      <c r="AC38" s="995">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8"/>
      <c r="M39" s="1741"/>
      <c r="N39" s="1741"/>
      <c r="O39" s="1747"/>
      <c r="P39" s="3729" t="s">
        <v>549</v>
      </c>
      <c r="Q39" s="1305" t="str">
        <f t="shared" si="13"/>
        <v>工程地质条件</v>
      </c>
      <c r="R39" s="1306" t="s">
        <v>5</v>
      </c>
      <c r="S39" s="1307">
        <f t="shared" si="9"/>
        <v>100</v>
      </c>
      <c r="T39" s="1306" t="s">
        <v>5</v>
      </c>
      <c r="U39" s="1307">
        <f t="shared" si="10"/>
        <v>100</v>
      </c>
      <c r="V39" s="1306" t="s">
        <v>5</v>
      </c>
      <c r="W39" s="1307">
        <f t="shared" si="11"/>
        <v>100</v>
      </c>
      <c r="X39" s="1301"/>
      <c r="Y39" s="3729" t="s">
        <v>549</v>
      </c>
      <c r="Z39" s="1308" t="str">
        <f t="shared" si="12"/>
        <v>工程地质条件</v>
      </c>
      <c r="AA39" s="1308">
        <f t="shared" si="3"/>
        <v>1</v>
      </c>
      <c r="AB39" s="1308">
        <f t="shared" si="4"/>
        <v>1</v>
      </c>
      <c r="AC39" s="1308">
        <f t="shared" si="5"/>
        <v>1</v>
      </c>
    </row>
    <row r="40" spans="1:29" ht="15">
      <c r="A40" s="543"/>
      <c r="B40" s="551"/>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8"/>
      <c r="M40" s="1741"/>
      <c r="N40" s="1741"/>
      <c r="O40" s="1747"/>
      <c r="P40" s="3729"/>
      <c r="Q40" s="1305">
        <f t="shared" si="13"/>
        <v>0</v>
      </c>
      <c r="R40" s="1306" t="s">
        <v>5</v>
      </c>
      <c r="S40" s="1307">
        <f t="shared" si="9"/>
        <v>100</v>
      </c>
      <c r="T40" s="1306" t="s">
        <v>5</v>
      </c>
      <c r="U40" s="1307">
        <f t="shared" si="10"/>
        <v>100</v>
      </c>
      <c r="V40" s="1306" t="s">
        <v>5</v>
      </c>
      <c r="W40" s="1307">
        <f t="shared" si="11"/>
        <v>100</v>
      </c>
      <c r="X40" s="1301"/>
      <c r="Y40" s="3729"/>
      <c r="Z40" s="1308">
        <f t="shared" si="12"/>
        <v>0</v>
      </c>
      <c r="AA40" s="1308">
        <f t="shared" si="3"/>
        <v>1</v>
      </c>
      <c r="AB40" s="1308">
        <f t="shared" si="4"/>
        <v>1</v>
      </c>
      <c r="AC40" s="1308">
        <f t="shared" si="5"/>
        <v>1</v>
      </c>
    </row>
    <row r="41" spans="1:29" ht="15">
      <c r="A41" s="543"/>
      <c r="B41" s="551"/>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8"/>
      <c r="M41" s="1741"/>
      <c r="N41" s="1741"/>
      <c r="O41" s="1747"/>
      <c r="P41" s="3729"/>
      <c r="Q41" s="1305">
        <f t="shared" si="13"/>
        <v>0</v>
      </c>
      <c r="R41" s="1306" t="s">
        <v>5</v>
      </c>
      <c r="S41" s="1307">
        <f t="shared" si="9"/>
        <v>100</v>
      </c>
      <c r="T41" s="1306" t="s">
        <v>5</v>
      </c>
      <c r="U41" s="1307">
        <f t="shared" si="10"/>
        <v>100</v>
      </c>
      <c r="V41" s="1306" t="s">
        <v>5</v>
      </c>
      <c r="W41" s="1307">
        <f t="shared" si="11"/>
        <v>100</v>
      </c>
      <c r="X41" s="1301"/>
      <c r="Y41" s="3729"/>
      <c r="Z41" s="1308">
        <f t="shared" si="12"/>
        <v>0</v>
      </c>
      <c r="AA41" s="1308">
        <f t="shared" si="3"/>
        <v>1</v>
      </c>
      <c r="AB41" s="1308">
        <f t="shared" si="4"/>
        <v>1</v>
      </c>
      <c r="AC41" s="1308">
        <f t="shared" si="5"/>
        <v>1</v>
      </c>
    </row>
    <row r="42" spans="1:29" s="1132" customFormat="1" ht="15.75" thickBot="1">
      <c r="A42" s="552"/>
      <c r="B42" s="551"/>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6"/>
      <c r="M42" s="1770"/>
      <c r="N42" s="1770"/>
      <c r="O42" s="1749"/>
      <c r="P42" s="3729"/>
      <c r="Q42" s="1305">
        <f t="shared" si="13"/>
        <v>0</v>
      </c>
      <c r="R42" s="1309" t="s">
        <v>5</v>
      </c>
      <c r="S42" s="1310">
        <f t="shared" si="9"/>
        <v>100</v>
      </c>
      <c r="T42" s="1309" t="s">
        <v>5</v>
      </c>
      <c r="U42" s="1310">
        <f t="shared" si="10"/>
        <v>100</v>
      </c>
      <c r="V42" s="1309" t="s">
        <v>5</v>
      </c>
      <c r="W42" s="1310">
        <f t="shared" si="11"/>
        <v>100</v>
      </c>
      <c r="X42" s="1311"/>
      <c r="Y42" s="3729"/>
      <c r="Z42" s="1312">
        <f t="shared" si="12"/>
        <v>0</v>
      </c>
      <c r="AA42" s="1308">
        <f t="shared" si="3"/>
        <v>1</v>
      </c>
      <c r="AB42" s="1308">
        <f t="shared" si="4"/>
        <v>1</v>
      </c>
      <c r="AC42" s="1308">
        <f t="shared" si="5"/>
        <v>1</v>
      </c>
    </row>
    <row r="43" spans="1:29" ht="15">
      <c r="A43" s="556" t="s">
        <v>505</v>
      </c>
      <c r="B43" s="557" t="s">
        <v>3312</v>
      </c>
      <c r="C43" s="558" t="s">
        <v>0</v>
      </c>
      <c r="D43" s="559"/>
      <c r="E43" s="560">
        <f>'通兴房顺昌门出让-工业'!BJ13</f>
        <v>5504</v>
      </c>
      <c r="F43" s="561"/>
      <c r="G43" s="562">
        <f>'通兴房顺昌门出让-工业'!BJ25</f>
        <v>5670</v>
      </c>
      <c r="H43" s="563"/>
      <c r="I43" s="560">
        <f>'通兴房顺昌门出让-工业'!BJ17</f>
        <v>6910</v>
      </c>
      <c r="J43" s="563"/>
      <c r="K43" s="1133"/>
      <c r="L43" s="1750"/>
      <c r="M43" s="1741"/>
      <c r="N43" s="1741"/>
      <c r="O43" s="1741"/>
      <c r="P43" s="3724" t="str">
        <f>A43</f>
        <v>成交单价</v>
      </c>
      <c r="Q43" s="3724"/>
      <c r="R43" s="3740">
        <f>E43</f>
        <v>5504</v>
      </c>
      <c r="S43" s="3740"/>
      <c r="T43" s="3740">
        <f>G43</f>
        <v>5670</v>
      </c>
      <c r="U43" s="3740"/>
      <c r="V43" s="3740">
        <f>I43</f>
        <v>6910</v>
      </c>
      <c r="W43" s="3740"/>
      <c r="X43" s="797"/>
      <c r="Y43" s="1313"/>
      <c r="Z43" s="797"/>
      <c r="AA43" s="797"/>
      <c r="AB43" s="797"/>
      <c r="AC43" s="797"/>
    </row>
    <row r="44" spans="1:29" ht="15.75" thickBot="1">
      <c r="A44" s="564" t="s">
        <v>1972</v>
      </c>
      <c r="B44" s="565"/>
      <c r="C44" s="566">
        <f>R45</f>
        <v>6028</v>
      </c>
      <c r="D44" s="2549" t="s">
        <v>2255</v>
      </c>
      <c r="E44" s="566">
        <f>R44</f>
        <v>5504</v>
      </c>
      <c r="F44" s="2550"/>
      <c r="G44" s="567">
        <f>T44</f>
        <v>5670</v>
      </c>
      <c r="H44" s="2550"/>
      <c r="I44" s="566">
        <f>V44</f>
        <v>6910</v>
      </c>
      <c r="J44" s="2550"/>
      <c r="K44" s="2551">
        <f>F44+H44+J44</f>
        <v>0</v>
      </c>
      <c r="L44" s="1750"/>
      <c r="M44" s="1741"/>
      <c r="N44" s="1741"/>
      <c r="O44" s="1741"/>
      <c r="P44" s="3724" t="str">
        <f>A44</f>
        <v>比较价格（元/平方米）</v>
      </c>
      <c r="Q44" s="3724"/>
      <c r="R44" s="3748">
        <f>ROUND(PRODUCT(R43,AA9:AA42),0)</f>
        <v>5504</v>
      </c>
      <c r="S44" s="3748"/>
      <c r="T44" s="3748">
        <f>ROUND(PRODUCT(T43,AB9:AB42),0)</f>
        <v>5670</v>
      </c>
      <c r="U44" s="3748"/>
      <c r="V44" s="3748">
        <f>ROUND(PRODUCT(V43,AC9:AC42),0)</f>
        <v>6910</v>
      </c>
      <c r="W44" s="3748"/>
      <c r="X44" s="797"/>
      <c r="Y44" s="797"/>
      <c r="Z44" s="797"/>
      <c r="AA44" s="797"/>
      <c r="AB44" s="797"/>
      <c r="AC44" s="797"/>
    </row>
    <row r="45" spans="1:29" ht="15.75" thickBot="1">
      <c r="A45" s="568" t="s">
        <v>2192</v>
      </c>
      <c r="B45" s="569"/>
      <c r="C45" s="570">
        <f>R45</f>
        <v>6028</v>
      </c>
      <c r="D45" s="570"/>
      <c r="E45" s="570"/>
      <c r="F45" s="570"/>
      <c r="G45" s="570"/>
      <c r="H45" s="570"/>
      <c r="I45" s="570"/>
      <c r="J45" s="570"/>
      <c r="K45" s="1134"/>
      <c r="L45" s="1750"/>
      <c r="M45" s="1741"/>
      <c r="N45" s="1741"/>
      <c r="O45" s="1741"/>
      <c r="P45" s="3730" t="str">
        <f>A45</f>
        <v>估价对象XX用房的比较价格（楼面单价，元/平方米）</v>
      </c>
      <c r="Q45" s="3731"/>
      <c r="R45" s="3768">
        <f>ROUND(IF(D44="简单平均",AVERAGE(R44:W44),R44*F44+T44*H44+V44*J44),0)</f>
        <v>6028</v>
      </c>
      <c r="S45" s="3768"/>
      <c r="T45" s="3768"/>
      <c r="U45" s="3768"/>
      <c r="V45" s="3768"/>
      <c r="W45" s="3768"/>
      <c r="X45" s="797"/>
      <c r="Y45" s="797"/>
      <c r="Z45" s="797"/>
      <c r="AA45" s="797"/>
      <c r="AB45" s="797"/>
      <c r="AC45" s="797"/>
    </row>
    <row r="46" spans="1:29">
      <c r="A46" s="2720"/>
      <c r="B46" s="2720"/>
      <c r="C46" s="2720"/>
      <c r="D46" s="2720"/>
      <c r="E46" s="2720"/>
      <c r="F46" s="2720"/>
      <c r="G46" s="2722"/>
      <c r="H46" s="2720"/>
      <c r="I46" s="2720"/>
      <c r="J46" s="2720"/>
      <c r="K46" s="2723"/>
      <c r="L46" s="1754"/>
      <c r="M46" s="1741"/>
      <c r="N46" s="1741"/>
      <c r="O46" s="1741"/>
      <c r="P46" s="1741"/>
      <c r="Q46" s="1741"/>
      <c r="R46" s="1741"/>
      <c r="S46" s="1741"/>
      <c r="T46" s="1741"/>
      <c r="U46" s="1741"/>
      <c r="V46" s="1741"/>
      <c r="W46" s="1741"/>
      <c r="X46" s="1741"/>
      <c r="Y46" s="1741"/>
      <c r="Z46" s="1741"/>
      <c r="AA46" s="1741"/>
      <c r="AB46" s="1741"/>
      <c r="AC46" s="1741"/>
    </row>
    <row r="47" spans="1:29">
      <c r="A47" s="2720"/>
      <c r="B47" s="2720"/>
      <c r="C47" s="2720"/>
      <c r="D47" s="2720"/>
      <c r="E47" s="2720"/>
      <c r="F47" s="2720"/>
      <c r="G47" s="2720"/>
      <c r="H47" s="2720"/>
      <c r="I47" s="2720"/>
      <c r="J47" s="2720"/>
      <c r="K47" s="2723"/>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20"/>
      <c r="B48" s="2720"/>
      <c r="C48" s="571" t="s">
        <v>506</v>
      </c>
      <c r="D48" s="572"/>
      <c r="E48" s="573">
        <f>IF(E43&lt;E44,E44/E43-1,E43/E44-1)</f>
        <v>0</v>
      </c>
      <c r="F48" s="574" t="str">
        <f>IF(OR(E48&gt;=0.3,E48&lt;=-0.3),"超过30%","")</f>
        <v/>
      </c>
      <c r="G48" s="573">
        <f>IF(G43&lt;G44,G44/G43-1,G43/G44-1)</f>
        <v>0</v>
      </c>
      <c r="H48" s="574" t="str">
        <f>IF(OR(G48&gt;=0.3,G48&lt;=-0.3),"超过30%","")</f>
        <v/>
      </c>
      <c r="I48" s="573">
        <f>IF(I43&lt;I44,I44/I43-1,I43/I44-1)</f>
        <v>0</v>
      </c>
      <c r="J48" s="574" t="str">
        <f>IF(OR(I48&gt;=0.3,I48&lt;=-0.3),"超过30%","")</f>
        <v/>
      </c>
      <c r="K48" s="2723"/>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20"/>
      <c r="B49" s="2720"/>
      <c r="C49" s="571" t="s">
        <v>507</v>
      </c>
      <c r="D49" s="575"/>
      <c r="E49" s="573">
        <f>IF(E44&lt;G44,G44/E44-1,E44/G44-1)</f>
        <v>3.0159883720930258E-2</v>
      </c>
      <c r="F49" s="574" t="str">
        <f>IF(OR(E49&gt;=0.2,E49&lt;=-0.2),"超过20%","")</f>
        <v/>
      </c>
      <c r="G49" s="573">
        <f>IF(G44&lt;I44,I44/G44-1,G44/I44-1)</f>
        <v>0.21869488536155202</v>
      </c>
      <c r="H49" s="574" t="str">
        <f>IF(OR(G49&gt;=0.2,G49&lt;=-0.2),"超过20%","")</f>
        <v>超过20%</v>
      </c>
      <c r="I49" s="573">
        <f>IF(I44&lt;E44,E44/I44-1,I44/E44-1)</f>
        <v>0.25545058139534893</v>
      </c>
      <c r="J49" s="574" t="str">
        <f>IF(OR(I49&gt;=0.2,I49&lt;=-0.2),"超过20%","")</f>
        <v>超过20%</v>
      </c>
      <c r="K49" s="2723"/>
      <c r="L49" s="1754"/>
      <c r="M49" s="1741"/>
      <c r="N49" s="1741"/>
      <c r="O49" s="1741"/>
      <c r="P49" s="1741"/>
      <c r="Q49" s="1741"/>
      <c r="R49" s="1741"/>
      <c r="S49" s="1741"/>
      <c r="T49" s="1741"/>
      <c r="U49" s="1741"/>
      <c r="V49" s="1741"/>
      <c r="W49" s="1741"/>
      <c r="X49" s="1741"/>
      <c r="Y49" s="1741"/>
      <c r="Z49" s="1741"/>
      <c r="AA49" s="1741"/>
      <c r="AB49" s="1741"/>
      <c r="AC49" s="1741"/>
    </row>
    <row r="50" spans="1:29" s="1137" customFormat="1" ht="13.5" customHeight="1">
      <c r="A50" s="2721"/>
      <c r="B50" s="2721"/>
      <c r="C50" s="571" t="s">
        <v>508</v>
      </c>
      <c r="D50" s="575"/>
      <c r="E50" s="573">
        <f>IF(E43&lt;G43,G43/E43-1,E43/G43-1)</f>
        <v>3.0159883720930258E-2</v>
      </c>
      <c r="F50" s="574" t="str">
        <f>IF(OR(E50&gt;=0.3,E50&lt;=-0.3),"超过30%","")</f>
        <v/>
      </c>
      <c r="G50" s="573">
        <f>IF(G43&lt;I43,I43/G43-1,G43/I43-1)</f>
        <v>0.21869488536155202</v>
      </c>
      <c r="H50" s="574" t="str">
        <f>IF(OR(G50&gt;=0.3,G50&lt;=-0.3),"超过30%","")</f>
        <v/>
      </c>
      <c r="I50" s="573">
        <f>IF(I43&lt;E43,E43/I43-1,I43/E43-1)</f>
        <v>0.25545058139534893</v>
      </c>
      <c r="J50" s="574" t="str">
        <f>IF(OR(I50&gt;=0.3,I50&lt;=-0.3),"超过30%","")</f>
        <v/>
      </c>
      <c r="K50" s="2724"/>
      <c r="L50" s="1757"/>
      <c r="M50" s="1751"/>
      <c r="N50" s="1751"/>
      <c r="O50" s="1751"/>
      <c r="P50" s="1751"/>
      <c r="Q50" s="1751"/>
      <c r="R50" s="1751"/>
      <c r="S50" s="1751"/>
      <c r="T50" s="1751"/>
      <c r="U50" s="1751"/>
      <c r="V50" s="1751"/>
      <c r="W50" s="1751"/>
      <c r="X50" s="1751"/>
      <c r="Y50" s="1751"/>
      <c r="Z50" s="1751"/>
      <c r="AA50" s="1751"/>
      <c r="AB50" s="1751"/>
      <c r="AC50" s="1751"/>
    </row>
    <row r="51" spans="1:29" s="1137" customFormat="1" ht="15" thickBot="1">
      <c r="A51" s="2721"/>
      <c r="B51" s="2732"/>
      <c r="C51" s="1755"/>
      <c r="D51" s="1751"/>
      <c r="E51" s="1751"/>
      <c r="F51" s="1751"/>
      <c r="G51" s="1751"/>
      <c r="H51" s="1751"/>
      <c r="I51" s="1751"/>
      <c r="J51" s="1751"/>
      <c r="K51" s="2724"/>
      <c r="L51" s="1757"/>
      <c r="M51" s="1751"/>
      <c r="N51" s="1751"/>
      <c r="O51" s="1751"/>
      <c r="P51" s="1751"/>
      <c r="Q51" s="1751"/>
      <c r="R51" s="1751"/>
      <c r="S51" s="1751"/>
      <c r="T51" s="1751"/>
      <c r="U51" s="1751"/>
      <c r="V51" s="1751"/>
      <c r="W51" s="1751"/>
      <c r="X51" s="1751"/>
      <c r="Y51" s="1751"/>
      <c r="Z51" s="1751"/>
      <c r="AA51" s="1751"/>
      <c r="AB51" s="1751"/>
      <c r="AC51" s="1751"/>
    </row>
    <row r="52" spans="1:29" ht="27">
      <c r="A52" s="576" t="s">
        <v>509</v>
      </c>
      <c r="B52" s="577" t="s">
        <v>510</v>
      </c>
      <c r="C52" s="1299" t="s">
        <v>1253</v>
      </c>
      <c r="D52" s="1820" t="s">
        <v>1648</v>
      </c>
      <c r="E52" s="578" t="s">
        <v>511</v>
      </c>
      <c r="F52" s="1609" t="s">
        <v>512</v>
      </c>
      <c r="G52" s="3764" t="s">
        <v>1640</v>
      </c>
      <c r="H52" s="3765"/>
      <c r="I52" s="1610" t="s">
        <v>1465</v>
      </c>
      <c r="J52" s="1296">
        <f>项目基本情况!F41</f>
        <v>0</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38" customFormat="1" ht="12.75">
      <c r="A53" s="580" t="s">
        <v>513</v>
      </c>
      <c r="B53" s="581">
        <f>C45</f>
        <v>6028</v>
      </c>
      <c r="C53" s="582">
        <v>1</v>
      </c>
      <c r="D53" s="1821">
        <v>1</v>
      </c>
      <c r="E53" s="582">
        <f>'数据-汇总表'!E8+'数据-汇总表'!E9</f>
        <v>5006.88</v>
      </c>
      <c r="F53" s="1608">
        <f t="shared" ref="F53:F61" si="14">ROUND(B53*E53/10000,0)</f>
        <v>3018</v>
      </c>
      <c r="G53" s="3766"/>
      <c r="H53" s="3767"/>
      <c r="I53" s="1611">
        <v>1</v>
      </c>
      <c r="J53" s="1297">
        <v>1</v>
      </c>
      <c r="K53" s="2725"/>
      <c r="L53" s="1759"/>
      <c r="M53" s="1759"/>
      <c r="N53" s="1759"/>
      <c r="O53" s="1759"/>
      <c r="P53" s="1759"/>
      <c r="Q53" s="1759"/>
      <c r="R53" s="1759"/>
      <c r="S53" s="1759"/>
      <c r="T53" s="1759"/>
      <c r="U53" s="1759"/>
      <c r="V53" s="1759"/>
      <c r="W53" s="1759"/>
      <c r="X53" s="1759"/>
      <c r="Y53" s="1759"/>
      <c r="Z53" s="1759"/>
      <c r="AA53" s="1759"/>
      <c r="AB53" s="1759"/>
      <c r="AC53" s="1759"/>
    </row>
    <row r="54" spans="1:29" s="1138" customFormat="1" ht="12.75">
      <c r="A54" s="584" t="s">
        <v>514</v>
      </c>
      <c r="B54" s="585">
        <f>ROUND($C$45*C54*D54,0)</f>
        <v>0</v>
      </c>
      <c r="C54" s="348">
        <f t="shared" ref="C54:C61" si="15">IF($C$52="北京市系数",I54,J54)</f>
        <v>0</v>
      </c>
      <c r="D54" s="1822">
        <v>0.25</v>
      </c>
      <c r="E54" s="586"/>
      <c r="F54" s="1608">
        <f t="shared" si="14"/>
        <v>0</v>
      </c>
      <c r="G54" s="3029" t="s">
        <v>1641</v>
      </c>
      <c r="H54" s="1612">
        <f>项目基本情况!B43</f>
        <v>0</v>
      </c>
      <c r="I54" s="1611">
        <f>SUMIF(修正!$A$57:$A$68,H54,修正!B57:B68)</f>
        <v>0</v>
      </c>
      <c r="J54" s="1298"/>
      <c r="K54" s="2725"/>
      <c r="L54" s="1759"/>
      <c r="M54" s="1759"/>
      <c r="N54" s="1759"/>
      <c r="O54" s="1759"/>
      <c r="P54" s="1759"/>
      <c r="Q54" s="1759"/>
      <c r="R54" s="1759"/>
      <c r="S54" s="1759"/>
      <c r="T54" s="1759"/>
      <c r="U54" s="1759"/>
      <c r="V54" s="1759"/>
      <c r="W54" s="1759"/>
      <c r="X54" s="1759"/>
      <c r="Y54" s="1759"/>
      <c r="Z54" s="1759"/>
      <c r="AA54" s="1759"/>
      <c r="AB54" s="1759"/>
      <c r="AC54" s="1759"/>
    </row>
    <row r="55" spans="1:29" s="1138" customFormat="1" ht="12.75">
      <c r="A55" s="584" t="s">
        <v>515</v>
      </c>
      <c r="B55" s="585">
        <f t="shared" ref="B55:B61" si="16">ROUND($C$45*C55*D55,0)</f>
        <v>0</v>
      </c>
      <c r="C55" s="348">
        <f t="shared" si="15"/>
        <v>0</v>
      </c>
      <c r="D55" s="1822">
        <v>0.25</v>
      </c>
      <c r="E55" s="586"/>
      <c r="F55" s="1608">
        <f t="shared" si="14"/>
        <v>0</v>
      </c>
      <c r="G55" s="3030"/>
      <c r="H55" s="1613">
        <f>项目基本情况!B43</f>
        <v>0</v>
      </c>
      <c r="I55" s="1611">
        <f>SUMIF(修正!$A$57:$A$68,H55,修正!C57:C68)</f>
        <v>0</v>
      </c>
      <c r="J55" s="1298"/>
      <c r="K55" s="2725"/>
      <c r="L55" s="1759"/>
      <c r="M55" s="1759"/>
      <c r="N55" s="1759"/>
      <c r="O55" s="1759"/>
      <c r="P55" s="1759"/>
      <c r="Q55" s="1759"/>
      <c r="R55" s="1759"/>
      <c r="S55" s="1759"/>
      <c r="T55" s="1759"/>
      <c r="U55" s="1759"/>
      <c r="V55" s="1759"/>
      <c r="W55" s="1759"/>
      <c r="X55" s="1759"/>
      <c r="Y55" s="1759"/>
      <c r="Z55" s="1759"/>
      <c r="AA55" s="1759"/>
      <c r="AB55" s="1759"/>
      <c r="AC55" s="1759"/>
    </row>
    <row r="56" spans="1:29" s="1138" customFormat="1" ht="12.75">
      <c r="A56" s="584" t="s">
        <v>516</v>
      </c>
      <c r="B56" s="585">
        <f t="shared" si="16"/>
        <v>0</v>
      </c>
      <c r="C56" s="348">
        <f t="shared" si="15"/>
        <v>0</v>
      </c>
      <c r="D56" s="1822">
        <v>0.25</v>
      </c>
      <c r="E56" s="586"/>
      <c r="F56" s="1608">
        <f t="shared" si="14"/>
        <v>0</v>
      </c>
      <c r="G56" s="3030"/>
      <c r="H56" s="1613">
        <f>项目基本情况!B43</f>
        <v>0</v>
      </c>
      <c r="I56" s="1611">
        <f>SUMIF(修正!$A$57:$A$68,H56,修正!D57:D68)</f>
        <v>0</v>
      </c>
      <c r="J56" s="1298"/>
      <c r="K56" s="2725"/>
      <c r="L56" s="1759"/>
      <c r="M56" s="1759"/>
      <c r="N56" s="1759"/>
      <c r="O56" s="1759"/>
      <c r="P56" s="1759"/>
      <c r="Q56" s="1759"/>
      <c r="R56" s="1759"/>
      <c r="S56" s="1759"/>
      <c r="T56" s="1759"/>
      <c r="U56" s="1759"/>
      <c r="V56" s="1759"/>
      <c r="W56" s="1759"/>
      <c r="X56" s="1759"/>
      <c r="Y56" s="1759"/>
      <c r="Z56" s="1759"/>
      <c r="AA56" s="1759"/>
      <c r="AB56" s="1759"/>
      <c r="AC56" s="1759"/>
    </row>
    <row r="57" spans="1:29" s="1138" customFormat="1" ht="12.75">
      <c r="A57" s="1918" t="s">
        <v>1682</v>
      </c>
      <c r="B57" s="585">
        <f t="shared" si="16"/>
        <v>0</v>
      </c>
      <c r="C57" s="348">
        <f t="shared" si="15"/>
        <v>0</v>
      </c>
      <c r="D57" s="1822">
        <v>0.25</v>
      </c>
      <c r="E57" s="588">
        <f>'数据-汇总表'!E11</f>
        <v>0</v>
      </c>
      <c r="F57" s="1608">
        <f t="shared" si="14"/>
        <v>0</v>
      </c>
      <c r="G57" s="1614" t="s">
        <v>1642</v>
      </c>
      <c r="H57" s="1613">
        <f>项目基本情况!C43</f>
        <v>0</v>
      </c>
      <c r="I57" s="1611">
        <f>SUMIF(修正!$A$57:$A$68,H57,修正!E57:E68)</f>
        <v>0</v>
      </c>
      <c r="J57" s="1298"/>
      <c r="K57" s="2725"/>
      <c r="L57" s="1759"/>
      <c r="M57" s="1759"/>
      <c r="N57" s="1759"/>
      <c r="O57" s="1759"/>
      <c r="P57" s="1759"/>
      <c r="Q57" s="1759"/>
      <c r="R57" s="1759"/>
      <c r="S57" s="1759"/>
      <c r="T57" s="1759"/>
      <c r="U57" s="1759"/>
      <c r="V57" s="1759"/>
      <c r="W57" s="1759"/>
      <c r="X57" s="1759"/>
      <c r="Y57" s="1759"/>
      <c r="Z57" s="1759"/>
      <c r="AA57" s="1759"/>
      <c r="AB57" s="1759"/>
      <c r="AC57" s="1759"/>
    </row>
    <row r="58" spans="1:29" s="1138" customFormat="1" ht="12.75">
      <c r="A58" s="584" t="s">
        <v>517</v>
      </c>
      <c r="B58" s="585">
        <f t="shared" si="16"/>
        <v>0</v>
      </c>
      <c r="C58" s="348">
        <f t="shared" si="15"/>
        <v>0</v>
      </c>
      <c r="D58" s="1822">
        <v>0.25</v>
      </c>
      <c r="E58" s="588">
        <f>'数据-汇总表'!E12</f>
        <v>0</v>
      </c>
      <c r="F58" s="1608">
        <f t="shared" si="14"/>
        <v>0</v>
      </c>
      <c r="G58" s="1604" t="s">
        <v>1212</v>
      </c>
      <c r="H58" s="1612">
        <f>IF(G58="商业",项目基本情况!B43,IF(G58="办公",项目基本情况!C43,IF(G58="住宅",项目基本情况!D43,项目基本情况!E43)))</f>
        <v>0</v>
      </c>
      <c r="I58" s="1611">
        <f>SUMIF(修正!$A$57:$A$68,H58,修正!F57:F68)</f>
        <v>0</v>
      </c>
      <c r="J58" s="1298"/>
      <c r="K58" s="2725"/>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4" t="s">
        <v>518</v>
      </c>
      <c r="B59" s="585">
        <f t="shared" si="16"/>
        <v>0</v>
      </c>
      <c r="C59" s="348">
        <f t="shared" si="15"/>
        <v>0</v>
      </c>
      <c r="D59" s="1822">
        <v>0.25</v>
      </c>
      <c r="E59" s="588">
        <f>'数据-汇总表'!E13</f>
        <v>0</v>
      </c>
      <c r="F59" s="1608">
        <f t="shared" si="14"/>
        <v>0</v>
      </c>
      <c r="G59" s="1604" t="s">
        <v>851</v>
      </c>
      <c r="H59" s="1612">
        <f>IF(G59="商业",项目基本情况!B43,IF(G59="办公",项目基本情况!C43,IF(G59="住宅",项目基本情况!D43,项目基本情况!E43)))</f>
        <v>0</v>
      </c>
      <c r="I59" s="1611">
        <f>SUMIF(修正!$A$57:$A$68,H59,修正!G57:G68)</f>
        <v>0</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4" t="s">
        <v>519</v>
      </c>
      <c r="B60" s="585">
        <f t="shared" si="16"/>
        <v>0</v>
      </c>
      <c r="C60" s="348">
        <f t="shared" si="15"/>
        <v>0</v>
      </c>
      <c r="D60" s="1822">
        <v>0.25</v>
      </c>
      <c r="E60" s="588">
        <f>'数据-汇总表'!E14</f>
        <v>0</v>
      </c>
      <c r="F60" s="1608">
        <f t="shared" si="14"/>
        <v>0</v>
      </c>
      <c r="G60" s="1614" t="s">
        <v>1641</v>
      </c>
      <c r="H60" s="1613">
        <f>项目基本情况!B43</f>
        <v>0</v>
      </c>
      <c r="I60" s="1611">
        <f>SUMIF(修正!$A$57:$A$68,H60,修正!G57:G68)</f>
        <v>0</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3.5" thickBot="1">
      <c r="A61" s="584" t="s">
        <v>520</v>
      </c>
      <c r="B61" s="585">
        <f t="shared" si="16"/>
        <v>0</v>
      </c>
      <c r="C61" s="348">
        <f t="shared" si="15"/>
        <v>0</v>
      </c>
      <c r="D61" s="1822">
        <v>0.25</v>
      </c>
      <c r="E61" s="588">
        <f>'数据-汇总表'!E15</f>
        <v>0</v>
      </c>
      <c r="F61" s="1608">
        <f t="shared" si="14"/>
        <v>0</v>
      </c>
      <c r="G61" s="1615" t="s">
        <v>1642</v>
      </c>
      <c r="H61" s="1616">
        <f>项目基本情况!C43</f>
        <v>0</v>
      </c>
      <c r="I61" s="1611">
        <f>SUMIF(修正!$A$57:$A$68,H61,修正!G57:G68)</f>
        <v>0</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3.5" thickBot="1">
      <c r="A62" s="589" t="s">
        <v>521</v>
      </c>
      <c r="B62" s="590" t="s">
        <v>11</v>
      </c>
      <c r="C62" s="590" t="s">
        <v>12</v>
      </c>
      <c r="D62" s="590" t="s">
        <v>1649</v>
      </c>
      <c r="E62" s="590">
        <f>IF(B43="楼面地价",SUM(E53:E61),'数据-汇总表'!D3)</f>
        <v>17556.580000000002</v>
      </c>
      <c r="F62" s="591">
        <f>IF(B43="楼面地价",SUM(F53:F61),ROUND(C45*E62/10000,0))</f>
        <v>10583</v>
      </c>
      <c r="G62" s="1760"/>
      <c r="H62" s="1760"/>
      <c r="I62" s="1760"/>
      <c r="J62" s="1760"/>
      <c r="K62" s="2733"/>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1" t="str">
        <f>YEAR(C9)&amp;"-"&amp;MONTH(C9)&amp;"-1"</f>
        <v>2023-9-1</v>
      </c>
      <c r="D64" s="2110">
        <f>EDATE(C64,-3)</f>
        <v>45078</v>
      </c>
      <c r="E64" s="2110">
        <f t="shared" ref="E64:N64" si="17">EDATE(D64,-3)</f>
        <v>44986</v>
      </c>
      <c r="F64" s="2110">
        <f t="shared" si="17"/>
        <v>44896</v>
      </c>
      <c r="G64" s="2110">
        <f t="shared" si="17"/>
        <v>44805</v>
      </c>
      <c r="H64" s="2110">
        <f t="shared" si="17"/>
        <v>44713</v>
      </c>
      <c r="I64" s="2110">
        <f t="shared" si="17"/>
        <v>44621</v>
      </c>
      <c r="J64" s="2110">
        <f t="shared" si="17"/>
        <v>44531</v>
      </c>
      <c r="K64" s="2110">
        <f t="shared" si="17"/>
        <v>44440</v>
      </c>
      <c r="L64" s="2110">
        <f t="shared" si="17"/>
        <v>44348</v>
      </c>
      <c r="M64" s="2110">
        <f t="shared" si="17"/>
        <v>44256</v>
      </c>
      <c r="N64" s="2110">
        <f t="shared" si="17"/>
        <v>44166</v>
      </c>
      <c r="O64" s="1741"/>
      <c r="P64" s="1741"/>
      <c r="Q64" s="1741"/>
      <c r="R64" s="1741"/>
      <c r="S64" s="1741"/>
      <c r="T64" s="1741"/>
      <c r="U64" s="1741"/>
      <c r="V64" s="1741"/>
      <c r="W64" s="1741"/>
      <c r="X64" s="1741"/>
      <c r="Y64" s="1741"/>
      <c r="Z64" s="1741"/>
      <c r="AA64" s="1741"/>
      <c r="AB64" s="1741"/>
      <c r="AC64" s="1741"/>
    </row>
    <row r="65" spans="1:29" ht="21.75" thickBot="1">
      <c r="A65" s="1316" t="s">
        <v>522</v>
      </c>
      <c r="B65" s="797"/>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29" s="1139" customFormat="1" ht="15">
      <c r="A66" s="2041" t="s">
        <v>1813</v>
      </c>
      <c r="B66" s="593"/>
      <c r="C66" s="155" t="str">
        <f>YEAR(C64)&amp;"-"&amp;ROUNDUP(MONTH(C64)/3,0)</f>
        <v>2023-3</v>
      </c>
      <c r="D66" s="155" t="str">
        <f t="shared" ref="D66:N66" si="18">YEAR(D64)&amp;"-"&amp;ROUNDUP(MONTH(D64)/3,0)</f>
        <v>2023-2</v>
      </c>
      <c r="E66" s="155" t="str">
        <f t="shared" si="18"/>
        <v>2023-1</v>
      </c>
      <c r="F66" s="155" t="str">
        <f t="shared" si="18"/>
        <v>2022-4</v>
      </c>
      <c r="G66" s="155" t="str">
        <f t="shared" si="18"/>
        <v>2022-3</v>
      </c>
      <c r="H66" s="155" t="str">
        <f t="shared" si="18"/>
        <v>2022-2</v>
      </c>
      <c r="I66" s="155" t="str">
        <f t="shared" si="18"/>
        <v>2022-1</v>
      </c>
      <c r="J66" s="155" t="str">
        <f t="shared" si="18"/>
        <v>2021-4</v>
      </c>
      <c r="K66" s="155" t="str">
        <f t="shared" si="18"/>
        <v>2021-3</v>
      </c>
      <c r="L66" s="155" t="str">
        <f t="shared" si="18"/>
        <v>2021-2</v>
      </c>
      <c r="M66" s="155" t="str">
        <f t="shared" si="18"/>
        <v>2021-1</v>
      </c>
      <c r="N66" s="155" t="str">
        <f t="shared" si="18"/>
        <v>2020-4</v>
      </c>
      <c r="O66" s="1763"/>
      <c r="P66" s="1764"/>
      <c r="Q66" s="1764"/>
      <c r="R66" s="1764"/>
      <c r="S66" s="1764"/>
      <c r="T66" s="1764"/>
      <c r="U66" s="1764"/>
      <c r="V66" s="1764"/>
      <c r="W66" s="1764"/>
      <c r="X66" s="1764"/>
      <c r="Y66" s="1764"/>
      <c r="Z66" s="1764"/>
      <c r="AA66" s="1764"/>
      <c r="AB66" s="1764"/>
      <c r="AC66" s="1764"/>
    </row>
    <row r="67" spans="1:29" s="1058" customFormat="1" ht="27.75" customHeight="1">
      <c r="A67" s="2109" t="s">
        <v>1928</v>
      </c>
      <c r="B67" s="448" t="str">
        <f>"北京市平均增长率"&amp;TEXT(基准地价!P28,"0.00%")</f>
        <v>北京市平均增长率0.00%</v>
      </c>
      <c r="C67" s="816">
        <v>100</v>
      </c>
      <c r="D67" s="79">
        <f>C67</f>
        <v>100</v>
      </c>
      <c r="E67" s="79">
        <f t="shared" ref="E67:N67" si="19">D67</f>
        <v>100</v>
      </c>
      <c r="F67" s="79">
        <f t="shared" si="19"/>
        <v>100</v>
      </c>
      <c r="G67" s="79">
        <f t="shared" si="19"/>
        <v>100</v>
      </c>
      <c r="H67" s="79">
        <f t="shared" si="19"/>
        <v>100</v>
      </c>
      <c r="I67" s="79">
        <f t="shared" si="19"/>
        <v>100</v>
      </c>
      <c r="J67" s="79">
        <f t="shared" si="19"/>
        <v>100</v>
      </c>
      <c r="K67" s="79">
        <f t="shared" si="19"/>
        <v>100</v>
      </c>
      <c r="L67" s="79">
        <f t="shared" si="19"/>
        <v>100</v>
      </c>
      <c r="M67" s="79">
        <f t="shared" si="19"/>
        <v>100</v>
      </c>
      <c r="N67" s="79">
        <f t="shared" si="19"/>
        <v>100</v>
      </c>
      <c r="O67" s="1765"/>
      <c r="P67" s="1762"/>
      <c r="Q67" s="1639"/>
      <c r="R67" s="1639"/>
      <c r="S67" s="1639"/>
      <c r="T67" s="1639"/>
      <c r="U67" s="1639"/>
      <c r="V67" s="1639"/>
      <c r="W67" s="1639"/>
      <c r="X67" s="1639"/>
      <c r="Y67" s="1639"/>
      <c r="Z67" s="1639"/>
      <c r="AA67" s="1639"/>
      <c r="AB67" s="1639"/>
      <c r="AC67" s="1639"/>
    </row>
    <row r="68" spans="1:29" s="1058" customFormat="1" ht="15.75" thickBot="1">
      <c r="A68" s="262" t="s">
        <v>523</v>
      </c>
      <c r="B68" s="598"/>
      <c r="C68" s="2106"/>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29" s="1058" customFormat="1" ht="15">
      <c r="A69" s="603" t="s">
        <v>480</v>
      </c>
      <c r="B69" s="594"/>
      <c r="C69" s="604" t="s">
        <v>524</v>
      </c>
      <c r="D69" s="80"/>
      <c r="E69" s="80"/>
      <c r="F69" s="80"/>
      <c r="G69" s="80"/>
      <c r="H69" s="80"/>
      <c r="I69" s="80"/>
      <c r="J69" s="80"/>
      <c r="K69" s="80"/>
      <c r="L69" s="605"/>
      <c r="M69" s="606"/>
      <c r="N69" s="2734"/>
      <c r="O69" s="1765"/>
      <c r="P69" s="1646"/>
      <c r="Q69" s="1762"/>
      <c r="R69" s="1639"/>
      <c r="S69" s="1639"/>
      <c r="T69" s="1639"/>
      <c r="U69" s="1639"/>
      <c r="V69" s="1639"/>
      <c r="W69" s="1639"/>
      <c r="X69" s="1639"/>
      <c r="Y69" s="1639"/>
      <c r="Z69" s="1639"/>
      <c r="AA69" s="1639"/>
      <c r="AB69" s="1639"/>
      <c r="AC69" s="1639"/>
    </row>
    <row r="70" spans="1:29" s="1058" customFormat="1" ht="15.75" thickBot="1">
      <c r="A70" s="603"/>
      <c r="B70" s="594"/>
      <c r="C70" s="595">
        <v>100</v>
      </c>
      <c r="D70" s="596"/>
      <c r="E70" s="596"/>
      <c r="F70" s="596"/>
      <c r="G70" s="596"/>
      <c r="H70" s="596"/>
      <c r="I70" s="596"/>
      <c r="J70" s="596"/>
      <c r="K70" s="596"/>
      <c r="L70" s="596"/>
      <c r="M70" s="597"/>
      <c r="N70" s="2734"/>
      <c r="O70" s="1765"/>
      <c r="P70" s="1762"/>
      <c r="Q70" s="1762"/>
      <c r="R70" s="1639"/>
      <c r="S70" s="1639"/>
      <c r="T70" s="1639"/>
      <c r="U70" s="1639"/>
      <c r="V70" s="1639"/>
      <c r="W70" s="1639"/>
      <c r="X70" s="1639"/>
      <c r="Y70" s="1639"/>
      <c r="Z70" s="1639"/>
      <c r="AA70" s="1639"/>
      <c r="AB70" s="1639"/>
      <c r="AC70" s="1639"/>
    </row>
    <row r="71" spans="1:29">
      <c r="A71" s="607" t="s">
        <v>525</v>
      </c>
      <c r="B71" s="608" t="s">
        <v>483</v>
      </c>
      <c r="C71" s="547" t="str">
        <f>项目基本情况!B13</f>
        <v>仓储</v>
      </c>
      <c r="D71" s="547" t="str">
        <f>'通兴房顺昌门出让-工业'!M13</f>
        <v xml:space="preserve"> W1物流用地</v>
      </c>
      <c r="E71" s="547" t="str">
        <f>'通兴房顺昌门出让-工业'!M25</f>
        <v xml:space="preserve"> 物流仓储用地</v>
      </c>
      <c r="F71" s="547"/>
      <c r="G71" s="547"/>
      <c r="H71" s="547"/>
      <c r="I71" s="547"/>
      <c r="J71" s="547"/>
      <c r="K71" s="609"/>
      <c r="L71" s="610"/>
      <c r="M71" s="611"/>
      <c r="N71" s="2735"/>
      <c r="O71" s="1766"/>
      <c r="P71" s="1765"/>
      <c r="Q71" s="1762"/>
      <c r="R71" s="1741"/>
      <c r="S71" s="1741"/>
      <c r="T71" s="1741"/>
      <c r="U71" s="1741"/>
      <c r="V71" s="1741"/>
      <c r="W71" s="1741"/>
      <c r="X71" s="1741"/>
      <c r="Y71" s="1741"/>
      <c r="Z71" s="1741"/>
      <c r="AA71" s="1741"/>
      <c r="AB71" s="1741"/>
      <c r="AC71" s="1741"/>
    </row>
    <row r="72" spans="1:29" ht="15.75" thickBot="1">
      <c r="A72" s="482"/>
      <c r="B72" s="612"/>
      <c r="C72" s="613">
        <v>100</v>
      </c>
      <c r="D72" s="613">
        <v>100</v>
      </c>
      <c r="E72" s="613">
        <v>100</v>
      </c>
      <c r="F72" s="613"/>
      <c r="G72" s="613"/>
      <c r="H72" s="613"/>
      <c r="I72" s="613"/>
      <c r="J72" s="613"/>
      <c r="K72" s="613"/>
      <c r="L72" s="613"/>
      <c r="M72" s="614"/>
      <c r="N72" s="2736"/>
      <c r="O72" s="1767"/>
      <c r="P72" s="1765"/>
      <c r="Q72" s="1762"/>
      <c r="R72" s="1741"/>
      <c r="S72" s="1741"/>
      <c r="T72" s="1741"/>
      <c r="U72" s="1741"/>
      <c r="V72" s="1741"/>
      <c r="W72" s="1741"/>
      <c r="X72" s="1741"/>
      <c r="Y72" s="1741"/>
      <c r="Z72" s="1741"/>
      <c r="AA72" s="1741"/>
      <c r="AB72" s="1741"/>
      <c r="AC72" s="1741"/>
    </row>
    <row r="73" spans="1:29" ht="27.75" thickTop="1">
      <c r="A73" s="482"/>
      <c r="B73" s="615" t="s">
        <v>486</v>
      </c>
      <c r="C73" s="616"/>
      <c r="D73" s="616"/>
      <c r="E73" s="616"/>
      <c r="F73" s="616"/>
      <c r="G73" s="616"/>
      <c r="H73" s="616"/>
      <c r="I73" s="616"/>
      <c r="J73" s="616"/>
      <c r="K73" s="617"/>
      <c r="L73" s="618"/>
      <c r="M73" s="619"/>
      <c r="N73" s="2735"/>
      <c r="O73" s="1766"/>
      <c r="P73" s="1765"/>
      <c r="Q73" s="1762"/>
      <c r="R73" s="1741"/>
      <c r="S73" s="1741"/>
      <c r="T73" s="1741"/>
      <c r="U73" s="1741"/>
      <c r="V73" s="1741"/>
      <c r="W73" s="1741"/>
      <c r="X73" s="1741"/>
      <c r="Y73" s="1741"/>
      <c r="Z73" s="1741"/>
      <c r="AA73" s="1741"/>
      <c r="AB73" s="1741"/>
      <c r="AC73" s="1741"/>
    </row>
    <row r="74" spans="1:29" ht="15.75" thickBot="1">
      <c r="A74" s="482"/>
      <c r="B74" s="620"/>
      <c r="C74" s="621"/>
      <c r="D74" s="621"/>
      <c r="E74" s="621"/>
      <c r="F74" s="621"/>
      <c r="G74" s="621"/>
      <c r="H74" s="621"/>
      <c r="I74" s="621"/>
      <c r="J74" s="621"/>
      <c r="K74" s="621"/>
      <c r="L74" s="621"/>
      <c r="M74" s="622"/>
      <c r="N74" s="2736"/>
      <c r="O74" s="1767"/>
      <c r="P74" s="1765"/>
      <c r="Q74" s="1762"/>
      <c r="R74" s="1741"/>
      <c r="S74" s="1741"/>
      <c r="T74" s="1741"/>
      <c r="U74" s="1741"/>
      <c r="V74" s="1741"/>
      <c r="W74" s="1741"/>
      <c r="X74" s="1741"/>
      <c r="Y74" s="1741"/>
      <c r="Z74" s="1741"/>
      <c r="AA74" s="1741"/>
      <c r="AB74" s="1741"/>
      <c r="AC74" s="1741"/>
    </row>
    <row r="75" spans="1:29" ht="15.75" thickTop="1">
      <c r="A75" s="482"/>
      <c r="B75" s="623" t="s">
        <v>487</v>
      </c>
      <c r="C75" s="624" t="str">
        <f>C76&amp;"（含）"&amp;"-"&amp;D76</f>
        <v>0（含）-</v>
      </c>
      <c r="D75" s="624" t="str">
        <f t="shared" ref="D75:L75" si="20">D76&amp;"（含）"&amp;"-"&amp;E76</f>
        <v>（含）-</v>
      </c>
      <c r="E75" s="624" t="str">
        <f t="shared" si="20"/>
        <v>（含）-</v>
      </c>
      <c r="F75" s="624" t="str">
        <f t="shared" si="20"/>
        <v>（含）-</v>
      </c>
      <c r="G75" s="624" t="str">
        <f t="shared" si="20"/>
        <v>（含）-</v>
      </c>
      <c r="H75" s="624" t="str">
        <f t="shared" si="20"/>
        <v>（含）-</v>
      </c>
      <c r="I75" s="624" t="str">
        <f t="shared" si="20"/>
        <v>（含）-</v>
      </c>
      <c r="J75" s="624" t="str">
        <f t="shared" si="20"/>
        <v>（含）-</v>
      </c>
      <c r="K75" s="624" t="str">
        <f t="shared" si="20"/>
        <v>（含）-</v>
      </c>
      <c r="L75" s="624" t="str">
        <f t="shared" si="20"/>
        <v>（含）-</v>
      </c>
      <c r="M75" s="505" t="str">
        <f>M76&amp;"（含）"&amp;"-"&amp;P76</f>
        <v>（含）-</v>
      </c>
      <c r="N75" s="2736"/>
      <c r="O75" s="1767"/>
      <c r="P75" s="1765"/>
      <c r="Q75" s="1762"/>
      <c r="R75" s="1741"/>
      <c r="S75" s="1741"/>
      <c r="T75" s="1741"/>
      <c r="U75" s="1741"/>
      <c r="V75" s="1741"/>
      <c r="W75" s="1741"/>
      <c r="X75" s="1741"/>
      <c r="Y75" s="1741"/>
      <c r="Z75" s="1741"/>
      <c r="AA75" s="1741"/>
      <c r="AB75" s="1741"/>
      <c r="AC75" s="1741"/>
    </row>
    <row r="76" spans="1:29" ht="15">
      <c r="A76" s="482"/>
      <c r="B76" s="625"/>
      <c r="C76" s="491">
        <v>0</v>
      </c>
      <c r="D76" s="491"/>
      <c r="E76" s="491"/>
      <c r="F76" s="491"/>
      <c r="G76" s="491"/>
      <c r="H76" s="491"/>
      <c r="I76" s="491"/>
      <c r="J76" s="491"/>
      <c r="K76" s="626"/>
      <c r="L76" s="627"/>
      <c r="M76" s="628"/>
      <c r="N76" s="2735"/>
      <c r="O76" s="1766"/>
      <c r="P76" s="1765"/>
      <c r="Q76" s="1762"/>
      <c r="R76" s="1741"/>
      <c r="S76" s="1741"/>
      <c r="T76" s="1741"/>
      <c r="U76" s="1741"/>
      <c r="V76" s="1741"/>
      <c r="W76" s="1741"/>
      <c r="X76" s="1741"/>
      <c r="Y76" s="1741"/>
      <c r="Z76" s="1741"/>
      <c r="AA76" s="1741"/>
      <c r="AB76" s="1741"/>
      <c r="AC76" s="1741"/>
    </row>
    <row r="77" spans="1:29" ht="15.75" thickBot="1">
      <c r="A77" s="482"/>
      <c r="B77" s="612"/>
      <c r="C77" s="621">
        <v>100</v>
      </c>
      <c r="D77" s="621">
        <f t="shared" ref="D77:M77" si="21">IF($B$43="单位面积地价",C77+$K13,C77-$K13)</f>
        <v>100</v>
      </c>
      <c r="E77" s="621">
        <f t="shared" si="21"/>
        <v>100</v>
      </c>
      <c r="F77" s="621">
        <f t="shared" si="21"/>
        <v>100</v>
      </c>
      <c r="G77" s="621">
        <f t="shared" si="21"/>
        <v>100</v>
      </c>
      <c r="H77" s="621">
        <f t="shared" si="21"/>
        <v>100</v>
      </c>
      <c r="I77" s="621">
        <f t="shared" si="21"/>
        <v>100</v>
      </c>
      <c r="J77" s="621">
        <f t="shared" si="21"/>
        <v>100</v>
      </c>
      <c r="K77" s="621">
        <f t="shared" si="21"/>
        <v>100</v>
      </c>
      <c r="L77" s="621">
        <f t="shared" si="21"/>
        <v>100</v>
      </c>
      <c r="M77" s="621">
        <f t="shared" si="21"/>
        <v>100</v>
      </c>
      <c r="N77" s="2736"/>
      <c r="O77" s="1767"/>
      <c r="P77" s="1765"/>
      <c r="Q77" s="1762"/>
      <c r="R77" s="1741"/>
      <c r="S77" s="1741"/>
      <c r="T77" s="1741"/>
      <c r="U77" s="1741"/>
      <c r="V77" s="1741"/>
      <c r="W77" s="1741"/>
      <c r="X77" s="1741"/>
      <c r="Y77" s="1741"/>
      <c r="Z77" s="1741"/>
      <c r="AA77" s="1741"/>
      <c r="AB77" s="1741"/>
      <c r="AC77" s="1741"/>
    </row>
    <row r="78" spans="1:29" s="1132" customFormat="1" ht="15.75" thickTop="1">
      <c r="A78" s="629"/>
      <c r="B78" s="615">
        <f>B14</f>
        <v>0</v>
      </c>
      <c r="C78" s="630"/>
      <c r="D78" s="630"/>
      <c r="E78" s="630"/>
      <c r="F78" s="630"/>
      <c r="G78" s="630"/>
      <c r="H78" s="631"/>
      <c r="I78" s="631"/>
      <c r="J78" s="631"/>
      <c r="K78" s="631"/>
      <c r="L78" s="632"/>
      <c r="M78" s="633"/>
      <c r="N78" s="2737"/>
      <c r="O78" s="1768"/>
      <c r="P78" s="1768"/>
      <c r="Q78" s="1769"/>
      <c r="R78" s="1770"/>
      <c r="S78" s="1770"/>
      <c r="T78" s="1770"/>
      <c r="U78" s="1770"/>
      <c r="V78" s="1770"/>
      <c r="W78" s="1770"/>
      <c r="X78" s="1770"/>
      <c r="Y78" s="1770"/>
      <c r="Z78" s="1770"/>
      <c r="AA78" s="1770"/>
      <c r="AB78" s="1770"/>
      <c r="AC78" s="1770"/>
    </row>
    <row r="79" spans="1:29" s="1132" customFormat="1" ht="15.75" thickBot="1">
      <c r="A79" s="629"/>
      <c r="B79" s="620"/>
      <c r="C79" s="634"/>
      <c r="D79" s="613"/>
      <c r="E79" s="613"/>
      <c r="F79" s="613"/>
      <c r="G79" s="613"/>
      <c r="H79" s="613"/>
      <c r="I79" s="613"/>
      <c r="J79" s="613"/>
      <c r="K79" s="613"/>
      <c r="L79" s="613"/>
      <c r="M79" s="614"/>
      <c r="N79" s="2736"/>
      <c r="O79" s="1767"/>
      <c r="P79" s="1768"/>
      <c r="Q79" s="1769"/>
      <c r="R79" s="1770"/>
      <c r="S79" s="1770"/>
      <c r="T79" s="1770"/>
      <c r="U79" s="1770"/>
      <c r="V79" s="1770"/>
      <c r="W79" s="1770"/>
      <c r="X79" s="1770"/>
      <c r="Y79" s="1770"/>
      <c r="Z79" s="1770"/>
      <c r="AA79" s="1770"/>
      <c r="AB79" s="1770"/>
      <c r="AC79" s="1770"/>
    </row>
    <row r="80" spans="1:29" s="1132" customFormat="1" ht="15.75" thickTop="1">
      <c r="A80" s="629"/>
      <c r="B80" s="615">
        <f>B15</f>
        <v>0</v>
      </c>
      <c r="C80" s="630"/>
      <c r="D80" s="630"/>
      <c r="E80" s="630"/>
      <c r="F80" s="630"/>
      <c r="G80" s="630"/>
      <c r="H80" s="631"/>
      <c r="I80" s="631"/>
      <c r="J80" s="631"/>
      <c r="K80" s="631"/>
      <c r="L80" s="632"/>
      <c r="M80" s="633"/>
      <c r="N80" s="2737"/>
      <c r="O80" s="1768"/>
      <c r="P80" s="1770"/>
      <c r="Q80" s="1771"/>
      <c r="R80" s="1770"/>
      <c r="S80" s="1770"/>
      <c r="T80" s="1770"/>
      <c r="U80" s="1770"/>
      <c r="V80" s="1770"/>
      <c r="W80" s="1770"/>
      <c r="X80" s="1770"/>
      <c r="Y80" s="1770"/>
      <c r="Z80" s="1770"/>
      <c r="AA80" s="1770"/>
      <c r="AB80" s="1770"/>
      <c r="AC80" s="1770"/>
    </row>
    <row r="81" spans="1:29" s="1132" customFormat="1" ht="15.75" thickBot="1">
      <c r="A81" s="629"/>
      <c r="B81" s="620"/>
      <c r="C81" s="634"/>
      <c r="D81" s="634"/>
      <c r="E81" s="634"/>
      <c r="F81" s="634"/>
      <c r="G81" s="634"/>
      <c r="H81" s="635"/>
      <c r="I81" s="635"/>
      <c r="J81" s="635"/>
      <c r="K81" s="635"/>
      <c r="L81" s="635"/>
      <c r="M81" s="636"/>
      <c r="N81" s="2737"/>
      <c r="O81" s="1768"/>
      <c r="P81" s="1768"/>
      <c r="Q81" s="1769"/>
      <c r="R81" s="1770"/>
      <c r="S81" s="1770"/>
      <c r="T81" s="1770"/>
      <c r="U81" s="1770"/>
      <c r="V81" s="1770"/>
      <c r="W81" s="1770"/>
      <c r="X81" s="1770"/>
      <c r="Y81" s="1770"/>
      <c r="Z81" s="1770"/>
      <c r="AA81" s="1770"/>
      <c r="AB81" s="1770"/>
      <c r="AC81" s="1770"/>
    </row>
    <row r="82" spans="1:29" s="1132" customFormat="1" ht="15.75" thickTop="1">
      <c r="A82" s="629"/>
      <c r="B82" s="623">
        <f>B16</f>
        <v>0</v>
      </c>
      <c r="C82" s="80"/>
      <c r="D82" s="80"/>
      <c r="E82" s="80"/>
      <c r="F82" s="80"/>
      <c r="G82" s="80"/>
      <c r="H82" s="637"/>
      <c r="I82" s="637"/>
      <c r="J82" s="637"/>
      <c r="K82" s="637"/>
      <c r="L82" s="638"/>
      <c r="M82" s="639"/>
      <c r="N82" s="2737"/>
      <c r="O82" s="1768"/>
      <c r="P82" s="1772"/>
      <c r="Q82" s="1769"/>
      <c r="R82" s="1770"/>
      <c r="S82" s="1770"/>
      <c r="T82" s="1770"/>
      <c r="U82" s="1770"/>
      <c r="V82" s="1770"/>
      <c r="W82" s="1770"/>
      <c r="X82" s="1770"/>
      <c r="Y82" s="1770"/>
      <c r="Z82" s="1770"/>
      <c r="AA82" s="1770"/>
      <c r="AB82" s="1770"/>
      <c r="AC82" s="1770"/>
    </row>
    <row r="83" spans="1:29" s="1132" customFormat="1" ht="15.75" thickBot="1">
      <c r="A83" s="640"/>
      <c r="B83" s="641"/>
      <c r="C83" s="642"/>
      <c r="D83" s="642"/>
      <c r="E83" s="642"/>
      <c r="F83" s="642"/>
      <c r="G83" s="642"/>
      <c r="H83" s="643"/>
      <c r="I83" s="643"/>
      <c r="J83" s="643"/>
      <c r="K83" s="643"/>
      <c r="L83" s="643"/>
      <c r="M83" s="644"/>
      <c r="N83" s="2737"/>
      <c r="O83" s="1768"/>
      <c r="P83" s="1768"/>
      <c r="Q83" s="1769"/>
      <c r="R83" s="1770"/>
      <c r="S83" s="1770"/>
      <c r="T83" s="1770"/>
      <c r="U83" s="1770"/>
      <c r="V83" s="1770"/>
      <c r="W83" s="1770"/>
      <c r="X83" s="1770"/>
      <c r="Y83" s="1770"/>
      <c r="Z83" s="1770"/>
      <c r="AA83" s="1770"/>
      <c r="AB83" s="1770"/>
      <c r="AC83" s="1770"/>
    </row>
    <row r="84" spans="1:29">
      <c r="A84" s="607" t="s">
        <v>488</v>
      </c>
      <c r="B84" s="608" t="s">
        <v>550</v>
      </c>
      <c r="C84" s="143" t="s">
        <v>527</v>
      </c>
      <c r="D84" s="143" t="s">
        <v>528</v>
      </c>
      <c r="E84" s="143" t="s">
        <v>529</v>
      </c>
      <c r="F84" s="143" t="s">
        <v>530</v>
      </c>
      <c r="G84" s="143" t="s">
        <v>531</v>
      </c>
      <c r="H84" s="645"/>
      <c r="I84" s="645"/>
      <c r="J84" s="645"/>
      <c r="K84" s="646"/>
      <c r="L84" s="647"/>
      <c r="M84" s="648"/>
      <c r="N84" s="2735"/>
      <c r="O84" s="1766"/>
      <c r="P84" s="1773"/>
      <c r="Q84" s="1762"/>
      <c r="R84" s="1741"/>
      <c r="S84" s="1741"/>
      <c r="T84" s="1741"/>
      <c r="U84" s="1741"/>
      <c r="V84" s="1741"/>
      <c r="W84" s="1741"/>
      <c r="X84" s="1741"/>
      <c r="Y84" s="1741"/>
      <c r="Z84" s="1741"/>
      <c r="AA84" s="1741"/>
      <c r="AB84" s="1741"/>
      <c r="AC84" s="1741"/>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6"/>
      <c r="O85" s="1767"/>
      <c r="P85" s="1765"/>
      <c r="Q85" s="1762"/>
      <c r="R85" s="1741"/>
      <c r="S85" s="1741"/>
      <c r="T85" s="1741"/>
      <c r="U85" s="1741"/>
      <c r="V85" s="1741"/>
      <c r="W85" s="1741"/>
      <c r="X85" s="1741"/>
      <c r="Y85" s="1741"/>
      <c r="Z85" s="1741"/>
      <c r="AA85" s="1741"/>
      <c r="AB85" s="1741"/>
      <c r="AC85" s="1741"/>
    </row>
    <row r="86" spans="1:29" ht="15.75" thickTop="1">
      <c r="A86" s="482"/>
      <c r="B86" s="615" t="s">
        <v>534</v>
      </c>
      <c r="C86" s="649" t="s">
        <v>527</v>
      </c>
      <c r="D86" s="649" t="s">
        <v>528</v>
      </c>
      <c r="E86" s="649" t="s">
        <v>529</v>
      </c>
      <c r="F86" s="649" t="s">
        <v>530</v>
      </c>
      <c r="G86" s="649" t="s">
        <v>531</v>
      </c>
      <c r="H86" s="616"/>
      <c r="I86" s="616"/>
      <c r="J86" s="616"/>
      <c r="K86" s="617"/>
      <c r="L86" s="618"/>
      <c r="M86" s="619"/>
      <c r="N86" s="2735"/>
      <c r="O86" s="1766"/>
      <c r="P86" s="1765"/>
      <c r="Q86" s="1762"/>
      <c r="R86" s="1741"/>
      <c r="S86" s="1741"/>
      <c r="T86" s="1741"/>
      <c r="U86" s="1741"/>
      <c r="V86" s="1741"/>
      <c r="W86" s="1741"/>
      <c r="X86" s="1741"/>
      <c r="Y86" s="1741"/>
      <c r="Z86" s="1741"/>
      <c r="AA86" s="1741"/>
      <c r="AB86" s="1741"/>
      <c r="AC86" s="1741"/>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6"/>
      <c r="O87" s="1767"/>
      <c r="P87" s="1765"/>
      <c r="Q87" s="1762"/>
      <c r="R87" s="1741"/>
      <c r="S87" s="1741"/>
      <c r="T87" s="1741"/>
      <c r="U87" s="1741"/>
      <c r="V87" s="1741"/>
      <c r="W87" s="1741"/>
      <c r="X87" s="1741"/>
      <c r="Y87" s="1741"/>
      <c r="Z87" s="1741"/>
      <c r="AA87" s="1741"/>
      <c r="AB87" s="1741"/>
      <c r="AC87" s="1741"/>
    </row>
    <row r="88" spans="1:29" s="1058" customFormat="1" ht="27.75" thickTop="1">
      <c r="A88" s="486"/>
      <c r="B88" s="615" t="s">
        <v>535</v>
      </c>
      <c r="C88" s="649" t="s">
        <v>527</v>
      </c>
      <c r="D88" s="649" t="s">
        <v>528</v>
      </c>
      <c r="E88" s="649" t="s">
        <v>529</v>
      </c>
      <c r="F88" s="649" t="s">
        <v>530</v>
      </c>
      <c r="G88" s="649" t="s">
        <v>531</v>
      </c>
      <c r="H88" s="649"/>
      <c r="I88" s="649"/>
      <c r="J88" s="649"/>
      <c r="K88" s="649"/>
      <c r="L88" s="650"/>
      <c r="M88" s="651"/>
      <c r="N88" s="2734"/>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52">
        <v>100</v>
      </c>
      <c r="D89" s="621">
        <f>C89-$K21</f>
        <v>100</v>
      </c>
      <c r="E89" s="621">
        <f>D89-$K21</f>
        <v>100</v>
      </c>
      <c r="F89" s="621">
        <f>E89-$K21</f>
        <v>100</v>
      </c>
      <c r="G89" s="621">
        <f>F89-$K21</f>
        <v>100</v>
      </c>
      <c r="H89" s="621"/>
      <c r="I89" s="621"/>
      <c r="J89" s="621"/>
      <c r="K89" s="621"/>
      <c r="L89" s="621"/>
      <c r="M89" s="622"/>
      <c r="N89" s="2736"/>
      <c r="O89" s="1767"/>
      <c r="P89" s="1765"/>
      <c r="Q89" s="1762"/>
      <c r="R89" s="1639"/>
      <c r="S89" s="1639"/>
      <c r="T89" s="1639"/>
      <c r="U89" s="1639"/>
      <c r="V89" s="1639"/>
      <c r="W89" s="1639"/>
      <c r="X89" s="1639"/>
      <c r="Y89" s="1639"/>
      <c r="Z89" s="1639"/>
      <c r="AA89" s="1639"/>
      <c r="AB89" s="1639"/>
      <c r="AC89" s="1639"/>
    </row>
    <row r="90" spans="1:29" s="1058" customFormat="1" ht="27.75" thickTop="1">
      <c r="A90" s="486"/>
      <c r="B90" s="615" t="s">
        <v>536</v>
      </c>
      <c r="C90" s="143" t="s">
        <v>527</v>
      </c>
      <c r="D90" s="143" t="s">
        <v>528</v>
      </c>
      <c r="E90" s="143" t="s">
        <v>529</v>
      </c>
      <c r="F90" s="143" t="s">
        <v>530</v>
      </c>
      <c r="G90" s="143" t="s">
        <v>531</v>
      </c>
      <c r="H90" s="649"/>
      <c r="I90" s="649"/>
      <c r="J90" s="649"/>
      <c r="K90" s="649"/>
      <c r="L90" s="649"/>
      <c r="M90" s="651"/>
      <c r="N90" s="2734"/>
      <c r="O90" s="1765"/>
      <c r="P90" s="1765"/>
      <c r="Q90" s="1762"/>
      <c r="R90" s="1639"/>
      <c r="S90" s="1639"/>
      <c r="T90" s="1639"/>
      <c r="U90" s="1639"/>
      <c r="V90" s="1639"/>
      <c r="W90" s="1639"/>
      <c r="X90" s="1639"/>
      <c r="Y90" s="1639"/>
      <c r="Z90" s="1639"/>
      <c r="AA90" s="1639"/>
      <c r="AB90" s="1639"/>
      <c r="AC90" s="1639"/>
    </row>
    <row r="91" spans="1:29" s="1058" customFormat="1" ht="15.75" thickBot="1">
      <c r="A91" s="486"/>
      <c r="B91" s="620"/>
      <c r="C91" s="621">
        <v>100</v>
      </c>
      <c r="D91" s="621">
        <f>C91-$K23</f>
        <v>100</v>
      </c>
      <c r="E91" s="621">
        <f>D91-$K23</f>
        <v>100</v>
      </c>
      <c r="F91" s="621">
        <f>E91-$K23</f>
        <v>100</v>
      </c>
      <c r="G91" s="621">
        <f>F91-$K23</f>
        <v>100</v>
      </c>
      <c r="H91" s="621"/>
      <c r="I91" s="621"/>
      <c r="J91" s="621"/>
      <c r="K91" s="621"/>
      <c r="L91" s="621"/>
      <c r="M91" s="622"/>
      <c r="N91" s="2736"/>
      <c r="O91" s="1767"/>
      <c r="P91" s="1765"/>
      <c r="Q91" s="1762"/>
      <c r="R91" s="1639"/>
      <c r="S91" s="1639"/>
      <c r="T91" s="1639"/>
      <c r="U91" s="1639"/>
      <c r="V91" s="1639"/>
      <c r="W91" s="1639"/>
      <c r="X91" s="1639"/>
      <c r="Y91" s="1639"/>
      <c r="Z91" s="1639"/>
      <c r="AA91" s="1639"/>
      <c r="AB91" s="1639"/>
      <c r="AC91" s="1639"/>
    </row>
    <row r="92" spans="1:29" s="1132" customFormat="1" ht="15.75" thickTop="1">
      <c r="A92" s="629"/>
      <c r="B92" s="1554" t="s">
        <v>1828</v>
      </c>
      <c r="C92" s="143" t="s">
        <v>527</v>
      </c>
      <c r="D92" s="143" t="s">
        <v>528</v>
      </c>
      <c r="E92" s="143" t="s">
        <v>529</v>
      </c>
      <c r="F92" s="143" t="s">
        <v>530</v>
      </c>
      <c r="G92" s="143" t="s">
        <v>531</v>
      </c>
      <c r="H92" s="653"/>
      <c r="I92" s="653"/>
      <c r="J92" s="653"/>
      <c r="K92" s="653"/>
      <c r="L92" s="654"/>
      <c r="M92" s="655"/>
      <c r="N92" s="2737"/>
      <c r="O92" s="1768"/>
      <c r="P92" s="1768"/>
      <c r="Q92" s="1769"/>
      <c r="R92" s="1770"/>
      <c r="S92" s="1770"/>
      <c r="T92" s="1770"/>
      <c r="U92" s="1770"/>
      <c r="V92" s="1770"/>
      <c r="W92" s="1770"/>
      <c r="X92" s="1770"/>
      <c r="Y92" s="1770"/>
      <c r="Z92" s="1770"/>
      <c r="AA92" s="1770"/>
      <c r="AB92" s="1770"/>
      <c r="AC92" s="1770"/>
    </row>
    <row r="93" spans="1:29" s="1132" customFormat="1" ht="15.75" thickBot="1">
      <c r="A93" s="629"/>
      <c r="B93" s="620"/>
      <c r="C93" s="621">
        <v>100</v>
      </c>
      <c r="D93" s="621">
        <f>C93-$K25</f>
        <v>100</v>
      </c>
      <c r="E93" s="621">
        <f>D93-$K25</f>
        <v>100</v>
      </c>
      <c r="F93" s="621">
        <f>E93-$K25</f>
        <v>100</v>
      </c>
      <c r="G93" s="621">
        <f>F93-$K25</f>
        <v>100</v>
      </c>
      <c r="H93" s="656"/>
      <c r="I93" s="656"/>
      <c r="J93" s="656"/>
      <c r="K93" s="656"/>
      <c r="L93" s="656"/>
      <c r="M93" s="657"/>
      <c r="N93" s="2737"/>
      <c r="O93" s="1768"/>
      <c r="P93" s="1768"/>
      <c r="Q93" s="1769"/>
      <c r="R93" s="1770"/>
      <c r="S93" s="1770"/>
      <c r="T93" s="1770"/>
      <c r="U93" s="1770"/>
      <c r="V93" s="1770"/>
      <c r="W93" s="1770"/>
      <c r="X93" s="1770"/>
      <c r="Y93" s="1770"/>
      <c r="Z93" s="1770"/>
      <c r="AA93" s="1770"/>
      <c r="AB93" s="1770"/>
      <c r="AC93" s="1770"/>
    </row>
    <row r="94" spans="1:29" s="1132" customFormat="1" ht="15.75" thickTop="1">
      <c r="A94" s="629"/>
      <c r="B94" s="2055" t="s">
        <v>1830</v>
      </c>
      <c r="C94" s="2056" t="s">
        <v>1831</v>
      </c>
      <c r="D94" s="2056" t="s">
        <v>1832</v>
      </c>
      <c r="E94" s="2056" t="s">
        <v>1833</v>
      </c>
      <c r="F94" s="2056" t="s">
        <v>1834</v>
      </c>
      <c r="G94" s="2056" t="s">
        <v>1835</v>
      </c>
      <c r="H94" s="653"/>
      <c r="I94" s="653"/>
      <c r="J94" s="653"/>
      <c r="K94" s="653"/>
      <c r="L94" s="653"/>
      <c r="M94" s="655"/>
      <c r="N94" s="2737"/>
      <c r="O94" s="1768"/>
      <c r="P94" s="1768"/>
      <c r="Q94" s="1769"/>
      <c r="R94" s="1770"/>
      <c r="S94" s="1770"/>
      <c r="T94" s="1770"/>
      <c r="U94" s="1770"/>
      <c r="V94" s="1770"/>
      <c r="W94" s="1770"/>
      <c r="X94" s="1770"/>
      <c r="Y94" s="1770"/>
      <c r="Z94" s="1770"/>
      <c r="AA94" s="1770"/>
      <c r="AB94" s="1770"/>
      <c r="AC94" s="1770"/>
    </row>
    <row r="95" spans="1:29" s="1132" customFormat="1" ht="15.75" thickBot="1">
      <c r="A95" s="629"/>
      <c r="B95" s="623"/>
      <c r="C95" s="621">
        <v>100</v>
      </c>
      <c r="D95" s="621">
        <f>C95-$K27</f>
        <v>100</v>
      </c>
      <c r="E95" s="621">
        <f>D95-$K27</f>
        <v>100</v>
      </c>
      <c r="F95" s="621">
        <f>E95-$K27</f>
        <v>100</v>
      </c>
      <c r="G95" s="621">
        <f>F95-$K27</f>
        <v>100</v>
      </c>
      <c r="H95" s="625"/>
      <c r="I95" s="625"/>
      <c r="J95" s="625"/>
      <c r="K95" s="625"/>
      <c r="L95" s="625"/>
      <c r="M95" s="2048"/>
      <c r="N95" s="2737"/>
      <c r="O95" s="1768"/>
      <c r="P95" s="1768"/>
      <c r="Q95" s="1769"/>
      <c r="R95" s="1770"/>
      <c r="S95" s="1770"/>
      <c r="T95" s="1770"/>
      <c r="U95" s="1770"/>
      <c r="V95" s="1770"/>
      <c r="W95" s="1770"/>
      <c r="X95" s="1770"/>
      <c r="Y95" s="1770"/>
      <c r="Z95" s="1770"/>
      <c r="AA95" s="1770"/>
      <c r="AB95" s="1770"/>
      <c r="AC95" s="1770"/>
    </row>
    <row r="96" spans="1:29" ht="15.75" thickTop="1">
      <c r="A96" s="482"/>
      <c r="B96" s="615" t="str">
        <f>B29</f>
        <v>临街状况</v>
      </c>
      <c r="C96" s="616" t="s">
        <v>537</v>
      </c>
      <c r="D96" s="616" t="s">
        <v>538</v>
      </c>
      <c r="E96" s="616" t="s">
        <v>539</v>
      </c>
      <c r="F96" s="616" t="s">
        <v>540</v>
      </c>
      <c r="G96" s="616"/>
      <c r="H96" s="616"/>
      <c r="I96" s="616"/>
      <c r="J96" s="616"/>
      <c r="K96" s="617"/>
      <c r="L96" s="618"/>
      <c r="M96" s="619"/>
      <c r="N96" s="2735"/>
      <c r="O96" s="1766"/>
      <c r="P96" s="1765"/>
      <c r="Q96" s="1762"/>
      <c r="R96" s="1741"/>
      <c r="S96" s="1741"/>
      <c r="T96" s="1741"/>
      <c r="U96" s="1741"/>
      <c r="V96" s="1741"/>
      <c r="W96" s="1741"/>
      <c r="X96" s="1741"/>
      <c r="Y96" s="1741"/>
      <c r="Z96" s="1741"/>
      <c r="AA96" s="1741"/>
      <c r="AB96" s="1741"/>
      <c r="AC96" s="1741"/>
    </row>
    <row r="97" spans="1:29" ht="15.75" thickBot="1">
      <c r="A97" s="482"/>
      <c r="B97" s="620"/>
      <c r="C97" s="621">
        <v>100</v>
      </c>
      <c r="D97" s="621">
        <f t="shared" ref="D97:M97" si="22">C97-$K29</f>
        <v>100</v>
      </c>
      <c r="E97" s="621">
        <f t="shared" si="22"/>
        <v>100</v>
      </c>
      <c r="F97" s="621">
        <f t="shared" si="22"/>
        <v>100</v>
      </c>
      <c r="G97" s="621">
        <f t="shared" si="22"/>
        <v>100</v>
      </c>
      <c r="H97" s="621">
        <f t="shared" si="22"/>
        <v>100</v>
      </c>
      <c r="I97" s="621">
        <f t="shared" si="22"/>
        <v>100</v>
      </c>
      <c r="J97" s="621">
        <f t="shared" si="22"/>
        <v>100</v>
      </c>
      <c r="K97" s="621">
        <f t="shared" si="22"/>
        <v>100</v>
      </c>
      <c r="L97" s="621">
        <f t="shared" si="22"/>
        <v>100</v>
      </c>
      <c r="M97" s="621">
        <f t="shared" si="22"/>
        <v>100</v>
      </c>
      <c r="N97" s="2736"/>
      <c r="O97" s="1767"/>
      <c r="P97" s="1765"/>
      <c r="Q97" s="1762"/>
      <c r="R97" s="1741"/>
      <c r="S97" s="1741"/>
      <c r="T97" s="1741"/>
      <c r="U97" s="1741"/>
      <c r="V97" s="1741"/>
      <c r="W97" s="1741"/>
      <c r="X97" s="1741"/>
      <c r="Y97" s="1741"/>
      <c r="Z97" s="1741"/>
      <c r="AA97" s="1741"/>
      <c r="AB97" s="1741"/>
      <c r="AC97" s="1741"/>
    </row>
    <row r="98" spans="1:29" ht="27.75" thickTop="1">
      <c r="A98" s="482"/>
      <c r="B98" s="615" t="s">
        <v>497</v>
      </c>
      <c r="C98" s="630"/>
      <c r="D98" s="630"/>
      <c r="E98" s="630"/>
      <c r="F98" s="630"/>
      <c r="G98" s="630"/>
      <c r="H98" s="658"/>
      <c r="I98" s="658"/>
      <c r="J98" s="658"/>
      <c r="K98" s="659"/>
      <c r="L98" s="660"/>
      <c r="M98" s="661"/>
      <c r="N98" s="2735"/>
      <c r="O98" s="1766"/>
      <c r="P98" s="1765"/>
      <c r="Q98" s="1762"/>
      <c r="R98" s="1741"/>
      <c r="S98" s="1741"/>
      <c r="T98" s="1741"/>
      <c r="U98" s="1741"/>
      <c r="V98" s="1741"/>
      <c r="W98" s="1741"/>
      <c r="X98" s="1741"/>
      <c r="Y98" s="1741"/>
      <c r="Z98" s="1741"/>
      <c r="AA98" s="1741"/>
      <c r="AB98" s="1741"/>
      <c r="AC98" s="1741"/>
    </row>
    <row r="99" spans="1:29" ht="15.75" thickBot="1">
      <c r="A99" s="482"/>
      <c r="B99" s="620"/>
      <c r="C99" s="621">
        <v>100</v>
      </c>
      <c r="D99" s="621">
        <f t="shared" ref="D99:M99" si="23">C99-$K30</f>
        <v>100</v>
      </c>
      <c r="E99" s="621">
        <f t="shared" si="23"/>
        <v>100</v>
      </c>
      <c r="F99" s="621">
        <f t="shared" si="23"/>
        <v>100</v>
      </c>
      <c r="G99" s="621">
        <f t="shared" si="23"/>
        <v>100</v>
      </c>
      <c r="H99" s="621">
        <f t="shared" si="23"/>
        <v>100</v>
      </c>
      <c r="I99" s="621">
        <f t="shared" si="23"/>
        <v>100</v>
      </c>
      <c r="J99" s="621">
        <f t="shared" si="23"/>
        <v>100</v>
      </c>
      <c r="K99" s="621">
        <f t="shared" si="23"/>
        <v>100</v>
      </c>
      <c r="L99" s="621">
        <f t="shared" si="23"/>
        <v>100</v>
      </c>
      <c r="M99" s="621">
        <f t="shared" si="23"/>
        <v>100</v>
      </c>
      <c r="N99" s="2736"/>
      <c r="O99" s="1767"/>
      <c r="P99" s="1765"/>
      <c r="Q99" s="1762"/>
      <c r="R99" s="1741"/>
      <c r="S99" s="1741"/>
      <c r="T99" s="1741"/>
      <c r="U99" s="1741"/>
      <c r="V99" s="1741"/>
      <c r="W99" s="1741"/>
      <c r="X99" s="1741"/>
      <c r="Y99" s="1741"/>
      <c r="Z99" s="1741"/>
      <c r="AA99" s="1741"/>
      <c r="AB99" s="1741"/>
      <c r="AC99" s="1741"/>
    </row>
    <row r="100" spans="1:29" ht="15.75" thickTop="1">
      <c r="A100" s="482"/>
      <c r="B100" s="615" t="s">
        <v>498</v>
      </c>
      <c r="C100" s="658"/>
      <c r="D100" s="658"/>
      <c r="E100" s="658"/>
      <c r="F100" s="658"/>
      <c r="G100" s="658"/>
      <c r="H100" s="658"/>
      <c r="I100" s="658"/>
      <c r="J100" s="658"/>
      <c r="K100" s="659"/>
      <c r="L100" s="660"/>
      <c r="M100" s="661"/>
      <c r="N100" s="2735"/>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24">C101-$K32</f>
        <v>100</v>
      </c>
      <c r="E101" s="621">
        <f t="shared" si="24"/>
        <v>100</v>
      </c>
      <c r="F101" s="621">
        <f t="shared" si="24"/>
        <v>100</v>
      </c>
      <c r="G101" s="621">
        <f t="shared" si="24"/>
        <v>100</v>
      </c>
      <c r="H101" s="621">
        <f t="shared" si="24"/>
        <v>100</v>
      </c>
      <c r="I101" s="621">
        <f t="shared" si="24"/>
        <v>100</v>
      </c>
      <c r="J101" s="621">
        <f t="shared" si="24"/>
        <v>100</v>
      </c>
      <c r="K101" s="621">
        <f t="shared" si="24"/>
        <v>100</v>
      </c>
      <c r="L101" s="621">
        <f t="shared" si="24"/>
        <v>100</v>
      </c>
      <c r="M101" s="621">
        <f t="shared" si="24"/>
        <v>100</v>
      </c>
      <c r="N101" s="2736"/>
      <c r="O101" s="1767"/>
      <c r="P101" s="1765"/>
      <c r="Q101" s="1762"/>
      <c r="R101" s="1741"/>
      <c r="S101" s="1741"/>
      <c r="T101" s="1741"/>
      <c r="U101" s="1741"/>
      <c r="V101" s="1741"/>
      <c r="W101" s="1741"/>
      <c r="X101" s="1741"/>
      <c r="Y101" s="1741"/>
      <c r="Z101" s="1741"/>
      <c r="AA101" s="1741"/>
      <c r="AB101" s="1741"/>
      <c r="AC101" s="1741"/>
    </row>
    <row r="102" spans="1:29" ht="15.75" thickTop="1">
      <c r="A102" s="482"/>
      <c r="B102" s="623">
        <f>B33</f>
        <v>0</v>
      </c>
      <c r="C102" s="630"/>
      <c r="D102" s="630"/>
      <c r="E102" s="630"/>
      <c r="F102" s="630"/>
      <c r="G102" s="662"/>
      <c r="H102" s="662"/>
      <c r="I102" s="662"/>
      <c r="J102" s="662"/>
      <c r="K102" s="663"/>
      <c r="L102" s="664"/>
      <c r="M102" s="665"/>
      <c r="N102" s="2735"/>
      <c r="O102" s="1766"/>
      <c r="P102" s="1765"/>
      <c r="Q102" s="1762"/>
      <c r="R102" s="1741"/>
      <c r="S102" s="1741"/>
      <c r="T102" s="1741"/>
      <c r="U102" s="1741"/>
      <c r="V102" s="1741"/>
      <c r="W102" s="1741"/>
      <c r="X102" s="1741"/>
      <c r="Y102" s="1741"/>
      <c r="Z102" s="1741"/>
      <c r="AA102" s="1741"/>
      <c r="AB102" s="1741"/>
      <c r="AC102" s="1741"/>
    </row>
    <row r="103" spans="1:29" ht="15.75" thickBot="1">
      <c r="A103" s="482"/>
      <c r="B103" s="641"/>
      <c r="C103" s="634"/>
      <c r="D103" s="613"/>
      <c r="E103" s="613"/>
      <c r="F103" s="613"/>
      <c r="G103" s="666"/>
      <c r="H103" s="666"/>
      <c r="I103" s="666"/>
      <c r="J103" s="666"/>
      <c r="K103" s="666"/>
      <c r="L103" s="666"/>
      <c r="M103" s="667"/>
      <c r="N103" s="2736"/>
      <c r="O103" s="1767"/>
      <c r="P103" s="1765"/>
      <c r="Q103" s="1762"/>
      <c r="R103" s="1741"/>
      <c r="S103" s="1741"/>
      <c r="T103" s="1741"/>
      <c r="U103" s="1741"/>
      <c r="V103" s="1741"/>
      <c r="W103" s="1741"/>
      <c r="X103" s="1741"/>
      <c r="Y103" s="1741"/>
      <c r="Z103" s="1741"/>
      <c r="AA103" s="1741"/>
      <c r="AB103" s="1741"/>
      <c r="AC103" s="1741"/>
    </row>
    <row r="104" spans="1:29" ht="15" thickTop="1">
      <c r="A104" s="536"/>
      <c r="B104" s="615">
        <f>B34</f>
        <v>0</v>
      </c>
      <c r="C104" s="630"/>
      <c r="D104" s="630"/>
      <c r="E104" s="630"/>
      <c r="F104" s="630"/>
      <c r="G104" s="658"/>
      <c r="H104" s="658"/>
      <c r="I104" s="658"/>
      <c r="J104" s="658"/>
      <c r="K104" s="659"/>
      <c r="L104" s="660"/>
      <c r="M104" s="661"/>
      <c r="N104" s="2735"/>
      <c r="O104" s="1766"/>
      <c r="P104" s="1765"/>
      <c r="Q104" s="1762"/>
      <c r="R104" s="1741"/>
      <c r="S104" s="1741"/>
      <c r="T104" s="1741"/>
      <c r="U104" s="1741"/>
      <c r="V104" s="1741"/>
      <c r="W104" s="1741"/>
      <c r="X104" s="1741"/>
      <c r="Y104" s="1741"/>
      <c r="Z104" s="1741"/>
      <c r="AA104" s="1741"/>
      <c r="AB104" s="1741"/>
      <c r="AC104" s="1741"/>
    </row>
    <row r="105" spans="1:29" ht="15.75" thickBot="1">
      <c r="A105" s="482"/>
      <c r="B105" s="620"/>
      <c r="C105" s="634"/>
      <c r="D105" s="634"/>
      <c r="E105" s="634"/>
      <c r="F105" s="634"/>
      <c r="G105" s="613"/>
      <c r="H105" s="613"/>
      <c r="I105" s="613"/>
      <c r="J105" s="613"/>
      <c r="K105" s="613"/>
      <c r="L105" s="613"/>
      <c r="M105" s="614"/>
      <c r="N105" s="2736"/>
      <c r="O105" s="1767"/>
      <c r="P105" s="1765"/>
      <c r="Q105" s="1762"/>
      <c r="R105" s="1741"/>
      <c r="S105" s="1741"/>
      <c r="T105" s="1741"/>
      <c r="U105" s="1741"/>
      <c r="V105" s="1741"/>
      <c r="W105" s="1741"/>
      <c r="X105" s="1741"/>
      <c r="Y105" s="1741"/>
      <c r="Z105" s="1741"/>
      <c r="AA105" s="1741"/>
      <c r="AB105" s="1741"/>
      <c r="AC105" s="1741"/>
    </row>
    <row r="106" spans="1:29" s="1132" customFormat="1" ht="15" thickTop="1">
      <c r="A106" s="552"/>
      <c r="B106" s="668">
        <f>B35</f>
        <v>0</v>
      </c>
      <c r="C106" s="80"/>
      <c r="D106" s="80"/>
      <c r="E106" s="80"/>
      <c r="F106" s="80"/>
      <c r="G106" s="79"/>
      <c r="H106" s="79"/>
      <c r="I106" s="79"/>
      <c r="J106" s="669"/>
      <c r="K106" s="669"/>
      <c r="L106" s="670"/>
      <c r="M106" s="671"/>
      <c r="N106" s="2737"/>
      <c r="O106" s="1768"/>
      <c r="P106" s="1768"/>
      <c r="Q106" s="1769"/>
      <c r="R106" s="1770"/>
      <c r="S106" s="1770"/>
      <c r="T106" s="1770"/>
      <c r="U106" s="1770"/>
      <c r="V106" s="1770"/>
      <c r="W106" s="1770"/>
      <c r="X106" s="1770"/>
      <c r="Y106" s="1770"/>
      <c r="Z106" s="1770"/>
      <c r="AA106" s="1770"/>
      <c r="AB106" s="1770"/>
      <c r="AC106" s="1770"/>
    </row>
    <row r="107" spans="1:29" s="1132" customFormat="1" ht="15.75" thickBot="1">
      <c r="A107" s="629"/>
      <c r="B107" s="623"/>
      <c r="C107" s="642"/>
      <c r="D107" s="642"/>
      <c r="E107" s="642"/>
      <c r="F107" s="642"/>
      <c r="G107" s="541"/>
      <c r="H107" s="541"/>
      <c r="I107" s="541"/>
      <c r="J107" s="541"/>
      <c r="K107" s="541"/>
      <c r="L107" s="541"/>
      <c r="M107" s="672"/>
      <c r="N107" s="2736"/>
      <c r="O107" s="1767"/>
      <c r="P107" s="1768"/>
      <c r="Q107" s="1769"/>
      <c r="R107" s="1770"/>
      <c r="S107" s="1770"/>
      <c r="T107" s="1770"/>
      <c r="U107" s="1770"/>
      <c r="V107" s="1770"/>
      <c r="W107" s="1770"/>
      <c r="X107" s="1770"/>
      <c r="Y107" s="1770"/>
      <c r="Z107" s="1770"/>
      <c r="AA107" s="1770"/>
      <c r="AB107" s="1770"/>
      <c r="AC107" s="1770"/>
    </row>
    <row r="108" spans="1:29">
      <c r="A108" s="607" t="s">
        <v>500</v>
      </c>
      <c r="B108" s="608" t="s">
        <v>541</v>
      </c>
      <c r="C108" s="645" t="str">
        <f t="shared" ref="C108:L108" si="25">C109&amp;"(含)"&amp;"-"&amp;D109</f>
        <v>0(含)-</v>
      </c>
      <c r="D108" s="645" t="str">
        <f t="shared" si="25"/>
        <v>(含)-</v>
      </c>
      <c r="E108" s="645" t="str">
        <f t="shared" si="25"/>
        <v>(含)-</v>
      </c>
      <c r="F108" s="645" t="str">
        <f t="shared" si="25"/>
        <v>(含)-</v>
      </c>
      <c r="G108" s="645" t="str">
        <f t="shared" si="25"/>
        <v>(含)-</v>
      </c>
      <c r="H108" s="645" t="str">
        <f t="shared" si="25"/>
        <v>(含)-</v>
      </c>
      <c r="I108" s="645" t="str">
        <f t="shared" si="25"/>
        <v>(含)-</v>
      </c>
      <c r="J108" s="645" t="str">
        <f t="shared" si="25"/>
        <v>(含)-</v>
      </c>
      <c r="K108" s="2347" t="str">
        <f t="shared" si="25"/>
        <v>(含)-</v>
      </c>
      <c r="L108" s="2348" t="str">
        <f t="shared" si="25"/>
        <v>(含)-</v>
      </c>
      <c r="M108" s="145" t="str">
        <f>M109&amp;"(含)"&amp;"-"&amp;P109</f>
        <v>(含)-</v>
      </c>
      <c r="N108" s="2735"/>
      <c r="O108" s="1766"/>
      <c r="P108" s="1765"/>
      <c r="Q108" s="1762"/>
      <c r="R108" s="1741"/>
      <c r="S108" s="1741"/>
      <c r="T108" s="1741"/>
      <c r="U108" s="1741"/>
      <c r="V108" s="1741"/>
      <c r="W108" s="1741"/>
      <c r="X108" s="1741"/>
      <c r="Y108" s="1741"/>
      <c r="Z108" s="1741"/>
      <c r="AA108" s="1741"/>
      <c r="AB108" s="1741"/>
      <c r="AC108" s="1741"/>
    </row>
    <row r="109" spans="1:29" ht="15">
      <c r="A109" s="482"/>
      <c r="B109" s="623"/>
      <c r="C109" s="79">
        <v>0</v>
      </c>
      <c r="D109" s="79"/>
      <c r="E109" s="79"/>
      <c r="F109" s="79"/>
      <c r="G109" s="79"/>
      <c r="H109" s="79"/>
      <c r="I109" s="79"/>
      <c r="J109" s="669"/>
      <c r="K109" s="669"/>
      <c r="L109" s="670"/>
      <c r="M109" s="671"/>
      <c r="N109" s="2735"/>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42"/>
      <c r="D110" s="666"/>
      <c r="E110" s="666"/>
      <c r="F110" s="666"/>
      <c r="G110" s="666"/>
      <c r="H110" s="666"/>
      <c r="I110" s="666"/>
      <c r="J110" s="666"/>
      <c r="K110" s="666"/>
      <c r="L110" s="666"/>
      <c r="M110" s="667"/>
      <c r="N110" s="2736"/>
      <c r="O110" s="1767"/>
      <c r="P110" s="1765"/>
      <c r="Q110" s="1762"/>
      <c r="R110" s="1741"/>
      <c r="S110" s="1741"/>
      <c r="T110" s="1741"/>
      <c r="U110" s="1741"/>
      <c r="V110" s="1741"/>
      <c r="W110" s="1741"/>
      <c r="X110" s="1741"/>
      <c r="Y110" s="1741"/>
      <c r="Z110" s="1741"/>
      <c r="AA110" s="1741"/>
      <c r="AB110" s="1741"/>
      <c r="AC110" s="1741"/>
    </row>
    <row r="111" spans="1:29" ht="15" thickTop="1">
      <c r="A111" s="543"/>
      <c r="B111" s="615" t="s">
        <v>542</v>
      </c>
      <c r="C111" s="658"/>
      <c r="D111" s="658"/>
      <c r="E111" s="658"/>
      <c r="F111" s="658"/>
      <c r="G111" s="658"/>
      <c r="H111" s="658"/>
      <c r="I111" s="658"/>
      <c r="J111" s="658"/>
      <c r="K111" s="659"/>
      <c r="L111" s="660"/>
      <c r="M111" s="661"/>
      <c r="N111" s="2735"/>
      <c r="O111" s="1766"/>
      <c r="P111" s="1765"/>
      <c r="Q111" s="1762"/>
      <c r="R111" s="1741"/>
      <c r="S111" s="1741"/>
      <c r="T111" s="1741"/>
      <c r="U111" s="1741"/>
      <c r="V111" s="1741"/>
      <c r="W111" s="1741"/>
      <c r="X111" s="1741"/>
      <c r="Y111" s="1741"/>
      <c r="Z111" s="1741"/>
      <c r="AA111" s="1741"/>
      <c r="AB111" s="1741"/>
      <c r="AC111" s="1741"/>
    </row>
    <row r="112" spans="1:29" ht="15.75" thickBot="1">
      <c r="A112" s="482"/>
      <c r="B112" s="620"/>
      <c r="C112" s="621">
        <v>100</v>
      </c>
      <c r="D112" s="621">
        <f t="shared" ref="D112:M112" si="26">C112-$K37</f>
        <v>100</v>
      </c>
      <c r="E112" s="621">
        <f t="shared" si="26"/>
        <v>100</v>
      </c>
      <c r="F112" s="621">
        <f t="shared" si="26"/>
        <v>100</v>
      </c>
      <c r="G112" s="621">
        <f t="shared" si="26"/>
        <v>100</v>
      </c>
      <c r="H112" s="621">
        <f t="shared" si="26"/>
        <v>100</v>
      </c>
      <c r="I112" s="621">
        <f t="shared" si="26"/>
        <v>100</v>
      </c>
      <c r="J112" s="621">
        <f t="shared" si="26"/>
        <v>100</v>
      </c>
      <c r="K112" s="621">
        <f t="shared" si="26"/>
        <v>100</v>
      </c>
      <c r="L112" s="621">
        <f t="shared" si="26"/>
        <v>100</v>
      </c>
      <c r="M112" s="622">
        <f t="shared" si="26"/>
        <v>100</v>
      </c>
      <c r="N112" s="2736"/>
      <c r="O112" s="1767"/>
      <c r="P112" s="1765"/>
      <c r="Q112" s="1762"/>
      <c r="R112" s="1741"/>
      <c r="S112" s="1741"/>
      <c r="T112" s="1741"/>
      <c r="U112" s="1741"/>
      <c r="V112" s="1741"/>
      <c r="W112" s="1741"/>
      <c r="X112" s="1741"/>
      <c r="Y112" s="1741"/>
      <c r="Z112" s="1741"/>
      <c r="AA112" s="1741"/>
      <c r="AB112" s="1741"/>
      <c r="AC112" s="1741"/>
    </row>
    <row r="113" spans="1:29" s="1132" customFormat="1" ht="15" thickTop="1">
      <c r="A113" s="552"/>
      <c r="B113" s="1554" t="s">
        <v>1774</v>
      </c>
      <c r="C113" s="1165"/>
      <c r="D113" s="1165"/>
      <c r="E113" s="1165"/>
      <c r="F113" s="1165"/>
      <c r="G113" s="1165"/>
      <c r="H113" s="658"/>
      <c r="I113" s="658"/>
      <c r="J113" s="658"/>
      <c r="K113" s="659"/>
      <c r="L113" s="660"/>
      <c r="M113" s="661"/>
      <c r="N113" s="2737"/>
      <c r="O113" s="1768"/>
      <c r="P113" s="1768"/>
      <c r="Q113" s="1769"/>
      <c r="R113" s="1770"/>
      <c r="S113" s="1770"/>
      <c r="T113" s="1770"/>
      <c r="U113" s="1770"/>
      <c r="V113" s="1770"/>
      <c r="W113" s="1770"/>
      <c r="X113" s="1770"/>
      <c r="Y113" s="1770"/>
      <c r="Z113" s="1770"/>
      <c r="AA113" s="1770"/>
      <c r="AB113" s="1770"/>
      <c r="AC113" s="1770"/>
    </row>
    <row r="114" spans="1:29" s="1132" customFormat="1" ht="15.75" thickBot="1">
      <c r="A114" s="629"/>
      <c r="B114" s="620"/>
      <c r="C114" s="621">
        <v>100</v>
      </c>
      <c r="D114" s="621">
        <f t="shared" ref="D114:M114" si="27">C114-$K38</f>
        <v>100</v>
      </c>
      <c r="E114" s="621">
        <f t="shared" si="27"/>
        <v>100</v>
      </c>
      <c r="F114" s="621">
        <f t="shared" si="27"/>
        <v>100</v>
      </c>
      <c r="G114" s="621">
        <f t="shared" si="27"/>
        <v>100</v>
      </c>
      <c r="H114" s="621">
        <f t="shared" si="27"/>
        <v>100</v>
      </c>
      <c r="I114" s="621">
        <f t="shared" si="27"/>
        <v>100</v>
      </c>
      <c r="J114" s="621">
        <f t="shared" si="27"/>
        <v>100</v>
      </c>
      <c r="K114" s="621">
        <f t="shared" si="27"/>
        <v>100</v>
      </c>
      <c r="L114" s="621">
        <f t="shared" si="27"/>
        <v>100</v>
      </c>
      <c r="M114" s="622">
        <f t="shared" si="27"/>
        <v>100</v>
      </c>
      <c r="N114" s="2737"/>
      <c r="O114" s="1768"/>
      <c r="P114" s="1768"/>
      <c r="Q114" s="1769"/>
      <c r="R114" s="1770"/>
      <c r="S114" s="1770"/>
      <c r="T114" s="1770"/>
      <c r="U114" s="1770"/>
      <c r="V114" s="1770"/>
      <c r="W114" s="1770"/>
      <c r="X114" s="1770"/>
      <c r="Y114" s="1770"/>
      <c r="Z114" s="1770"/>
      <c r="AA114" s="1770"/>
      <c r="AB114" s="1770"/>
      <c r="AC114" s="1770"/>
    </row>
    <row r="115" spans="1:29" ht="15" thickTop="1">
      <c r="A115" s="543"/>
      <c r="B115" s="615" t="s">
        <v>544</v>
      </c>
      <c r="C115" s="630"/>
      <c r="D115" s="630"/>
      <c r="E115" s="658"/>
      <c r="F115" s="658"/>
      <c r="G115" s="658"/>
      <c r="H115" s="658"/>
      <c r="I115" s="658"/>
      <c r="J115" s="658"/>
      <c r="K115" s="659"/>
      <c r="L115" s="660"/>
      <c r="M115" s="661"/>
      <c r="N115" s="2735"/>
      <c r="O115" s="1766"/>
      <c r="P115" s="1765"/>
      <c r="Q115" s="1762"/>
      <c r="R115" s="1741"/>
      <c r="S115" s="1741"/>
      <c r="T115" s="1741"/>
      <c r="U115" s="1741"/>
      <c r="V115" s="1741"/>
      <c r="W115" s="1741"/>
      <c r="X115" s="1741"/>
      <c r="Y115" s="1741"/>
      <c r="Z115" s="1741"/>
      <c r="AA115" s="1741"/>
      <c r="AB115" s="1741"/>
      <c r="AC115" s="1741"/>
    </row>
    <row r="116" spans="1:29" ht="15.75" thickBot="1">
      <c r="A116" s="482"/>
      <c r="B116" s="620"/>
      <c r="C116" s="621">
        <v>100</v>
      </c>
      <c r="D116" s="621">
        <f t="shared" ref="D116:M116" si="28">C116-$K39</f>
        <v>100</v>
      </c>
      <c r="E116" s="621">
        <f t="shared" si="28"/>
        <v>100</v>
      </c>
      <c r="F116" s="621">
        <f t="shared" si="28"/>
        <v>100</v>
      </c>
      <c r="G116" s="621">
        <f t="shared" si="28"/>
        <v>100</v>
      </c>
      <c r="H116" s="621">
        <f t="shared" si="28"/>
        <v>100</v>
      </c>
      <c r="I116" s="621">
        <f t="shared" si="28"/>
        <v>100</v>
      </c>
      <c r="J116" s="621">
        <f t="shared" si="28"/>
        <v>100</v>
      </c>
      <c r="K116" s="621">
        <f t="shared" si="28"/>
        <v>100</v>
      </c>
      <c r="L116" s="621">
        <f t="shared" si="28"/>
        <v>100</v>
      </c>
      <c r="M116" s="622">
        <f t="shared" si="28"/>
        <v>100</v>
      </c>
      <c r="N116" s="2736"/>
      <c r="O116" s="1767"/>
      <c r="P116" s="1765"/>
      <c r="Q116" s="1762"/>
      <c r="R116" s="1741"/>
      <c r="S116" s="1741"/>
      <c r="T116" s="1741"/>
      <c r="U116" s="1741"/>
      <c r="V116" s="1741"/>
      <c r="W116" s="1741"/>
      <c r="X116" s="1741"/>
      <c r="Y116" s="1741"/>
      <c r="Z116" s="1741"/>
      <c r="AA116" s="1741"/>
      <c r="AB116" s="1741"/>
      <c r="AC116" s="1741"/>
    </row>
    <row r="117" spans="1:29" ht="15" thickTop="1">
      <c r="A117" s="543"/>
      <c r="B117" s="615">
        <f>B40</f>
        <v>0</v>
      </c>
      <c r="C117" s="630"/>
      <c r="D117" s="630"/>
      <c r="E117" s="630"/>
      <c r="F117" s="630"/>
      <c r="G117" s="630"/>
      <c r="H117" s="658"/>
      <c r="I117" s="658"/>
      <c r="J117" s="658"/>
      <c r="K117" s="659"/>
      <c r="L117" s="660"/>
      <c r="M117" s="661"/>
      <c r="N117" s="2735"/>
      <c r="O117" s="1766"/>
      <c r="P117" s="1765"/>
      <c r="Q117" s="1762"/>
      <c r="R117" s="1741"/>
      <c r="S117" s="1741"/>
      <c r="T117" s="1741"/>
      <c r="U117" s="1741"/>
      <c r="V117" s="1741"/>
      <c r="W117" s="1741"/>
      <c r="X117" s="1741"/>
      <c r="Y117" s="1741"/>
      <c r="Z117" s="1741"/>
      <c r="AA117" s="1741"/>
      <c r="AB117" s="1741"/>
      <c r="AC117" s="1741"/>
    </row>
    <row r="118" spans="1:29" ht="15.75" thickBot="1">
      <c r="A118" s="482"/>
      <c r="B118" s="620"/>
      <c r="C118" s="634"/>
      <c r="D118" s="613"/>
      <c r="E118" s="613"/>
      <c r="F118" s="613"/>
      <c r="G118" s="613"/>
      <c r="H118" s="613"/>
      <c r="I118" s="613"/>
      <c r="J118" s="613"/>
      <c r="K118" s="613"/>
      <c r="L118" s="613"/>
      <c r="M118" s="614"/>
      <c r="N118" s="2736"/>
      <c r="O118" s="1767"/>
      <c r="P118" s="1765"/>
      <c r="Q118" s="1762"/>
      <c r="R118" s="1741"/>
      <c r="S118" s="1741"/>
      <c r="T118" s="1741"/>
      <c r="U118" s="1741"/>
      <c r="V118" s="1741"/>
      <c r="W118" s="1741"/>
      <c r="X118" s="1741"/>
      <c r="Y118" s="1741"/>
      <c r="Z118" s="1741"/>
      <c r="AA118" s="1741"/>
      <c r="AB118" s="1741"/>
      <c r="AC118" s="1741"/>
    </row>
    <row r="119" spans="1:29" ht="15" thickTop="1">
      <c r="A119" s="543"/>
      <c r="B119" s="615">
        <f>B41</f>
        <v>0</v>
      </c>
      <c r="C119" s="630"/>
      <c r="D119" s="630"/>
      <c r="E119" s="630"/>
      <c r="F119" s="630"/>
      <c r="G119" s="658"/>
      <c r="H119" s="658"/>
      <c r="I119" s="658"/>
      <c r="J119" s="658"/>
      <c r="K119" s="659"/>
      <c r="L119" s="660"/>
      <c r="M119" s="661"/>
      <c r="N119" s="2735"/>
      <c r="O119" s="1766"/>
      <c r="P119" s="1765"/>
      <c r="Q119" s="1762"/>
      <c r="R119" s="1741"/>
      <c r="S119" s="1741"/>
      <c r="T119" s="1741"/>
      <c r="U119" s="1741"/>
      <c r="V119" s="1741"/>
      <c r="W119" s="1741"/>
      <c r="X119" s="1741"/>
      <c r="Y119" s="1741"/>
      <c r="Z119" s="1741"/>
      <c r="AA119" s="1741"/>
      <c r="AB119" s="1741"/>
      <c r="AC119" s="1741"/>
    </row>
    <row r="120" spans="1:29" ht="15.75" thickBot="1">
      <c r="A120" s="482"/>
      <c r="B120" s="620"/>
      <c r="C120" s="634"/>
      <c r="D120" s="634"/>
      <c r="E120" s="634"/>
      <c r="F120" s="634"/>
      <c r="G120" s="613"/>
      <c r="H120" s="613"/>
      <c r="I120" s="613"/>
      <c r="J120" s="613"/>
      <c r="K120" s="613"/>
      <c r="L120" s="613"/>
      <c r="M120" s="614"/>
      <c r="N120" s="2736"/>
      <c r="O120" s="1767"/>
      <c r="P120" s="1765"/>
      <c r="Q120" s="1762"/>
      <c r="R120" s="1741"/>
      <c r="S120" s="1741"/>
      <c r="T120" s="1741"/>
      <c r="U120" s="1741"/>
      <c r="V120" s="1741"/>
      <c r="W120" s="1741"/>
      <c r="X120" s="1741"/>
      <c r="Y120" s="1741"/>
      <c r="Z120" s="1741"/>
      <c r="AA120" s="1741"/>
      <c r="AB120" s="1741"/>
      <c r="AC120" s="1741"/>
    </row>
    <row r="121" spans="1:29" s="1132" customFormat="1" ht="15" thickTop="1">
      <c r="A121" s="552"/>
      <c r="B121" s="615">
        <f>B42</f>
        <v>0</v>
      </c>
      <c r="C121" s="80"/>
      <c r="D121" s="80"/>
      <c r="E121" s="80"/>
      <c r="F121" s="80"/>
      <c r="G121" s="631"/>
      <c r="H121" s="631"/>
      <c r="I121" s="631"/>
      <c r="J121" s="631"/>
      <c r="K121" s="631"/>
      <c r="L121" s="632"/>
      <c r="M121" s="633"/>
      <c r="N121" s="2737"/>
      <c r="O121" s="1768"/>
      <c r="P121" s="1768"/>
      <c r="Q121" s="1769"/>
      <c r="R121" s="1770"/>
      <c r="S121" s="1770"/>
      <c r="T121" s="1770"/>
      <c r="U121" s="1770"/>
      <c r="V121" s="1770"/>
      <c r="W121" s="1770"/>
      <c r="X121" s="1770"/>
      <c r="Y121" s="1770"/>
      <c r="Z121" s="1770"/>
      <c r="AA121" s="1770"/>
      <c r="AB121" s="1770"/>
      <c r="AC121" s="1770"/>
    </row>
    <row r="122" spans="1:29" s="1132" customFormat="1" ht="15.75" thickBot="1">
      <c r="A122" s="640"/>
      <c r="B122" s="673"/>
      <c r="C122" s="642"/>
      <c r="D122" s="642"/>
      <c r="E122" s="642"/>
      <c r="F122" s="642"/>
      <c r="G122" s="666"/>
      <c r="H122" s="666"/>
      <c r="I122" s="666"/>
      <c r="J122" s="666"/>
      <c r="K122" s="666"/>
      <c r="L122" s="666"/>
      <c r="M122" s="667"/>
      <c r="N122" s="2737"/>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28" priority="13" stopIfTrue="1">
      <formula>$F$48="超过30%"</formula>
    </cfRule>
  </conditionalFormatting>
  <conditionalFormatting sqref="E49">
    <cfRule type="expression" dxfId="127" priority="51" stopIfTrue="1">
      <formula>#REF!+$F$49="超过20%"</formula>
    </cfRule>
  </conditionalFormatting>
  <conditionalFormatting sqref="E50">
    <cfRule type="expression" dxfId="126" priority="10" stopIfTrue="1">
      <formula>$F$50="超过30%"</formula>
    </cfRule>
  </conditionalFormatting>
  <conditionalFormatting sqref="F9:F42 H9:H42 J9:J42">
    <cfRule type="cellIs" dxfId="125" priority="1" operator="notEqual">
      <formula>100</formula>
    </cfRule>
  </conditionalFormatting>
  <conditionalFormatting sqref="F44">
    <cfRule type="expression" dxfId="124" priority="4">
      <formula>$D$44="简单平均"</formula>
    </cfRule>
  </conditionalFormatting>
  <conditionalFormatting sqref="F48:F50 H48:H50 J48:J50">
    <cfRule type="containsText" dxfId="123" priority="14" stopIfTrue="1" operator="containsText" text="超过">
      <formula>NOT(ISERROR(SEARCH("超过",F48)))</formula>
    </cfRule>
  </conditionalFormatting>
  <conditionalFormatting sqref="G48">
    <cfRule type="expression" dxfId="122" priority="9" stopIfTrue="1">
      <formula>$H$48="超过30%"</formula>
    </cfRule>
  </conditionalFormatting>
  <conditionalFormatting sqref="G49">
    <cfRule type="expression" dxfId="121" priority="8" stopIfTrue="1">
      <formula>$H$49="超过20%"</formula>
    </cfRule>
  </conditionalFormatting>
  <conditionalFormatting sqref="G50">
    <cfRule type="expression" dxfId="120" priority="12" stopIfTrue="1">
      <formula>$H$50="超过30%"</formula>
    </cfRule>
  </conditionalFormatting>
  <conditionalFormatting sqref="H44">
    <cfRule type="expression" dxfId="119" priority="3">
      <formula>$D$44="简单平均"</formula>
    </cfRule>
  </conditionalFormatting>
  <conditionalFormatting sqref="I48">
    <cfRule type="expression" dxfId="118" priority="7" stopIfTrue="1">
      <formula>$J$48="超过30%"</formula>
    </cfRule>
  </conditionalFormatting>
  <conditionalFormatting sqref="I49">
    <cfRule type="expression" dxfId="117" priority="6" stopIfTrue="1">
      <formula>$J$49="超过20%"</formula>
    </cfRule>
  </conditionalFormatting>
  <conditionalFormatting sqref="I50">
    <cfRule type="expression" dxfId="116" priority="5" stopIfTrue="1">
      <formula>$J$50="超过30%"</formula>
    </cfRule>
  </conditionalFormatting>
  <conditionalFormatting sqref="J44">
    <cfRule type="expression" dxfId="115"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BL57"/>
  <sheetViews>
    <sheetView view="pageBreakPreview" zoomScaleNormal="100" zoomScaleSheetLayoutView="100" workbookViewId="0">
      <pane xSplit="1" ySplit="1" topLeftCell="AT27" activePane="bottomRight" state="frozen"/>
      <selection pane="topRight" activeCell="B1" sqref="B1"/>
      <selection pane="bottomLeft" activeCell="A2" sqref="A2"/>
      <selection pane="bottomRight" activeCell="BF43" sqref="BF43"/>
    </sheetView>
  </sheetViews>
  <sheetFormatPr defaultRowHeight="15"/>
  <cols>
    <col min="1" max="1" width="38.5" style="3408" customWidth="1"/>
    <col min="2" max="2" width="9" style="3408" hidden="1" customWidth="1"/>
    <col min="3" max="3" width="11.75" style="3408" customWidth="1"/>
    <col min="4" max="4" width="6.5" style="3408" hidden="1" customWidth="1"/>
    <col min="5" max="5" width="7.875" style="3408" hidden="1" customWidth="1"/>
    <col min="6" max="6" width="11" style="3408" hidden="1" customWidth="1"/>
    <col min="7" max="7" width="9" style="3408" hidden="1" customWidth="1"/>
    <col min="8" max="8" width="11.625" style="3408" hidden="1" customWidth="1"/>
    <col min="9" max="9" width="15.125" style="3408" customWidth="1"/>
    <col min="10" max="10" width="15.125" style="3408" hidden="1" customWidth="1"/>
    <col min="11" max="11" width="13" style="3408" customWidth="1"/>
    <col min="12" max="12" width="6.125" style="3408" hidden="1" customWidth="1"/>
    <col min="13" max="13" width="16.625" style="3408" customWidth="1"/>
    <col min="14" max="15" width="9" style="3408" hidden="1" customWidth="1"/>
    <col min="16" max="16" width="9.125" style="3408" hidden="1" customWidth="1"/>
    <col min="17" max="21" width="9" style="3408" hidden="1" customWidth="1"/>
    <col min="22" max="25" width="9.125" style="3408" hidden="1" customWidth="1"/>
    <col min="26" max="27" width="11.125" style="3408" hidden="1" customWidth="1"/>
    <col min="28" max="28" width="9.125" style="3408" hidden="1" customWidth="1"/>
    <col min="29" max="29" width="11.625" style="3408" customWidth="1"/>
    <col min="30" max="30" width="29.375" style="3408" hidden="1" customWidth="1"/>
    <col min="31" max="31" width="9" style="3408" hidden="1" customWidth="1"/>
    <col min="32" max="32" width="35.125" style="3408" hidden="1" customWidth="1"/>
    <col min="33" max="34" width="9" style="3408" hidden="1" customWidth="1"/>
    <col min="35" max="37" width="15.625" style="3408" hidden="1" customWidth="1"/>
    <col min="38" max="38" width="12" style="3408" customWidth="1"/>
    <col min="39" max="41" width="15.625" style="3408" hidden="1" customWidth="1"/>
    <col min="42" max="42" width="15.625" style="3408" customWidth="1"/>
    <col min="43" max="44" width="15.625" style="3408" hidden="1" customWidth="1"/>
    <col min="45" max="45" width="9.5" style="3408" hidden="1" customWidth="1"/>
    <col min="46" max="46" width="11.5" style="3408" customWidth="1"/>
    <col min="47" max="52" width="15.625" style="3408" hidden="1" customWidth="1"/>
    <col min="53" max="53" width="3.75" style="3408" customWidth="1"/>
    <col min="54" max="54" width="12" style="3408" customWidth="1"/>
    <col min="55" max="55" width="16.125" style="3410" customWidth="1"/>
    <col min="56" max="56" width="21" style="3410" customWidth="1"/>
    <col min="57" max="57" width="8" style="3410" customWidth="1"/>
    <col min="58" max="58" width="13.5" style="3412" customWidth="1"/>
    <col min="59" max="59" width="14" style="3412" customWidth="1"/>
    <col min="60" max="60" width="3.125" style="3408" customWidth="1"/>
    <col min="61" max="61" width="9" style="3413"/>
    <col min="62" max="62" width="15.375" style="3413" customWidth="1"/>
    <col min="63" max="63" width="2.5" style="3408" customWidth="1"/>
    <col min="64" max="64" width="20.875" style="3414" customWidth="1"/>
    <col min="65" max="65" width="2.5" style="3408" customWidth="1"/>
    <col min="66" max="16384" width="9" style="3408"/>
  </cols>
  <sheetData>
    <row r="1" spans="1:64" s="3402" customFormat="1" ht="15.75" thickBot="1">
      <c r="A1" s="3402" t="s">
        <v>3313</v>
      </c>
      <c r="B1" s="3402" t="s">
        <v>3314</v>
      </c>
      <c r="C1" s="3402" t="s">
        <v>3315</v>
      </c>
      <c r="D1" s="3402" t="s">
        <v>3316</v>
      </c>
      <c r="E1" s="3402" t="s">
        <v>3317</v>
      </c>
      <c r="F1" s="3402" t="s">
        <v>3318</v>
      </c>
      <c r="G1" s="3402" t="s">
        <v>3319</v>
      </c>
      <c r="H1" s="3402" t="s">
        <v>3320</v>
      </c>
      <c r="I1" s="3402" t="s">
        <v>3321</v>
      </c>
      <c r="J1" s="3402" t="s">
        <v>3322</v>
      </c>
      <c r="K1" s="3402" t="s">
        <v>3323</v>
      </c>
      <c r="L1" s="3402" t="s">
        <v>3324</v>
      </c>
      <c r="M1" s="3402" t="s">
        <v>3325</v>
      </c>
      <c r="N1" s="3402" t="s">
        <v>3326</v>
      </c>
      <c r="O1" s="3402" t="s">
        <v>3327</v>
      </c>
      <c r="P1" s="3402" t="s">
        <v>3328</v>
      </c>
      <c r="Q1" s="3402" t="s">
        <v>3329</v>
      </c>
      <c r="R1" s="3402" t="s">
        <v>3330</v>
      </c>
      <c r="S1" s="3402" t="s">
        <v>3331</v>
      </c>
      <c r="T1" s="3402" t="s">
        <v>3332</v>
      </c>
      <c r="U1" s="3402" t="s">
        <v>3333</v>
      </c>
      <c r="V1" s="3402" t="s">
        <v>3334</v>
      </c>
      <c r="W1" s="3402" t="s">
        <v>3335</v>
      </c>
      <c r="X1" s="3402" t="s">
        <v>3336</v>
      </c>
      <c r="Y1" s="3402" t="s">
        <v>3337</v>
      </c>
      <c r="Z1" s="3402" t="s">
        <v>3338</v>
      </c>
      <c r="AA1" s="3402" t="s">
        <v>3339</v>
      </c>
      <c r="AB1" s="3402" t="s">
        <v>3340</v>
      </c>
      <c r="AC1" s="3402" t="s">
        <v>3341</v>
      </c>
      <c r="AD1" s="3402" t="s">
        <v>3342</v>
      </c>
      <c r="AE1" s="3402" t="s">
        <v>3343</v>
      </c>
      <c r="AF1" s="3402" t="s">
        <v>3344</v>
      </c>
      <c r="AG1" s="3402" t="s">
        <v>3345</v>
      </c>
      <c r="AH1" s="3402" t="s">
        <v>3346</v>
      </c>
      <c r="AI1" s="3402" t="s">
        <v>3347</v>
      </c>
      <c r="AJ1" s="3402" t="s">
        <v>3348</v>
      </c>
      <c r="AK1" s="3402" t="s">
        <v>3349</v>
      </c>
      <c r="AL1" s="3402" t="s">
        <v>3350</v>
      </c>
      <c r="AM1" s="3402" t="s">
        <v>3351</v>
      </c>
      <c r="AN1" s="3402" t="s">
        <v>3352</v>
      </c>
      <c r="AO1" s="3402" t="s">
        <v>3353</v>
      </c>
      <c r="AP1" s="3402" t="s">
        <v>3354</v>
      </c>
      <c r="AQ1" s="3402" t="s">
        <v>3355</v>
      </c>
      <c r="AR1" s="3402" t="s">
        <v>3356</v>
      </c>
      <c r="AS1" s="3402" t="s">
        <v>3357</v>
      </c>
      <c r="AT1" s="3402" t="s">
        <v>3358</v>
      </c>
      <c r="AU1" s="3402" t="s">
        <v>3359</v>
      </c>
      <c r="AV1" s="3402" t="s">
        <v>3360</v>
      </c>
      <c r="AW1" s="3402" t="s">
        <v>3361</v>
      </c>
      <c r="AX1" s="3402" t="s">
        <v>3362</v>
      </c>
      <c r="AY1" s="3402" t="s">
        <v>3363</v>
      </c>
      <c r="AZ1" s="3402" t="s">
        <v>3364</v>
      </c>
      <c r="BA1" s="3402">
        <f>COUNT(AL2:AL57)</f>
        <v>56</v>
      </c>
      <c r="BB1" s="3402" t="s">
        <v>3365</v>
      </c>
      <c r="BC1" s="3403" t="s">
        <v>3824</v>
      </c>
      <c r="BD1" s="3404" t="s">
        <v>3366</v>
      </c>
      <c r="BE1" s="3404">
        <v>0.7</v>
      </c>
      <c r="BF1" s="3405" t="s">
        <v>3296</v>
      </c>
      <c r="BG1" s="3405" t="s">
        <v>3811</v>
      </c>
      <c r="BH1" s="3402">
        <f>COUNT(BF2:BF57)</f>
        <v>30</v>
      </c>
      <c r="BI1" s="3406" t="s">
        <v>3367</v>
      </c>
      <c r="BJ1" s="3406" t="s">
        <v>3368</v>
      </c>
      <c r="BL1" s="3407" t="s">
        <v>3369</v>
      </c>
    </row>
    <row r="2" spans="1:64">
      <c r="A2" s="3408" t="s">
        <v>3370</v>
      </c>
      <c r="B2" s="3408" t="s">
        <v>1465</v>
      </c>
      <c r="C2" s="3408" t="s">
        <v>3371</v>
      </c>
      <c r="D2" s="3408" t="s">
        <v>3372</v>
      </c>
      <c r="E2" s="3408" t="s">
        <v>3373</v>
      </c>
      <c r="F2" s="3408" t="s">
        <v>3374</v>
      </c>
      <c r="G2" s="3408" t="s">
        <v>3375</v>
      </c>
      <c r="H2" s="3408" t="s">
        <v>3376</v>
      </c>
      <c r="I2" s="3408">
        <v>45949.97</v>
      </c>
      <c r="J2" s="3408">
        <v>82709.95</v>
      </c>
      <c r="K2" s="3408">
        <v>1.8</v>
      </c>
      <c r="L2" s="3408" t="s">
        <v>3377</v>
      </c>
      <c r="M2" s="3408" t="s">
        <v>3378</v>
      </c>
      <c r="N2" s="3408" t="s">
        <v>3379</v>
      </c>
      <c r="O2" s="3408" t="s">
        <v>3380</v>
      </c>
      <c r="P2" s="3408">
        <v>0.4</v>
      </c>
      <c r="Q2" s="3408" t="s">
        <v>3381</v>
      </c>
      <c r="R2" s="3408" t="s">
        <v>3382</v>
      </c>
      <c r="S2" s="3408" t="s">
        <v>3382</v>
      </c>
      <c r="T2" s="3408" t="s">
        <v>3382</v>
      </c>
      <c r="U2" s="3408" t="s">
        <v>3382</v>
      </c>
      <c r="V2" s="3408" t="s">
        <v>3382</v>
      </c>
      <c r="W2" s="3408" t="s">
        <v>3382</v>
      </c>
      <c r="X2" s="3408">
        <v>0</v>
      </c>
      <c r="Y2" s="3408">
        <v>0</v>
      </c>
      <c r="Z2" s="3409">
        <v>44442.0004976852</v>
      </c>
      <c r="AA2" s="3409">
        <v>44462.0004976852</v>
      </c>
      <c r="AB2" s="3409">
        <v>44481.0004976852</v>
      </c>
      <c r="AC2" s="3409">
        <v>44481.0004976852</v>
      </c>
      <c r="AD2" s="3408" t="s">
        <v>3383</v>
      </c>
      <c r="AE2" s="3408" t="s">
        <v>3384</v>
      </c>
      <c r="AF2" s="3408" t="s">
        <v>3385</v>
      </c>
      <c r="AG2" s="3408" t="s">
        <v>3382</v>
      </c>
      <c r="AH2" s="3408" t="s">
        <v>3382</v>
      </c>
      <c r="AI2" s="3408">
        <v>11198.93</v>
      </c>
      <c r="AJ2" s="3408">
        <v>2300</v>
      </c>
      <c r="AK2" s="3408" t="s">
        <v>2092</v>
      </c>
      <c r="AL2" s="3408">
        <v>11198.93</v>
      </c>
      <c r="AM2" s="3408">
        <v>162.47999999999999</v>
      </c>
      <c r="AN2" s="3408">
        <v>162.47999999999999</v>
      </c>
      <c r="AO2" s="3408">
        <v>1354</v>
      </c>
      <c r="AP2" s="3408">
        <v>1354</v>
      </c>
      <c r="AQ2" s="3408" t="s">
        <v>3382</v>
      </c>
      <c r="AR2" s="3408" t="s">
        <v>3382</v>
      </c>
      <c r="AS2" s="3408">
        <v>0</v>
      </c>
      <c r="AT2" s="3408" t="s">
        <v>3386</v>
      </c>
      <c r="AU2" s="3408" t="s">
        <v>3380</v>
      </c>
      <c r="AV2" s="3408" t="s">
        <v>3382</v>
      </c>
      <c r="AW2" s="3408" t="s">
        <v>3380</v>
      </c>
      <c r="AX2" s="3408" t="s">
        <v>3382</v>
      </c>
      <c r="AY2" s="3408" t="s">
        <v>3382</v>
      </c>
      <c r="AZ2" s="3408" t="s">
        <v>3382</v>
      </c>
      <c r="BB2" s="3408">
        <f>ROUND(AL2*10000/I2,0)</f>
        <v>2437</v>
      </c>
      <c r="BC2" s="3410">
        <v>6720.34</v>
      </c>
      <c r="BD2" s="3411">
        <f>ROUND(BC2/I2*10000,0)</f>
        <v>1463</v>
      </c>
      <c r="BE2" s="3410">
        <f>ROUND(BD2*$BE$1,0)</f>
        <v>1024</v>
      </c>
      <c r="BF2" s="3516"/>
      <c r="BG2" s="3516"/>
      <c r="BH2" s="3513"/>
    </row>
    <row r="3" spans="1:64">
      <c r="A3" s="3408" t="s">
        <v>3387</v>
      </c>
      <c r="B3" s="3408" t="s">
        <v>1465</v>
      </c>
      <c r="C3" s="3408" t="s">
        <v>3388</v>
      </c>
      <c r="D3" s="3408" t="s">
        <v>3372</v>
      </c>
      <c r="E3" s="3408" t="s">
        <v>3373</v>
      </c>
      <c r="F3" s="3408" t="s">
        <v>3389</v>
      </c>
      <c r="G3" s="3408" t="s">
        <v>3390</v>
      </c>
      <c r="H3" s="3408" t="s">
        <v>3376</v>
      </c>
      <c r="I3" s="3408">
        <v>17315.580000000002</v>
      </c>
      <c r="J3" s="3408">
        <v>20778.689999999999</v>
      </c>
      <c r="K3" s="3408" t="s">
        <v>3391</v>
      </c>
      <c r="L3" s="3408" t="s">
        <v>3377</v>
      </c>
      <c r="M3" s="3408" t="s">
        <v>3392</v>
      </c>
      <c r="N3" s="3408" t="s">
        <v>3379</v>
      </c>
      <c r="O3" s="3408" t="s">
        <v>3380</v>
      </c>
      <c r="P3" s="3408" t="s">
        <v>3382</v>
      </c>
      <c r="Q3" s="3408" t="s">
        <v>3393</v>
      </c>
      <c r="R3" s="3408" t="s">
        <v>3382</v>
      </c>
      <c r="S3" s="3408" t="s">
        <v>3382</v>
      </c>
      <c r="T3" s="3408" t="s">
        <v>3382</v>
      </c>
      <c r="U3" s="3408" t="s">
        <v>3382</v>
      </c>
      <c r="V3" s="3408" t="s">
        <v>3382</v>
      </c>
      <c r="W3" s="3408" t="s">
        <v>3382</v>
      </c>
      <c r="X3" s="3408">
        <v>0</v>
      </c>
      <c r="Y3" s="3408">
        <v>0</v>
      </c>
      <c r="Z3" s="3409">
        <v>44341.0004976852</v>
      </c>
      <c r="AA3" s="3409">
        <v>44362.0004976852</v>
      </c>
      <c r="AB3" s="3409">
        <v>44386.0004976852</v>
      </c>
      <c r="AC3" s="3409">
        <v>44386.0004976852</v>
      </c>
      <c r="AD3" s="3408" t="s">
        <v>3394</v>
      </c>
      <c r="AE3" s="3408" t="s">
        <v>3384</v>
      </c>
      <c r="AF3" s="3408" t="s">
        <v>3395</v>
      </c>
      <c r="AG3" s="3408" t="s">
        <v>3382</v>
      </c>
      <c r="AH3" s="3408" t="s">
        <v>3382</v>
      </c>
      <c r="AI3" s="3408">
        <v>4064.34</v>
      </c>
      <c r="AJ3" s="3408">
        <v>850</v>
      </c>
      <c r="AK3" s="3408" t="s">
        <v>2092</v>
      </c>
      <c r="AL3" s="3408">
        <v>4064.34</v>
      </c>
      <c r="AM3" s="3408">
        <v>156.47999999999999</v>
      </c>
      <c r="AN3" s="3408">
        <v>156.47999999999999</v>
      </c>
      <c r="AO3" s="3408">
        <v>1956</v>
      </c>
      <c r="AP3" s="3408">
        <v>1956</v>
      </c>
      <c r="AQ3" s="3408" t="s">
        <v>3382</v>
      </c>
      <c r="AR3" s="3408" t="s">
        <v>3382</v>
      </c>
      <c r="AS3" s="3408">
        <v>0</v>
      </c>
      <c r="AT3" s="3408" t="s">
        <v>3396</v>
      </c>
      <c r="AU3" s="3408" t="s">
        <v>3380</v>
      </c>
      <c r="AV3" s="3408" t="s">
        <v>3382</v>
      </c>
      <c r="AW3" s="3408" t="s">
        <v>3380</v>
      </c>
      <c r="AX3" s="3408" t="s">
        <v>3382</v>
      </c>
      <c r="AY3" s="3408" t="s">
        <v>3382</v>
      </c>
      <c r="AZ3" s="3408" t="s">
        <v>3382</v>
      </c>
      <c r="BB3" s="3408">
        <f t="shared" ref="BB3:BB57" si="0">ROUND(AL3*10000/I3,0)</f>
        <v>2347</v>
      </c>
      <c r="BC3" s="3410">
        <v>3378.64</v>
      </c>
      <c r="BD3" s="3411">
        <f t="shared" ref="BD3:BD57" si="1">ROUND(BC3/I3*10000,0)</f>
        <v>1951</v>
      </c>
      <c r="BE3" s="3410">
        <f t="shared" ref="BE3:BE57" si="2">ROUND(BD3*$BE$1,0)</f>
        <v>1366</v>
      </c>
      <c r="BF3" s="3516"/>
      <c r="BG3" s="3516"/>
      <c r="BH3" s="3513"/>
    </row>
    <row r="4" spans="1:64">
      <c r="A4" s="3408" t="s">
        <v>3397</v>
      </c>
      <c r="B4" s="3408" t="s">
        <v>1465</v>
      </c>
      <c r="C4" s="3408" t="s">
        <v>3398</v>
      </c>
      <c r="D4" s="3408" t="s">
        <v>3372</v>
      </c>
      <c r="E4" s="3408" t="s">
        <v>3373</v>
      </c>
      <c r="F4" s="3408" t="s">
        <v>3389</v>
      </c>
      <c r="G4" s="3408" t="s">
        <v>3390</v>
      </c>
      <c r="H4" s="3408" t="s">
        <v>3376</v>
      </c>
      <c r="I4" s="3408">
        <v>10677.25</v>
      </c>
      <c r="J4" s="3408">
        <v>21354.5</v>
      </c>
      <c r="K4" s="3408" t="s">
        <v>3399</v>
      </c>
      <c r="L4" s="3408" t="s">
        <v>3377</v>
      </c>
      <c r="M4" s="3408" t="s">
        <v>3392</v>
      </c>
      <c r="N4" s="3408" t="s">
        <v>3379</v>
      </c>
      <c r="O4" s="3408" t="s">
        <v>3380</v>
      </c>
      <c r="P4" s="3408" t="s">
        <v>3382</v>
      </c>
      <c r="Q4" s="3408" t="s">
        <v>3381</v>
      </c>
      <c r="R4" s="3408" t="s">
        <v>3382</v>
      </c>
      <c r="S4" s="3408" t="s">
        <v>3382</v>
      </c>
      <c r="T4" s="3408" t="s">
        <v>3382</v>
      </c>
      <c r="U4" s="3408" t="s">
        <v>3382</v>
      </c>
      <c r="V4" s="3408">
        <v>0</v>
      </c>
      <c r="W4" s="3408">
        <v>0</v>
      </c>
      <c r="X4" s="3408">
        <v>0</v>
      </c>
      <c r="Y4" s="3408">
        <v>0</v>
      </c>
      <c r="Z4" s="3409">
        <v>44341.0004976852</v>
      </c>
      <c r="AA4" s="3409">
        <v>44372.0004976852</v>
      </c>
      <c r="AB4" s="3409">
        <v>44386.0004976852</v>
      </c>
      <c r="AC4" s="3409">
        <v>44386.0004976852</v>
      </c>
      <c r="AD4" s="3408" t="s">
        <v>3400</v>
      </c>
      <c r="AE4" s="3408" t="s">
        <v>3384</v>
      </c>
      <c r="AF4" s="3408" t="s">
        <v>3395</v>
      </c>
      <c r="AG4" s="3408" t="s">
        <v>3382</v>
      </c>
      <c r="AH4" s="3408" t="s">
        <v>3382</v>
      </c>
      <c r="AI4" s="3408">
        <v>4133.82</v>
      </c>
      <c r="AJ4" s="3408">
        <v>850</v>
      </c>
      <c r="AK4" s="3408" t="s">
        <v>2092</v>
      </c>
      <c r="AL4" s="3408">
        <v>4133.82</v>
      </c>
      <c r="AM4" s="3408">
        <v>258.11</v>
      </c>
      <c r="AN4" s="3408">
        <v>258.11</v>
      </c>
      <c r="AO4" s="3408">
        <v>1936</v>
      </c>
      <c r="AP4" s="3408">
        <v>1936</v>
      </c>
      <c r="AQ4" s="3408" t="s">
        <v>3382</v>
      </c>
      <c r="AR4" s="3408" t="s">
        <v>3382</v>
      </c>
      <c r="AS4" s="3408">
        <v>0</v>
      </c>
      <c r="AT4" s="3408" t="s">
        <v>3396</v>
      </c>
      <c r="AU4" s="3408" t="s">
        <v>3380</v>
      </c>
      <c r="AV4" s="3408" t="s">
        <v>3382</v>
      </c>
      <c r="AW4" s="3408" t="s">
        <v>3380</v>
      </c>
      <c r="AX4" s="3408" t="s">
        <v>3382</v>
      </c>
      <c r="AY4" s="3408" t="s">
        <v>3382</v>
      </c>
      <c r="AZ4" s="3408" t="s">
        <v>3382</v>
      </c>
      <c r="BB4" s="3408">
        <f t="shared" si="0"/>
        <v>3872</v>
      </c>
      <c r="BC4" s="3510">
        <v>3476.1</v>
      </c>
      <c r="BD4" s="3411">
        <f t="shared" si="1"/>
        <v>3256</v>
      </c>
      <c r="BE4" s="3410">
        <f t="shared" si="2"/>
        <v>2279</v>
      </c>
      <c r="BF4" s="3516"/>
      <c r="BG4" s="3516"/>
      <c r="BH4" s="3513"/>
    </row>
    <row r="5" spans="1:64">
      <c r="A5" s="3408" t="s">
        <v>3401</v>
      </c>
      <c r="B5" s="3408" t="s">
        <v>1465</v>
      </c>
      <c r="C5" s="3408" t="s">
        <v>3402</v>
      </c>
      <c r="D5" s="3408" t="s">
        <v>3372</v>
      </c>
      <c r="E5" s="3408" t="s">
        <v>3373</v>
      </c>
      <c r="F5" s="3408" t="s">
        <v>3389</v>
      </c>
      <c r="G5" s="3408" t="s">
        <v>3390</v>
      </c>
      <c r="H5" s="3408" t="s">
        <v>3376</v>
      </c>
      <c r="I5" s="3408">
        <v>20326.22</v>
      </c>
      <c r="J5" s="3408">
        <v>24391.47</v>
      </c>
      <c r="K5" s="3408" t="s">
        <v>3391</v>
      </c>
      <c r="L5" s="3408" t="s">
        <v>3377</v>
      </c>
      <c r="M5" s="3408" t="s">
        <v>3392</v>
      </c>
      <c r="N5" s="3408" t="s">
        <v>3379</v>
      </c>
      <c r="O5" s="3408" t="s">
        <v>3380</v>
      </c>
      <c r="P5" s="3408" t="s">
        <v>3382</v>
      </c>
      <c r="Q5" s="3408" t="s">
        <v>3403</v>
      </c>
      <c r="R5" s="3408" t="s">
        <v>3382</v>
      </c>
      <c r="S5" s="3408" t="s">
        <v>3382</v>
      </c>
      <c r="T5" s="3408" t="s">
        <v>3382</v>
      </c>
      <c r="U5" s="3408" t="s">
        <v>3382</v>
      </c>
      <c r="V5" s="3408" t="s">
        <v>3382</v>
      </c>
      <c r="W5" s="3408" t="s">
        <v>3382</v>
      </c>
      <c r="X5" s="3408">
        <v>0</v>
      </c>
      <c r="Y5" s="3408">
        <v>0</v>
      </c>
      <c r="Z5" s="3409">
        <v>44341.0004976852</v>
      </c>
      <c r="AA5" s="3409">
        <v>44362.0004976852</v>
      </c>
      <c r="AB5" s="3409">
        <v>44376.0004976852</v>
      </c>
      <c r="AC5" s="3409">
        <v>44376.0004976852</v>
      </c>
      <c r="AD5" s="3408" t="s">
        <v>3404</v>
      </c>
      <c r="AE5" s="3408" t="s">
        <v>3384</v>
      </c>
      <c r="AF5" s="3408" t="s">
        <v>3405</v>
      </c>
      <c r="AG5" s="3408" t="s">
        <v>3382</v>
      </c>
      <c r="AH5" s="3408" t="s">
        <v>3382</v>
      </c>
      <c r="AI5" s="3408">
        <v>4768.32</v>
      </c>
      <c r="AJ5" s="3408">
        <v>1000</v>
      </c>
      <c r="AK5" s="3408" t="s">
        <v>2092</v>
      </c>
      <c r="AL5" s="3408">
        <v>4768.32</v>
      </c>
      <c r="AM5" s="3408">
        <v>156.38999999999999</v>
      </c>
      <c r="AN5" s="3408">
        <v>156.38999999999999</v>
      </c>
      <c r="AO5" s="3408">
        <v>1955</v>
      </c>
      <c r="AP5" s="3408">
        <v>1955</v>
      </c>
      <c r="AQ5" s="3408" t="s">
        <v>3382</v>
      </c>
      <c r="AR5" s="3408" t="s">
        <v>3382</v>
      </c>
      <c r="AS5" s="3408">
        <v>0</v>
      </c>
      <c r="AT5" s="3408" t="s">
        <v>3695</v>
      </c>
      <c r="AU5" s="3408" t="s">
        <v>3380</v>
      </c>
      <c r="AV5" s="3408" t="s">
        <v>3382</v>
      </c>
      <c r="AW5" s="3408" t="s">
        <v>3380</v>
      </c>
      <c r="AX5" s="3408" t="s">
        <v>3382</v>
      </c>
      <c r="AY5" s="3408" t="s">
        <v>3382</v>
      </c>
      <c r="AZ5" s="3408" t="s">
        <v>3382</v>
      </c>
      <c r="BB5" s="3408">
        <f t="shared" si="0"/>
        <v>2346</v>
      </c>
      <c r="BC5" s="3510">
        <v>3963.4</v>
      </c>
      <c r="BD5" s="3411">
        <f t="shared" si="1"/>
        <v>1950</v>
      </c>
      <c r="BE5" s="3410">
        <f t="shared" si="2"/>
        <v>1365</v>
      </c>
      <c r="BF5" s="3516"/>
      <c r="BG5" s="3516"/>
      <c r="BH5" s="3513"/>
    </row>
    <row r="6" spans="1:64" s="3517" customFormat="1" ht="15.75" thickBot="1">
      <c r="A6" s="3517" t="s">
        <v>3406</v>
      </c>
      <c r="B6" s="3517" t="s">
        <v>1465</v>
      </c>
      <c r="C6" s="3517" t="s">
        <v>3407</v>
      </c>
      <c r="D6" s="3517" t="s">
        <v>3372</v>
      </c>
      <c r="E6" s="3517" t="s">
        <v>3373</v>
      </c>
      <c r="F6" s="3517" t="s">
        <v>3382</v>
      </c>
      <c r="G6" s="3517" t="s">
        <v>3408</v>
      </c>
      <c r="H6" s="3517" t="s">
        <v>3376</v>
      </c>
      <c r="I6" s="3517">
        <v>106100</v>
      </c>
      <c r="J6" s="3517">
        <v>127300</v>
      </c>
      <c r="K6" s="3517" t="s">
        <v>3409</v>
      </c>
      <c r="L6" s="3517" t="s">
        <v>3377</v>
      </c>
      <c r="M6" s="3517" t="s">
        <v>3410</v>
      </c>
      <c r="N6" s="3517" t="s">
        <v>3379</v>
      </c>
      <c r="O6" s="3517" t="s">
        <v>3380</v>
      </c>
      <c r="P6" s="3517" t="s">
        <v>3382</v>
      </c>
      <c r="Q6" s="3517" t="s">
        <v>3393</v>
      </c>
      <c r="R6" s="3517" t="s">
        <v>3382</v>
      </c>
      <c r="S6" s="3517" t="s">
        <v>3382</v>
      </c>
      <c r="T6" s="3517" t="s">
        <v>3382</v>
      </c>
      <c r="U6" s="3517" t="s">
        <v>3382</v>
      </c>
      <c r="V6" s="3517">
        <v>0</v>
      </c>
      <c r="W6" s="3517">
        <v>0</v>
      </c>
      <c r="X6" s="3517">
        <v>0</v>
      </c>
      <c r="Y6" s="3517">
        <v>0</v>
      </c>
      <c r="Z6" s="3518">
        <v>44169.0004976852</v>
      </c>
      <c r="AA6" s="3518">
        <v>44189.0004976852</v>
      </c>
      <c r="AB6" s="3518">
        <v>44204.0004976852</v>
      </c>
      <c r="AC6" s="3518">
        <v>44204.0004976852</v>
      </c>
      <c r="AD6" s="3517" t="s">
        <v>3411</v>
      </c>
      <c r="AE6" s="3517" t="s">
        <v>3384</v>
      </c>
      <c r="AF6" s="3517" t="s">
        <v>3412</v>
      </c>
      <c r="AG6" s="3517" t="s">
        <v>3382</v>
      </c>
      <c r="AH6" s="3517" t="s">
        <v>3382</v>
      </c>
      <c r="AI6" s="3517">
        <v>9472.42</v>
      </c>
      <c r="AJ6" s="3517">
        <v>1900</v>
      </c>
      <c r="AK6" s="3517" t="s">
        <v>2092</v>
      </c>
      <c r="AL6" s="3517">
        <v>9472.42</v>
      </c>
      <c r="AM6" s="3517">
        <v>59.52</v>
      </c>
      <c r="AN6" s="3517">
        <v>59.52</v>
      </c>
      <c r="AO6" s="3517">
        <v>744</v>
      </c>
      <c r="AP6" s="3517">
        <v>744</v>
      </c>
      <c r="AQ6" s="3517" t="s">
        <v>3382</v>
      </c>
      <c r="AR6" s="3517" t="s">
        <v>3382</v>
      </c>
      <c r="AS6" s="3517">
        <v>0</v>
      </c>
      <c r="AT6" s="3517" t="s">
        <v>3694</v>
      </c>
      <c r="AU6" s="3517" t="s">
        <v>3380</v>
      </c>
      <c r="AV6" s="3517" t="s">
        <v>3382</v>
      </c>
      <c r="AW6" s="3517" t="s">
        <v>3380</v>
      </c>
      <c r="AX6" s="3517" t="s">
        <v>3382</v>
      </c>
      <c r="AY6" s="3517" t="s">
        <v>3382</v>
      </c>
      <c r="AZ6" s="3517" t="s">
        <v>3382</v>
      </c>
      <c r="BB6" s="3517">
        <f t="shared" si="0"/>
        <v>893</v>
      </c>
      <c r="BC6" s="3526">
        <v>8275.7999999999993</v>
      </c>
      <c r="BD6" s="3520">
        <f t="shared" si="1"/>
        <v>780</v>
      </c>
      <c r="BE6" s="3519">
        <f t="shared" si="2"/>
        <v>546</v>
      </c>
      <c r="BF6" s="3521"/>
      <c r="BG6" s="3521"/>
      <c r="BI6" s="3522"/>
      <c r="BJ6" s="3522"/>
      <c r="BL6" s="3523"/>
    </row>
    <row r="7" spans="1:64">
      <c r="A7" s="3408" t="s">
        <v>3823</v>
      </c>
      <c r="B7" s="3408" t="s">
        <v>1465</v>
      </c>
      <c r="C7" s="3408" t="s">
        <v>3696</v>
      </c>
      <c r="D7" s="3408" t="s">
        <v>3372</v>
      </c>
      <c r="E7" s="3408" t="s">
        <v>3415</v>
      </c>
      <c r="F7" s="3408" t="s">
        <v>3416</v>
      </c>
      <c r="G7" s="3408" t="s">
        <v>3417</v>
      </c>
      <c r="H7" s="3408" t="s">
        <v>3376</v>
      </c>
      <c r="I7" s="3408">
        <v>74702.7</v>
      </c>
      <c r="J7" s="3408">
        <v>110253.98</v>
      </c>
      <c r="K7" s="3408">
        <v>1.48</v>
      </c>
      <c r="L7" s="3408" t="s">
        <v>3377</v>
      </c>
      <c r="M7" s="3408" t="s">
        <v>3697</v>
      </c>
      <c r="N7" s="3408" t="s">
        <v>3379</v>
      </c>
      <c r="O7" s="3408" t="s">
        <v>3380</v>
      </c>
      <c r="P7" s="3408" t="s">
        <v>3382</v>
      </c>
      <c r="Q7" s="3408" t="s">
        <v>3382</v>
      </c>
      <c r="R7" s="3408" t="s">
        <v>3382</v>
      </c>
      <c r="S7" s="3408" t="s">
        <v>3382</v>
      </c>
      <c r="T7" s="3408" t="s">
        <v>3382</v>
      </c>
      <c r="U7" s="3408" t="s">
        <v>3382</v>
      </c>
      <c r="V7" s="3408" t="s">
        <v>3382</v>
      </c>
      <c r="W7" s="3408" t="s">
        <v>3382</v>
      </c>
      <c r="X7" s="3408">
        <v>0</v>
      </c>
      <c r="Y7" s="3408">
        <v>0</v>
      </c>
      <c r="Z7" s="3409">
        <v>45153.000497685185</v>
      </c>
      <c r="AA7" s="3409">
        <v>45173.000497685185</v>
      </c>
      <c r="AB7" s="3409">
        <v>45187.000497685185</v>
      </c>
      <c r="AC7" s="3409">
        <v>45187.000497685185</v>
      </c>
      <c r="AD7" s="3408" t="s">
        <v>3698</v>
      </c>
      <c r="AE7" s="3408" t="s">
        <v>3384</v>
      </c>
      <c r="AF7" s="3408" t="s">
        <v>3699</v>
      </c>
      <c r="AG7" s="3408" t="s">
        <v>3511</v>
      </c>
      <c r="AH7" s="3408" t="s">
        <v>3512</v>
      </c>
      <c r="AI7" s="3408">
        <v>16910.09</v>
      </c>
      <c r="AJ7" s="3408">
        <v>3400</v>
      </c>
      <c r="AK7" s="3408" t="s">
        <v>3700</v>
      </c>
      <c r="AL7" s="3408">
        <v>16910.09</v>
      </c>
      <c r="AM7" s="3408">
        <v>150.91</v>
      </c>
      <c r="AN7" s="3408">
        <v>150.91</v>
      </c>
      <c r="AO7" s="3408">
        <v>1534</v>
      </c>
      <c r="AP7" s="3408">
        <v>1534</v>
      </c>
      <c r="AQ7" s="3408" t="s">
        <v>3382</v>
      </c>
      <c r="AR7" s="3408" t="s">
        <v>3382</v>
      </c>
      <c r="AS7" s="3408">
        <v>0</v>
      </c>
      <c r="AT7" s="3408" t="s">
        <v>3396</v>
      </c>
      <c r="AU7" s="3408" t="s">
        <v>3380</v>
      </c>
      <c r="AV7" s="3408" t="s">
        <v>3382</v>
      </c>
      <c r="AW7" s="3408" t="s">
        <v>3380</v>
      </c>
      <c r="AX7" s="3408" t="s">
        <v>3382</v>
      </c>
      <c r="AY7" s="3408" t="s">
        <v>3382</v>
      </c>
      <c r="AZ7" s="3408" t="s">
        <v>3382</v>
      </c>
      <c r="BB7" s="3408">
        <f t="shared" si="0"/>
        <v>2264</v>
      </c>
      <c r="BC7" s="3410">
        <v>16074.2</v>
      </c>
      <c r="BD7" s="3411">
        <f t="shared" si="1"/>
        <v>2152</v>
      </c>
      <c r="BE7" s="3410">
        <f t="shared" si="2"/>
        <v>1506</v>
      </c>
      <c r="BF7" s="3412">
        <f t="shared" ref="BF7:BF45" si="3">ROUND((AL7-BC7)/AL7,4)</f>
        <v>4.9399999999999999E-2</v>
      </c>
      <c r="BG7" s="3412">
        <f>ROUND(BF7/'剩余（增值收益扣减）法'!$C$31,4)</f>
        <v>0.1235</v>
      </c>
    </row>
    <row r="8" spans="1:64">
      <c r="A8" s="3408" t="s">
        <v>3413</v>
      </c>
      <c r="B8" s="3408" t="s">
        <v>1465</v>
      </c>
      <c r="C8" s="3408" t="s">
        <v>3414</v>
      </c>
      <c r="D8" s="3408" t="s">
        <v>3372</v>
      </c>
      <c r="E8" s="3408" t="s">
        <v>3415</v>
      </c>
      <c r="F8" s="3408" t="s">
        <v>3416</v>
      </c>
      <c r="G8" s="3408" t="s">
        <v>3417</v>
      </c>
      <c r="H8" s="3408" t="s">
        <v>3376</v>
      </c>
      <c r="I8" s="3408">
        <v>52522.559999999998</v>
      </c>
      <c r="J8" s="3408">
        <v>78783.839999999997</v>
      </c>
      <c r="K8" s="3408">
        <v>1.5</v>
      </c>
      <c r="L8" s="3408" t="s">
        <v>3377</v>
      </c>
      <c r="M8" s="3408" t="s">
        <v>3410</v>
      </c>
      <c r="N8" s="3408" t="s">
        <v>3379</v>
      </c>
      <c r="O8" s="3408" t="s">
        <v>3380</v>
      </c>
      <c r="P8" s="3408" t="s">
        <v>3382</v>
      </c>
      <c r="Q8" s="3408" t="s">
        <v>3382</v>
      </c>
      <c r="R8" s="3408" t="s">
        <v>3382</v>
      </c>
      <c r="S8" s="3408" t="s">
        <v>3382</v>
      </c>
      <c r="T8" s="3408" t="s">
        <v>3382</v>
      </c>
      <c r="U8" s="3408" t="s">
        <v>3382</v>
      </c>
      <c r="V8" s="3408" t="s">
        <v>3382</v>
      </c>
      <c r="W8" s="3408" t="s">
        <v>3382</v>
      </c>
      <c r="X8" s="3408">
        <v>0</v>
      </c>
      <c r="Y8" s="3408">
        <v>0</v>
      </c>
      <c r="Z8" s="3409">
        <v>44995.0004976852</v>
      </c>
      <c r="AA8" s="3409">
        <v>45015.0004976852</v>
      </c>
      <c r="AB8" s="3409">
        <v>45033.0004976852</v>
      </c>
      <c r="AC8" s="3409">
        <v>45033.0004976852</v>
      </c>
      <c r="AD8" s="3408" t="s">
        <v>3418</v>
      </c>
      <c r="AE8" s="3408" t="s">
        <v>3384</v>
      </c>
      <c r="AF8" s="3408" t="s">
        <v>3419</v>
      </c>
      <c r="AG8" s="3408" t="s">
        <v>3382</v>
      </c>
      <c r="AH8" s="3408" t="s">
        <v>3382</v>
      </c>
      <c r="AI8" s="3408">
        <v>9585.85</v>
      </c>
      <c r="AJ8" s="3408">
        <v>1900</v>
      </c>
      <c r="AK8" s="3408" t="s">
        <v>3420</v>
      </c>
      <c r="AL8" s="3408">
        <v>9585.85</v>
      </c>
      <c r="AM8" s="3408">
        <v>121.67</v>
      </c>
      <c r="AN8" s="3408">
        <v>121.67</v>
      </c>
      <c r="AO8" s="3408">
        <v>1217</v>
      </c>
      <c r="AP8" s="3408">
        <v>1217</v>
      </c>
      <c r="AQ8" s="3408" t="s">
        <v>3382</v>
      </c>
      <c r="AR8" s="3408" t="s">
        <v>3382</v>
      </c>
      <c r="AS8" s="3408">
        <v>0</v>
      </c>
      <c r="AT8" s="3408" t="s">
        <v>3396</v>
      </c>
      <c r="AU8" s="3408" t="s">
        <v>3380</v>
      </c>
      <c r="AV8" s="3408" t="s">
        <v>3382</v>
      </c>
      <c r="AW8" s="3408" t="s">
        <v>3380</v>
      </c>
      <c r="AX8" s="3408" t="s">
        <v>3382</v>
      </c>
      <c r="AY8" s="3408" t="s">
        <v>3382</v>
      </c>
      <c r="AZ8" s="3408" t="s">
        <v>3382</v>
      </c>
      <c r="BB8" s="3408">
        <f t="shared" si="0"/>
        <v>1825</v>
      </c>
      <c r="BC8" s="3410">
        <v>8997.83</v>
      </c>
      <c r="BD8" s="3411">
        <f t="shared" si="1"/>
        <v>1713</v>
      </c>
      <c r="BE8" s="3410">
        <f t="shared" si="2"/>
        <v>1199</v>
      </c>
      <c r="BF8" s="3412">
        <f t="shared" si="3"/>
        <v>6.13E-2</v>
      </c>
      <c r="BG8" s="3412">
        <f>ROUND(BF8/'剩余（增值收益扣减）法'!$C$31,4)</f>
        <v>0.15329999999999999</v>
      </c>
    </row>
    <row r="9" spans="1:64">
      <c r="A9" s="3408" t="s">
        <v>3421</v>
      </c>
      <c r="B9" s="3408" t="s">
        <v>1465</v>
      </c>
      <c r="C9" s="3408" t="s">
        <v>3422</v>
      </c>
      <c r="D9" s="3408" t="s">
        <v>3372</v>
      </c>
      <c r="E9" s="3408" t="s">
        <v>3415</v>
      </c>
      <c r="F9" s="3408" t="s">
        <v>3423</v>
      </c>
      <c r="G9" s="3408" t="s">
        <v>3424</v>
      </c>
      <c r="H9" s="3408" t="s">
        <v>3376</v>
      </c>
      <c r="I9" s="3408">
        <v>52790.03</v>
      </c>
      <c r="J9" s="3408">
        <v>79185.05</v>
      </c>
      <c r="K9" s="3408" t="s">
        <v>3425</v>
      </c>
      <c r="L9" s="3408" t="s">
        <v>3377</v>
      </c>
      <c r="M9" s="3408" t="s">
        <v>3376</v>
      </c>
      <c r="N9" s="3408" t="s">
        <v>3379</v>
      </c>
      <c r="O9" s="3408" t="s">
        <v>3380</v>
      </c>
      <c r="P9" s="3408" t="s">
        <v>3382</v>
      </c>
      <c r="Q9" s="3408" t="s">
        <v>3382</v>
      </c>
      <c r="R9" s="3408" t="s">
        <v>3382</v>
      </c>
      <c r="S9" s="3408" t="s">
        <v>3382</v>
      </c>
      <c r="T9" s="3408" t="s">
        <v>3382</v>
      </c>
      <c r="U9" s="3408" t="s">
        <v>3382</v>
      </c>
      <c r="V9" s="3408" t="s">
        <v>3382</v>
      </c>
      <c r="W9" s="3408" t="s">
        <v>3382</v>
      </c>
      <c r="X9" s="3408">
        <v>0</v>
      </c>
      <c r="Y9" s="3408">
        <v>0</v>
      </c>
      <c r="Z9" s="3409">
        <v>44834.0004976852</v>
      </c>
      <c r="AA9" s="3409">
        <v>44854.0004976852</v>
      </c>
      <c r="AB9" s="3409">
        <v>44868.0004976852</v>
      </c>
      <c r="AC9" s="3409">
        <v>44868.0004976852</v>
      </c>
      <c r="AD9" s="3408" t="s">
        <v>3426</v>
      </c>
      <c r="AE9" s="3408" t="s">
        <v>3384</v>
      </c>
      <c r="AF9" s="3408" t="s">
        <v>3427</v>
      </c>
      <c r="AG9" s="3408" t="s">
        <v>3382</v>
      </c>
      <c r="AH9" s="3408" t="s">
        <v>3382</v>
      </c>
      <c r="AI9" s="3408">
        <v>9429.41</v>
      </c>
      <c r="AJ9" s="3408">
        <v>1900</v>
      </c>
      <c r="AK9" s="3408" t="s">
        <v>3428</v>
      </c>
      <c r="AL9" s="3408">
        <v>9429.41</v>
      </c>
      <c r="AM9" s="3408">
        <v>119.08</v>
      </c>
      <c r="AN9" s="3408">
        <v>119.08</v>
      </c>
      <c r="AO9" s="3408">
        <v>1191</v>
      </c>
      <c r="AP9" s="3408">
        <v>1191</v>
      </c>
      <c r="AQ9" s="3408" t="s">
        <v>3382</v>
      </c>
      <c r="AR9" s="3408" t="s">
        <v>3382</v>
      </c>
      <c r="AS9" s="3408">
        <v>0</v>
      </c>
      <c r="AT9" s="3408" t="s">
        <v>3396</v>
      </c>
      <c r="AU9" s="3408" t="s">
        <v>3380</v>
      </c>
      <c r="AV9" s="3408" t="s">
        <v>3382</v>
      </c>
      <c r="AW9" s="3408" t="s">
        <v>3380</v>
      </c>
      <c r="AX9" s="3408" t="s">
        <v>3382</v>
      </c>
      <c r="AY9" s="3408" t="s">
        <v>3382</v>
      </c>
      <c r="AZ9" s="3408" t="s">
        <v>3382</v>
      </c>
      <c r="BB9" s="3408">
        <f t="shared" si="0"/>
        <v>1786</v>
      </c>
      <c r="BC9" s="3410">
        <v>8875.11</v>
      </c>
      <c r="BD9" s="3411">
        <f t="shared" si="1"/>
        <v>1681</v>
      </c>
      <c r="BE9" s="3410">
        <f t="shared" si="2"/>
        <v>1177</v>
      </c>
      <c r="BF9" s="3412">
        <f t="shared" si="3"/>
        <v>5.8799999999999998E-2</v>
      </c>
      <c r="BG9" s="3412">
        <f>ROUND(BF9/'剩余（增值收益扣减）法'!$C$31,4)</f>
        <v>0.14699999999999999</v>
      </c>
    </row>
    <row r="10" spans="1:64">
      <c r="A10" s="3408" t="s">
        <v>3821</v>
      </c>
      <c r="I10" s="3408">
        <v>19333.343000000001</v>
      </c>
      <c r="K10" s="3408" t="s">
        <v>3429</v>
      </c>
      <c r="M10" s="3408" t="s">
        <v>3430</v>
      </c>
      <c r="Z10" s="3409"/>
      <c r="AA10" s="3409"/>
      <c r="AB10" s="3409"/>
      <c r="AC10" s="3409">
        <v>44817</v>
      </c>
      <c r="AL10" s="3408">
        <v>3477.0967999999998</v>
      </c>
      <c r="AT10" s="3408" t="s">
        <v>3431</v>
      </c>
      <c r="BB10" s="3408">
        <f t="shared" si="0"/>
        <v>1798</v>
      </c>
      <c r="BC10" s="3410">
        <v>3252.83</v>
      </c>
      <c r="BD10" s="3411">
        <f t="shared" si="1"/>
        <v>1682</v>
      </c>
      <c r="BE10" s="3410">
        <f t="shared" si="2"/>
        <v>1177</v>
      </c>
      <c r="BF10" s="3412">
        <f t="shared" si="3"/>
        <v>6.4500000000000002E-2</v>
      </c>
      <c r="BG10" s="3412">
        <f>ROUND(BF10/'剩余（增值收益扣减）法'!$C$31,4)</f>
        <v>0.1613</v>
      </c>
    </row>
    <row r="11" spans="1:64">
      <c r="A11" s="3408" t="s">
        <v>3432</v>
      </c>
      <c r="B11" s="3408" t="s">
        <v>1465</v>
      </c>
      <c r="C11" s="3408" t="s">
        <v>3433</v>
      </c>
      <c r="D11" s="3408" t="s">
        <v>3372</v>
      </c>
      <c r="E11" s="3408" t="s">
        <v>3415</v>
      </c>
      <c r="F11" s="3408" t="s">
        <v>3434</v>
      </c>
      <c r="G11" s="3408" t="s">
        <v>3435</v>
      </c>
      <c r="H11" s="3408" t="s">
        <v>3376</v>
      </c>
      <c r="I11" s="3408">
        <v>20000</v>
      </c>
      <c r="J11" s="3408">
        <v>20000</v>
      </c>
      <c r="K11" s="3408" t="s">
        <v>3436</v>
      </c>
      <c r="L11" s="3408" t="s">
        <v>3377</v>
      </c>
      <c r="M11" s="3408" t="s">
        <v>3376</v>
      </c>
      <c r="N11" s="3408" t="s">
        <v>3379</v>
      </c>
      <c r="O11" s="3408" t="s">
        <v>3380</v>
      </c>
      <c r="P11" s="3408" t="s">
        <v>3382</v>
      </c>
      <c r="Q11" s="3408" t="s">
        <v>3382</v>
      </c>
      <c r="R11" s="3408" t="s">
        <v>3382</v>
      </c>
      <c r="S11" s="3408" t="s">
        <v>3382</v>
      </c>
      <c r="T11" s="3408" t="s">
        <v>3382</v>
      </c>
      <c r="U11" s="3408" t="s">
        <v>3382</v>
      </c>
      <c r="V11" s="3408" t="s">
        <v>3382</v>
      </c>
      <c r="W11" s="3408" t="s">
        <v>3382</v>
      </c>
      <c r="X11" s="3408">
        <v>0</v>
      </c>
      <c r="Y11" s="3408">
        <v>0</v>
      </c>
      <c r="Z11" s="3409">
        <v>44708.0004976852</v>
      </c>
      <c r="AA11" s="3409">
        <v>44728.0004976852</v>
      </c>
      <c r="AB11" s="3409">
        <v>44742.0004976852</v>
      </c>
      <c r="AC11" s="3409">
        <v>44742.0004976852</v>
      </c>
      <c r="AD11" s="3408" t="s">
        <v>3437</v>
      </c>
      <c r="AE11" s="3408" t="s">
        <v>3384</v>
      </c>
      <c r="AF11" s="3408" t="s">
        <v>3438</v>
      </c>
      <c r="AG11" s="3408" t="s">
        <v>3382</v>
      </c>
      <c r="AH11" s="3408" t="s">
        <v>3382</v>
      </c>
      <c r="AI11" s="3408">
        <v>2284.42</v>
      </c>
      <c r="AJ11" s="3408">
        <v>500</v>
      </c>
      <c r="AK11" s="3408" t="s">
        <v>3439</v>
      </c>
      <c r="AL11" s="3408">
        <v>2284.42</v>
      </c>
      <c r="AM11" s="3408">
        <v>76.150000000000006</v>
      </c>
      <c r="AN11" s="3408">
        <v>76.150000000000006</v>
      </c>
      <c r="AO11" s="3408">
        <v>1142</v>
      </c>
      <c r="AP11" s="3408">
        <v>1142</v>
      </c>
      <c r="AQ11" s="3408" t="s">
        <v>3382</v>
      </c>
      <c r="AR11" s="3408" t="s">
        <v>3382</v>
      </c>
      <c r="AS11" s="3408">
        <v>0</v>
      </c>
      <c r="AT11" s="3408" t="s">
        <v>3396</v>
      </c>
      <c r="AU11" s="3408" t="s">
        <v>3380</v>
      </c>
      <c r="AV11" s="3408" t="s">
        <v>3382</v>
      </c>
      <c r="AW11" s="3408" t="s">
        <v>3380</v>
      </c>
      <c r="AX11" s="3408" t="s">
        <v>3382</v>
      </c>
      <c r="AY11" s="3408" t="s">
        <v>3382</v>
      </c>
      <c r="AZ11" s="3408" t="s">
        <v>3382</v>
      </c>
      <c r="BB11" s="3408">
        <f t="shared" si="0"/>
        <v>1142</v>
      </c>
      <c r="BC11" s="3410">
        <v>2104.42</v>
      </c>
      <c r="BD11" s="3411">
        <f t="shared" si="1"/>
        <v>1052</v>
      </c>
      <c r="BE11" s="3410">
        <f t="shared" si="2"/>
        <v>736</v>
      </c>
      <c r="BF11" s="3412">
        <f t="shared" si="3"/>
        <v>7.8799999999999995E-2</v>
      </c>
      <c r="BG11" s="3412">
        <f>ROUND(BF11/'剩余（增值收益扣减）法'!$C$31,4)</f>
        <v>0.19700000000000001</v>
      </c>
    </row>
    <row r="12" spans="1:64" s="3527" customFormat="1">
      <c r="A12" s="3511" t="s">
        <v>3828</v>
      </c>
      <c r="B12" s="3527" t="s">
        <v>1465</v>
      </c>
      <c r="C12" s="3527" t="s">
        <v>3819</v>
      </c>
      <c r="D12" s="3527" t="s">
        <v>3372</v>
      </c>
      <c r="E12" s="3527" t="s">
        <v>3415</v>
      </c>
      <c r="G12" s="3527" t="s">
        <v>3820</v>
      </c>
      <c r="H12" s="3527" t="s">
        <v>3376</v>
      </c>
      <c r="I12" s="3527">
        <v>17103.271000000001</v>
      </c>
      <c r="K12" s="3527" t="s">
        <v>3429</v>
      </c>
      <c r="M12" s="3512" t="s">
        <v>3827</v>
      </c>
      <c r="Z12" s="3528"/>
      <c r="AA12" s="3528"/>
      <c r="AB12" s="3528"/>
      <c r="AC12" s="3528">
        <v>44720</v>
      </c>
      <c r="AL12" s="3527">
        <v>3075.9578999999999</v>
      </c>
      <c r="AT12" s="3527" t="s">
        <v>3396</v>
      </c>
      <c r="BB12" s="3527">
        <f t="shared" si="0"/>
        <v>1798</v>
      </c>
      <c r="BC12" s="3529">
        <v>2877.56</v>
      </c>
      <c r="BD12" s="3530">
        <f t="shared" si="1"/>
        <v>1682</v>
      </c>
      <c r="BE12" s="3529">
        <f t="shared" si="2"/>
        <v>1177</v>
      </c>
      <c r="BF12" s="3531">
        <f t="shared" si="3"/>
        <v>6.4500000000000002E-2</v>
      </c>
      <c r="BG12" s="3531">
        <f>ROUND(BF12/'剩余（增值收益扣减）法'!$C$31,4)</f>
        <v>0.1613</v>
      </c>
      <c r="BI12" s="3532"/>
      <c r="BJ12" s="3532"/>
      <c r="BL12" s="3533"/>
    </row>
    <row r="13" spans="1:64" s="3432" customFormat="1">
      <c r="A13" s="3432" t="s">
        <v>3440</v>
      </c>
      <c r="B13" s="3432" t="s">
        <v>1465</v>
      </c>
      <c r="C13" s="3432" t="s">
        <v>3441</v>
      </c>
      <c r="D13" s="3432" t="s">
        <v>3372</v>
      </c>
      <c r="E13" s="3432" t="s">
        <v>3415</v>
      </c>
      <c r="F13" s="3432" t="s">
        <v>3442</v>
      </c>
      <c r="G13" s="3432" t="s">
        <v>3443</v>
      </c>
      <c r="H13" s="3432" t="s">
        <v>3376</v>
      </c>
      <c r="I13" s="3432">
        <v>54995.519999999997</v>
      </c>
      <c r="J13" s="3432">
        <v>82493.289999999994</v>
      </c>
      <c r="K13" s="3432" t="s">
        <v>3425</v>
      </c>
      <c r="L13" s="3432" t="s">
        <v>3377</v>
      </c>
      <c r="M13" s="3432" t="s">
        <v>3444</v>
      </c>
      <c r="N13" s="3432" t="s">
        <v>3379</v>
      </c>
      <c r="O13" s="3432" t="s">
        <v>3380</v>
      </c>
      <c r="P13" s="3432" t="s">
        <v>3382</v>
      </c>
      <c r="Q13" s="3432">
        <v>24</v>
      </c>
      <c r="R13" s="3432" t="s">
        <v>3382</v>
      </c>
      <c r="S13" s="3432" t="s">
        <v>3382</v>
      </c>
      <c r="T13" s="3432" t="s">
        <v>3382</v>
      </c>
      <c r="U13" s="3432" t="s">
        <v>3382</v>
      </c>
      <c r="V13" s="3432" t="s">
        <v>3382</v>
      </c>
      <c r="W13" s="3432" t="s">
        <v>3382</v>
      </c>
      <c r="X13" s="3432">
        <v>0</v>
      </c>
      <c r="Y13" s="3432">
        <v>0</v>
      </c>
      <c r="Z13" s="3433">
        <v>44678.0004976852</v>
      </c>
      <c r="AA13" s="3433">
        <v>44698.0004976852</v>
      </c>
      <c r="AB13" s="3433">
        <v>44712.0004976852</v>
      </c>
      <c r="AC13" s="3433">
        <v>44712.0004976852</v>
      </c>
      <c r="AD13" s="3432" t="s">
        <v>3445</v>
      </c>
      <c r="AE13" s="3432" t="s">
        <v>3384</v>
      </c>
      <c r="AF13" s="3432" t="s">
        <v>3446</v>
      </c>
      <c r="AG13" s="3432" t="s">
        <v>3382</v>
      </c>
      <c r="AH13" s="3432" t="s">
        <v>3382</v>
      </c>
      <c r="AI13" s="3432">
        <v>8783.01</v>
      </c>
      <c r="AJ13" s="3432">
        <v>1800</v>
      </c>
      <c r="AK13" s="3432" t="s">
        <v>3447</v>
      </c>
      <c r="AL13" s="3432">
        <v>8783.01</v>
      </c>
      <c r="AM13" s="3432">
        <v>106.47</v>
      </c>
      <c r="AN13" s="3432">
        <v>106.47</v>
      </c>
      <c r="AO13" s="3432">
        <v>1065</v>
      </c>
      <c r="AP13" s="3432">
        <v>1065</v>
      </c>
      <c r="AQ13" s="3432" t="s">
        <v>3382</v>
      </c>
      <c r="AR13" s="3432" t="s">
        <v>3382</v>
      </c>
      <c r="AS13" s="3432">
        <v>0</v>
      </c>
      <c r="AT13" s="3432" t="s">
        <v>3396</v>
      </c>
      <c r="AU13" s="3432" t="s">
        <v>3380</v>
      </c>
      <c r="AV13" s="3432" t="s">
        <v>3382</v>
      </c>
      <c r="AW13" s="3432" t="s">
        <v>3380</v>
      </c>
      <c r="AX13" s="3432" t="s">
        <v>3382</v>
      </c>
      <c r="AY13" s="3432" t="s">
        <v>3382</v>
      </c>
      <c r="AZ13" s="3432" t="s">
        <v>3382</v>
      </c>
      <c r="BB13" s="3432">
        <f t="shared" si="0"/>
        <v>1597</v>
      </c>
      <c r="BC13" s="3434">
        <v>8073.57</v>
      </c>
      <c r="BD13" s="3437">
        <f t="shared" si="1"/>
        <v>1468</v>
      </c>
      <c r="BE13" s="3434">
        <f t="shared" si="2"/>
        <v>1028</v>
      </c>
      <c r="BF13" s="3438">
        <f t="shared" si="3"/>
        <v>8.0799999999999997E-2</v>
      </c>
      <c r="BG13" s="3438">
        <f>ROUND(BF13/'剩余（增值收益扣减）法'!$C$31,4)</f>
        <v>0.20200000000000001</v>
      </c>
      <c r="BI13" s="3435" t="s">
        <v>3448</v>
      </c>
      <c r="BJ13" s="3435">
        <f>ROUND(AP13*土地一级开发案例!$B$26/土地一级开发案例!B31,0)</f>
        <v>5504</v>
      </c>
      <c r="BL13" s="3436"/>
    </row>
    <row r="14" spans="1:64" s="3419" customFormat="1">
      <c r="A14" s="3419" t="s">
        <v>3449</v>
      </c>
      <c r="B14" s="3419" t="s">
        <v>1465</v>
      </c>
      <c r="C14" s="3419" t="s">
        <v>3450</v>
      </c>
      <c r="D14" s="3419" t="s">
        <v>3372</v>
      </c>
      <c r="E14" s="3419" t="s">
        <v>3415</v>
      </c>
      <c r="F14" s="3419" t="s">
        <v>3442</v>
      </c>
      <c r="G14" s="3419" t="s">
        <v>3443</v>
      </c>
      <c r="H14" s="3419" t="s">
        <v>3376</v>
      </c>
      <c r="I14" s="3419">
        <v>54214.080000000002</v>
      </c>
      <c r="J14" s="3419">
        <v>108428.16</v>
      </c>
      <c r="K14" s="3419">
        <v>2</v>
      </c>
      <c r="L14" s="3419" t="s">
        <v>3377</v>
      </c>
      <c r="M14" s="3419" t="s">
        <v>3444</v>
      </c>
      <c r="N14" s="3419" t="s">
        <v>3379</v>
      </c>
      <c r="O14" s="3419" t="s">
        <v>3380</v>
      </c>
      <c r="P14" s="3419" t="s">
        <v>3382</v>
      </c>
      <c r="Q14" s="3419" t="s">
        <v>3393</v>
      </c>
      <c r="R14" s="3419" t="s">
        <v>3382</v>
      </c>
      <c r="S14" s="3419" t="s">
        <v>3382</v>
      </c>
      <c r="T14" s="3419" t="s">
        <v>3382</v>
      </c>
      <c r="U14" s="3419" t="s">
        <v>3382</v>
      </c>
      <c r="V14" s="3419" t="s">
        <v>3382</v>
      </c>
      <c r="W14" s="3419" t="s">
        <v>3382</v>
      </c>
      <c r="X14" s="3419">
        <v>0</v>
      </c>
      <c r="Y14" s="3419">
        <v>0</v>
      </c>
      <c r="Z14" s="3420">
        <v>44606.0004976852</v>
      </c>
      <c r="AA14" s="3420">
        <v>44627.0004976852</v>
      </c>
      <c r="AB14" s="3420">
        <v>44642.0004976852</v>
      </c>
      <c r="AC14" s="3420">
        <v>44642.0004976852</v>
      </c>
      <c r="AD14" s="3419" t="s">
        <v>3451</v>
      </c>
      <c r="AE14" s="3419" t="s">
        <v>3384</v>
      </c>
      <c r="AF14" s="3419" t="s">
        <v>3452</v>
      </c>
      <c r="AG14" s="3419" t="s">
        <v>3382</v>
      </c>
      <c r="AH14" s="3419" t="s">
        <v>3382</v>
      </c>
      <c r="AI14" s="3419">
        <v>8793.52</v>
      </c>
      <c r="AJ14" s="3419">
        <v>1800</v>
      </c>
      <c r="AK14" s="3419" t="s">
        <v>2092</v>
      </c>
      <c r="AL14" s="3419">
        <v>8793.52</v>
      </c>
      <c r="AM14" s="3419">
        <v>108.13</v>
      </c>
      <c r="AN14" s="3419">
        <v>108.13</v>
      </c>
      <c r="AO14" s="3419">
        <v>811</v>
      </c>
      <c r="AP14" s="3419">
        <v>811</v>
      </c>
      <c r="AQ14" s="3419" t="s">
        <v>3382</v>
      </c>
      <c r="AR14" s="3419" t="s">
        <v>3382</v>
      </c>
      <c r="AS14" s="3419">
        <v>0</v>
      </c>
      <c r="AT14" s="3419" t="s">
        <v>3396</v>
      </c>
      <c r="AU14" s="3419" t="s">
        <v>3380</v>
      </c>
      <c r="AV14" s="3419" t="s">
        <v>3382</v>
      </c>
      <c r="AW14" s="3419" t="s">
        <v>3380</v>
      </c>
      <c r="AX14" s="3419" t="s">
        <v>3382</v>
      </c>
      <c r="AY14" s="3419" t="s">
        <v>3382</v>
      </c>
      <c r="AZ14" s="3419" t="s">
        <v>3382</v>
      </c>
      <c r="BB14" s="3419">
        <f t="shared" si="0"/>
        <v>1622</v>
      </c>
      <c r="BC14" s="3422">
        <v>7717.94</v>
      </c>
      <c r="BD14" s="3534">
        <f t="shared" si="1"/>
        <v>1424</v>
      </c>
      <c r="BE14" s="3422">
        <f t="shared" si="2"/>
        <v>997</v>
      </c>
      <c r="BF14" s="3535"/>
      <c r="BG14" s="3535"/>
      <c r="BI14" s="3426" t="s">
        <v>3448</v>
      </c>
      <c r="BJ14" s="3426">
        <f>ROUND(AP14*土地一级开发案例!$B$26/土地一级开发案例!B31,0)</f>
        <v>4192</v>
      </c>
      <c r="BL14" s="3427"/>
    </row>
    <row r="15" spans="1:64">
      <c r="A15" s="3408" t="s">
        <v>3453</v>
      </c>
      <c r="B15" s="3408" t="s">
        <v>1465</v>
      </c>
      <c r="C15" s="3408" t="s">
        <v>3454</v>
      </c>
      <c r="D15" s="3408" t="s">
        <v>3372</v>
      </c>
      <c r="E15" s="3408" t="s">
        <v>3415</v>
      </c>
      <c r="F15" s="3408" t="s">
        <v>3455</v>
      </c>
      <c r="G15" s="3408" t="s">
        <v>3456</v>
      </c>
      <c r="H15" s="3408" t="s">
        <v>3376</v>
      </c>
      <c r="I15" s="3408">
        <v>76366.38</v>
      </c>
      <c r="J15" s="3408">
        <v>114549.57</v>
      </c>
      <c r="K15" s="3408">
        <v>1.5</v>
      </c>
      <c r="L15" s="3408" t="s">
        <v>3377</v>
      </c>
      <c r="M15" s="3408" t="s">
        <v>3376</v>
      </c>
      <c r="N15" s="3408" t="s">
        <v>3379</v>
      </c>
      <c r="O15" s="3408" t="s">
        <v>3380</v>
      </c>
      <c r="P15" s="3408" t="s">
        <v>3457</v>
      </c>
      <c r="Q15" s="3408" t="s">
        <v>3382</v>
      </c>
      <c r="R15" s="3408" t="s">
        <v>3382</v>
      </c>
      <c r="S15" s="3408" t="s">
        <v>3382</v>
      </c>
      <c r="T15" s="3408" t="s">
        <v>3382</v>
      </c>
      <c r="U15" s="3408" t="s">
        <v>3382</v>
      </c>
      <c r="V15" s="3408" t="s">
        <v>3382</v>
      </c>
      <c r="W15" s="3408" t="s">
        <v>3382</v>
      </c>
      <c r="X15" s="3408">
        <v>0</v>
      </c>
      <c r="Y15" s="3408">
        <v>0</v>
      </c>
      <c r="Z15" s="3409">
        <v>44582.0004976852</v>
      </c>
      <c r="AA15" s="3409">
        <v>44602.0004976852</v>
      </c>
      <c r="AB15" s="3409">
        <v>44630.0004976852</v>
      </c>
      <c r="AC15" s="3409">
        <v>44630.0004976852</v>
      </c>
      <c r="AD15" s="3408" t="s">
        <v>3458</v>
      </c>
      <c r="AE15" s="3408" t="s">
        <v>3384</v>
      </c>
      <c r="AF15" s="3408" t="s">
        <v>3459</v>
      </c>
      <c r="AG15" s="3408" t="s">
        <v>3382</v>
      </c>
      <c r="AH15" s="3408" t="s">
        <v>3382</v>
      </c>
      <c r="AI15" s="3408">
        <v>11431.52</v>
      </c>
      <c r="AJ15" s="3408">
        <v>2500</v>
      </c>
      <c r="AK15" s="3408" t="s">
        <v>2092</v>
      </c>
      <c r="AL15" s="3408">
        <v>11431.52</v>
      </c>
      <c r="AM15" s="3408">
        <v>99.8</v>
      </c>
      <c r="AN15" s="3408">
        <v>99.8</v>
      </c>
      <c r="AO15" s="3408">
        <v>998</v>
      </c>
      <c r="AP15" s="3408">
        <v>998</v>
      </c>
      <c r="AQ15" s="3408" t="s">
        <v>3382</v>
      </c>
      <c r="AR15" s="3408" t="s">
        <v>3382</v>
      </c>
      <c r="AS15" s="3408">
        <v>0</v>
      </c>
      <c r="AT15" s="3408" t="s">
        <v>3396</v>
      </c>
      <c r="AU15" s="3408" t="s">
        <v>3380</v>
      </c>
      <c r="AV15" s="3408" t="s">
        <v>3382</v>
      </c>
      <c r="AW15" s="3408" t="s">
        <v>3380</v>
      </c>
      <c r="AX15" s="3408" t="s">
        <v>3382</v>
      </c>
      <c r="AY15" s="3408" t="s">
        <v>3382</v>
      </c>
      <c r="AZ15" s="3408" t="s">
        <v>3382</v>
      </c>
      <c r="BB15" s="3408">
        <f t="shared" si="0"/>
        <v>1497</v>
      </c>
      <c r="BC15" s="3410">
        <v>5226.5200000000004</v>
      </c>
      <c r="BD15" s="3411">
        <f t="shared" si="1"/>
        <v>684</v>
      </c>
      <c r="BE15" s="3410">
        <f t="shared" si="2"/>
        <v>479</v>
      </c>
      <c r="BF15" s="3516"/>
      <c r="BG15" s="3516"/>
    </row>
    <row r="16" spans="1:64">
      <c r="A16" s="3408" t="s">
        <v>3822</v>
      </c>
      <c r="B16" s="3408" t="s">
        <v>1465</v>
      </c>
      <c r="C16" s="3408" t="s">
        <v>3460</v>
      </c>
      <c r="D16" s="3408" t="s">
        <v>3372</v>
      </c>
      <c r="E16" s="3408" t="s">
        <v>3415</v>
      </c>
      <c r="F16" s="3408" t="s">
        <v>3434</v>
      </c>
      <c r="G16" s="3408" t="s">
        <v>3424</v>
      </c>
      <c r="H16" s="3408" t="s">
        <v>3376</v>
      </c>
      <c r="I16" s="3408">
        <v>19333.34</v>
      </c>
      <c r="J16" s="3408">
        <v>38666.69</v>
      </c>
      <c r="K16" s="3408">
        <v>2</v>
      </c>
      <c r="L16" s="3408" t="s">
        <v>3377</v>
      </c>
      <c r="M16" s="3408" t="s">
        <v>3461</v>
      </c>
      <c r="N16" s="3408" t="s">
        <v>3379</v>
      </c>
      <c r="O16" s="3408" t="s">
        <v>3380</v>
      </c>
      <c r="P16" s="3408" t="s">
        <v>3382</v>
      </c>
      <c r="Q16" s="3408" t="s">
        <v>3382</v>
      </c>
      <c r="R16" s="3408" t="s">
        <v>3382</v>
      </c>
      <c r="S16" s="3408" t="s">
        <v>3382</v>
      </c>
      <c r="T16" s="3408" t="s">
        <v>3382</v>
      </c>
      <c r="U16" s="3408" t="s">
        <v>3382</v>
      </c>
      <c r="V16" s="3408">
        <v>0</v>
      </c>
      <c r="W16" s="3408">
        <v>0</v>
      </c>
      <c r="X16" s="3408">
        <v>0</v>
      </c>
      <c r="Y16" s="3408">
        <v>0</v>
      </c>
      <c r="Z16" s="3409">
        <v>44526.0004976852</v>
      </c>
      <c r="AA16" s="3409">
        <v>44546.0004976852</v>
      </c>
      <c r="AB16" s="3409">
        <v>44561.0004976852</v>
      </c>
      <c r="AC16" s="3409">
        <v>44561.0004976852</v>
      </c>
      <c r="AD16" s="3408" t="s">
        <v>3462</v>
      </c>
      <c r="AE16" s="3408" t="s">
        <v>3384</v>
      </c>
      <c r="AF16" s="3408" t="s">
        <v>3463</v>
      </c>
      <c r="AG16" s="3408" t="s">
        <v>3382</v>
      </c>
      <c r="AH16" s="3408" t="s">
        <v>3382</v>
      </c>
      <c r="AI16" s="3408">
        <v>3477.1</v>
      </c>
      <c r="AJ16" s="3408">
        <v>700</v>
      </c>
      <c r="AK16" s="3408" t="s">
        <v>2092</v>
      </c>
      <c r="AL16" s="3408">
        <v>3477.1</v>
      </c>
      <c r="AM16" s="3408">
        <v>119.9</v>
      </c>
      <c r="AN16" s="3408">
        <v>119.9</v>
      </c>
      <c r="AO16" s="3408">
        <v>899</v>
      </c>
      <c r="AP16" s="3408">
        <v>899</v>
      </c>
      <c r="AQ16" s="3408" t="s">
        <v>3382</v>
      </c>
      <c r="AR16" s="3408" t="s">
        <v>3382</v>
      </c>
      <c r="AS16" s="3408">
        <v>0</v>
      </c>
      <c r="AT16" s="3408" t="s">
        <v>3396</v>
      </c>
      <c r="AU16" s="3408" t="s">
        <v>3380</v>
      </c>
      <c r="AV16" s="3408" t="s">
        <v>3382</v>
      </c>
      <c r="AW16" s="3408" t="s">
        <v>3380</v>
      </c>
      <c r="AX16" s="3408" t="s">
        <v>3382</v>
      </c>
      <c r="AY16" s="3408" t="s">
        <v>3382</v>
      </c>
      <c r="AZ16" s="3408" t="s">
        <v>3382</v>
      </c>
      <c r="BB16" s="3408">
        <f t="shared" si="0"/>
        <v>1798</v>
      </c>
      <c r="BC16" s="3410">
        <v>3252.83</v>
      </c>
      <c r="BD16" s="3411">
        <f t="shared" si="1"/>
        <v>1682</v>
      </c>
      <c r="BE16" s="3410">
        <f t="shared" si="2"/>
        <v>1177</v>
      </c>
      <c r="BF16" s="3412">
        <f t="shared" si="3"/>
        <v>6.4500000000000002E-2</v>
      </c>
      <c r="BG16" s="3412">
        <f>ROUND(BF16/'剩余（增值收益扣减）法'!$C$31,4)</f>
        <v>0.1613</v>
      </c>
    </row>
    <row r="17" spans="1:64" s="3432" customFormat="1">
      <c r="A17" s="3432" t="s">
        <v>3464</v>
      </c>
      <c r="B17" s="3432" t="s">
        <v>1465</v>
      </c>
      <c r="C17" s="3432" t="s">
        <v>3465</v>
      </c>
      <c r="D17" s="3432" t="s">
        <v>3372</v>
      </c>
      <c r="E17" s="3432" t="s">
        <v>3415</v>
      </c>
      <c r="F17" s="3432" t="s">
        <v>3382</v>
      </c>
      <c r="G17" s="3432" t="s">
        <v>3466</v>
      </c>
      <c r="H17" s="3432" t="s">
        <v>3376</v>
      </c>
      <c r="I17" s="3432">
        <v>95076.46</v>
      </c>
      <c r="J17" s="3432">
        <v>114091.75</v>
      </c>
      <c r="K17" s="3432">
        <v>1.2</v>
      </c>
      <c r="L17" s="3432" t="s">
        <v>3377</v>
      </c>
      <c r="M17" s="3432" t="s">
        <v>3444</v>
      </c>
      <c r="N17" s="3432" t="s">
        <v>3379</v>
      </c>
      <c r="O17" s="3432" t="s">
        <v>3380</v>
      </c>
      <c r="P17" s="3432" t="s">
        <v>3382</v>
      </c>
      <c r="Q17" s="3432" t="s">
        <v>3467</v>
      </c>
      <c r="R17" s="3432" t="s">
        <v>3382</v>
      </c>
      <c r="S17" s="3432" t="s">
        <v>3382</v>
      </c>
      <c r="T17" s="3432" t="s">
        <v>3382</v>
      </c>
      <c r="U17" s="3432" t="s">
        <v>3382</v>
      </c>
      <c r="V17" s="3432" t="s">
        <v>3382</v>
      </c>
      <c r="W17" s="3432" t="s">
        <v>3382</v>
      </c>
      <c r="X17" s="3432">
        <v>0</v>
      </c>
      <c r="Y17" s="3432">
        <v>0</v>
      </c>
      <c r="Z17" s="3433">
        <v>44465.0004976852</v>
      </c>
      <c r="AA17" s="3433">
        <v>44487.0004976852</v>
      </c>
      <c r="AB17" s="3433">
        <v>44521.0004976852</v>
      </c>
      <c r="AC17" s="3433">
        <v>44521.0004976852</v>
      </c>
      <c r="AD17" s="3432" t="s">
        <v>3468</v>
      </c>
      <c r="AE17" s="3432" t="s">
        <v>3384</v>
      </c>
      <c r="AF17" s="3432" t="s">
        <v>3469</v>
      </c>
      <c r="AG17" s="3432" t="s">
        <v>3382</v>
      </c>
      <c r="AH17" s="3432" t="s">
        <v>3382</v>
      </c>
      <c r="AI17" s="3432">
        <v>15254.86</v>
      </c>
      <c r="AJ17" s="3432">
        <v>3100</v>
      </c>
      <c r="AK17" s="3432" t="s">
        <v>3470</v>
      </c>
      <c r="AL17" s="3432">
        <v>15254.86</v>
      </c>
      <c r="AM17" s="3432">
        <v>106.97</v>
      </c>
      <c r="AN17" s="3432">
        <v>106.97</v>
      </c>
      <c r="AO17" s="3432">
        <v>1337</v>
      </c>
      <c r="AP17" s="3432">
        <v>1337</v>
      </c>
      <c r="AQ17" s="3432" t="s">
        <v>3382</v>
      </c>
      <c r="AR17" s="3432" t="s">
        <v>3382</v>
      </c>
      <c r="AS17" s="3432">
        <v>0</v>
      </c>
      <c r="AT17" s="3432" t="s">
        <v>3431</v>
      </c>
      <c r="AU17" s="3432" t="s">
        <v>3380</v>
      </c>
      <c r="AV17" s="3432" t="s">
        <v>3382</v>
      </c>
      <c r="AW17" s="3432" t="s">
        <v>3380</v>
      </c>
      <c r="AX17" s="3432" t="s">
        <v>3382</v>
      </c>
      <c r="AY17" s="3432" t="s">
        <v>3382</v>
      </c>
      <c r="AZ17" s="3432" t="s">
        <v>3382</v>
      </c>
      <c r="BB17" s="3432">
        <f t="shared" si="0"/>
        <v>1604</v>
      </c>
      <c r="BC17" s="3434">
        <v>14022.67</v>
      </c>
      <c r="BD17" s="3437">
        <f t="shared" si="1"/>
        <v>1475</v>
      </c>
      <c r="BE17" s="3434">
        <f t="shared" si="2"/>
        <v>1033</v>
      </c>
      <c r="BF17" s="3438">
        <f t="shared" si="3"/>
        <v>8.0799999999999997E-2</v>
      </c>
      <c r="BG17" s="3438">
        <f>ROUND(BF17/'剩余（增值收益扣减）法'!$C$31,4)</f>
        <v>0.20200000000000001</v>
      </c>
      <c r="BI17" s="3435" t="s">
        <v>3448</v>
      </c>
      <c r="BJ17" s="3435">
        <f>ROUND(AP17*土地一级开发案例!$B$26/土地一级开发案例!B31,0)</f>
        <v>6910</v>
      </c>
      <c r="BL17" s="3436"/>
    </row>
    <row r="18" spans="1:64">
      <c r="A18" s="3408" t="s">
        <v>3471</v>
      </c>
      <c r="B18" s="3408" t="s">
        <v>1465</v>
      </c>
      <c r="C18" s="3408" t="s">
        <v>3472</v>
      </c>
      <c r="D18" s="3408" t="s">
        <v>3372</v>
      </c>
      <c r="E18" s="3408" t="s">
        <v>3415</v>
      </c>
      <c r="F18" s="3408" t="s">
        <v>3455</v>
      </c>
      <c r="G18" s="3408" t="s">
        <v>3456</v>
      </c>
      <c r="H18" s="3408" t="s">
        <v>3376</v>
      </c>
      <c r="I18" s="3408">
        <v>23200</v>
      </c>
      <c r="J18" s="3408">
        <v>32480</v>
      </c>
      <c r="K18" s="3408">
        <v>1.4</v>
      </c>
      <c r="L18" s="3408" t="s">
        <v>3473</v>
      </c>
      <c r="M18" s="3408" t="s">
        <v>3474</v>
      </c>
      <c r="N18" s="3408" t="s">
        <v>3379</v>
      </c>
      <c r="O18" s="3408" t="s">
        <v>3380</v>
      </c>
      <c r="P18" s="3408" t="s">
        <v>3475</v>
      </c>
      <c r="Q18" s="3408" t="s">
        <v>3382</v>
      </c>
      <c r="R18" s="3408" t="s">
        <v>3382</v>
      </c>
      <c r="S18" s="3408" t="s">
        <v>3382</v>
      </c>
      <c r="T18" s="3408" t="s">
        <v>3382</v>
      </c>
      <c r="U18" s="3408" t="s">
        <v>3382</v>
      </c>
      <c r="V18" s="3408" t="s">
        <v>3382</v>
      </c>
      <c r="W18" s="3408" t="s">
        <v>3382</v>
      </c>
      <c r="X18" s="3408">
        <v>0</v>
      </c>
      <c r="Y18" s="3408">
        <v>0</v>
      </c>
      <c r="Z18" s="3409">
        <v>44447.0004976852</v>
      </c>
      <c r="AA18" s="3409">
        <v>44467.0004976852</v>
      </c>
      <c r="AB18" s="3409">
        <v>44487.0004976852</v>
      </c>
      <c r="AC18" s="3409">
        <v>44487.0004976852</v>
      </c>
      <c r="AD18" s="3408" t="s">
        <v>3476</v>
      </c>
      <c r="AE18" s="3408" t="s">
        <v>3384</v>
      </c>
      <c r="AF18" s="3408" t="s">
        <v>3477</v>
      </c>
      <c r="AG18" s="3408" t="s">
        <v>3382</v>
      </c>
      <c r="AH18" s="3408" t="s">
        <v>3382</v>
      </c>
      <c r="AI18" s="3408">
        <v>2150.1799999999998</v>
      </c>
      <c r="AJ18" s="3408">
        <v>440</v>
      </c>
      <c r="AK18" s="3408" t="s">
        <v>2092</v>
      </c>
      <c r="AL18" s="3408">
        <v>2150.1799999999998</v>
      </c>
      <c r="AM18" s="3408">
        <v>61.79</v>
      </c>
      <c r="AN18" s="3408">
        <v>61.79</v>
      </c>
      <c r="AO18" s="3408">
        <v>662</v>
      </c>
      <c r="AP18" s="3408">
        <v>662</v>
      </c>
      <c r="AQ18" s="3408" t="s">
        <v>3382</v>
      </c>
      <c r="AR18" s="3408" t="s">
        <v>3382</v>
      </c>
      <c r="AS18" s="3408">
        <v>0</v>
      </c>
      <c r="AT18" s="3408" t="s">
        <v>3431</v>
      </c>
      <c r="AU18" s="3408" t="s">
        <v>3380</v>
      </c>
      <c r="AV18" s="3408" t="s">
        <v>3382</v>
      </c>
      <c r="AW18" s="3408" t="s">
        <v>3380</v>
      </c>
      <c r="AX18" s="3408" t="s">
        <v>3382</v>
      </c>
      <c r="AY18" s="3408" t="s">
        <v>3382</v>
      </c>
      <c r="AZ18" s="3408" t="s">
        <v>3382</v>
      </c>
      <c r="BB18" s="3408">
        <f t="shared" si="0"/>
        <v>927</v>
      </c>
      <c r="BC18" s="3415" t="s">
        <v>3478</v>
      </c>
      <c r="BD18" s="3515"/>
      <c r="BE18" s="3514"/>
      <c r="BF18" s="3516"/>
      <c r="BG18" s="3516"/>
    </row>
    <row r="19" spans="1:64">
      <c r="A19" s="3408" t="s">
        <v>3479</v>
      </c>
      <c r="B19" s="3408" t="s">
        <v>1465</v>
      </c>
      <c r="C19" s="3408" t="s">
        <v>3480</v>
      </c>
      <c r="D19" s="3408" t="s">
        <v>3372</v>
      </c>
      <c r="E19" s="3408" t="s">
        <v>3415</v>
      </c>
      <c r="F19" s="3408" t="s">
        <v>3434</v>
      </c>
      <c r="G19" s="3408" t="s">
        <v>3435</v>
      </c>
      <c r="H19" s="3408" t="s">
        <v>3376</v>
      </c>
      <c r="I19" s="3408">
        <v>57488.82</v>
      </c>
      <c r="J19" s="3408">
        <v>86233.23</v>
      </c>
      <c r="K19" s="3408" t="s">
        <v>3425</v>
      </c>
      <c r="L19" s="3408" t="s">
        <v>3377</v>
      </c>
      <c r="M19" s="3408" t="s">
        <v>3474</v>
      </c>
      <c r="N19" s="3408" t="s">
        <v>3379</v>
      </c>
      <c r="O19" s="3408" t="s">
        <v>3380</v>
      </c>
      <c r="P19" s="3408">
        <v>0.45</v>
      </c>
      <c r="Q19" s="3408" t="s">
        <v>3481</v>
      </c>
      <c r="R19" s="3408" t="s">
        <v>3382</v>
      </c>
      <c r="S19" s="3408" t="s">
        <v>3382</v>
      </c>
      <c r="T19" s="3408" t="s">
        <v>3382</v>
      </c>
      <c r="U19" s="3408" t="s">
        <v>3382</v>
      </c>
      <c r="V19" s="3408" t="s">
        <v>3382</v>
      </c>
      <c r="W19" s="3408" t="s">
        <v>3382</v>
      </c>
      <c r="X19" s="3408">
        <v>0</v>
      </c>
      <c r="Y19" s="3408">
        <v>0</v>
      </c>
      <c r="Z19" s="3409">
        <v>44440.0004976852</v>
      </c>
      <c r="AA19" s="3409">
        <v>44461.0004976852</v>
      </c>
      <c r="AB19" s="3409">
        <v>44480.0004976852</v>
      </c>
      <c r="AC19" s="3409">
        <v>44480.0004976852</v>
      </c>
      <c r="AD19" s="3408" t="s">
        <v>3482</v>
      </c>
      <c r="AE19" s="3408" t="s">
        <v>3384</v>
      </c>
      <c r="AF19" s="3408" t="s">
        <v>3483</v>
      </c>
      <c r="AG19" s="3408" t="s">
        <v>3382</v>
      </c>
      <c r="AH19" s="3408" t="s">
        <v>3382</v>
      </c>
      <c r="AI19" s="3408">
        <v>7835.68</v>
      </c>
      <c r="AJ19" s="3408">
        <v>1600</v>
      </c>
      <c r="AK19" s="3408" t="s">
        <v>2092</v>
      </c>
      <c r="AL19" s="3408">
        <v>7835.68</v>
      </c>
      <c r="AM19" s="3408">
        <v>90.87</v>
      </c>
      <c r="AN19" s="3408">
        <v>90.87</v>
      </c>
      <c r="AO19" s="3408">
        <v>909</v>
      </c>
      <c r="AP19" s="3408">
        <v>909</v>
      </c>
      <c r="AQ19" s="3408" t="s">
        <v>3382</v>
      </c>
      <c r="AR19" s="3408" t="s">
        <v>3382</v>
      </c>
      <c r="AS19" s="3408">
        <v>0</v>
      </c>
      <c r="AT19" s="3408" t="s">
        <v>3396</v>
      </c>
      <c r="AU19" s="3408" t="s">
        <v>3380</v>
      </c>
      <c r="AV19" s="3408" t="s">
        <v>3382</v>
      </c>
      <c r="AW19" s="3408" t="s">
        <v>3380</v>
      </c>
      <c r="AX19" s="3408" t="s">
        <v>3382</v>
      </c>
      <c r="AY19" s="3408" t="s">
        <v>3382</v>
      </c>
      <c r="AZ19" s="3408" t="s">
        <v>3382</v>
      </c>
      <c r="BB19" s="3408">
        <f t="shared" si="0"/>
        <v>1363</v>
      </c>
      <c r="BC19" s="3410">
        <v>7249.29</v>
      </c>
      <c r="BD19" s="3411">
        <f t="shared" si="1"/>
        <v>1261</v>
      </c>
      <c r="BE19" s="3410">
        <f t="shared" si="2"/>
        <v>883</v>
      </c>
      <c r="BF19" s="3412">
        <f t="shared" si="3"/>
        <v>7.4800000000000005E-2</v>
      </c>
      <c r="BG19" s="3412">
        <f>ROUND(BF19/'剩余（增值收益扣减）法'!$C$31,4)</f>
        <v>0.187</v>
      </c>
    </row>
    <row r="20" spans="1:64">
      <c r="A20" s="3408" t="s">
        <v>3484</v>
      </c>
      <c r="B20" s="3408" t="s">
        <v>1465</v>
      </c>
      <c r="C20" s="3408" t="s">
        <v>3485</v>
      </c>
      <c r="D20" s="3408" t="s">
        <v>3372</v>
      </c>
      <c r="E20" s="3408" t="s">
        <v>3415</v>
      </c>
      <c r="F20" s="3408" t="s">
        <v>3434</v>
      </c>
      <c r="G20" s="3408" t="s">
        <v>3435</v>
      </c>
      <c r="H20" s="3408" t="s">
        <v>3376</v>
      </c>
      <c r="I20" s="3408">
        <v>7422.43</v>
      </c>
      <c r="J20" s="3408">
        <v>5937.95</v>
      </c>
      <c r="K20" s="3408" t="s">
        <v>3486</v>
      </c>
      <c r="L20" s="3408" t="s">
        <v>3377</v>
      </c>
      <c r="M20" s="3408" t="s">
        <v>3474</v>
      </c>
      <c r="N20" s="3408" t="s">
        <v>3379</v>
      </c>
      <c r="O20" s="3408" t="s">
        <v>3380</v>
      </c>
      <c r="P20" s="3408">
        <v>0.5</v>
      </c>
      <c r="Q20" s="3408" t="s">
        <v>3481</v>
      </c>
      <c r="R20" s="3408" t="s">
        <v>3382</v>
      </c>
      <c r="S20" s="3408" t="s">
        <v>3382</v>
      </c>
      <c r="T20" s="3408" t="s">
        <v>3382</v>
      </c>
      <c r="U20" s="3408" t="s">
        <v>3382</v>
      </c>
      <c r="V20" s="3408" t="s">
        <v>3382</v>
      </c>
      <c r="W20" s="3408" t="s">
        <v>3382</v>
      </c>
      <c r="X20" s="3408">
        <v>0</v>
      </c>
      <c r="Y20" s="3408">
        <v>0</v>
      </c>
      <c r="Z20" s="3409">
        <v>44440.0004976852</v>
      </c>
      <c r="AA20" s="3409">
        <v>44461.0004976852</v>
      </c>
      <c r="AB20" s="3409">
        <v>44480.0004976852</v>
      </c>
      <c r="AC20" s="3409">
        <v>44480.0004976852</v>
      </c>
      <c r="AD20" s="3408" t="s">
        <v>3487</v>
      </c>
      <c r="AE20" s="3408" t="s">
        <v>3384</v>
      </c>
      <c r="AF20" s="3408" t="s">
        <v>3488</v>
      </c>
      <c r="AG20" s="3408" t="s">
        <v>3382</v>
      </c>
      <c r="AH20" s="3408" t="s">
        <v>3382</v>
      </c>
      <c r="AI20" s="3408">
        <v>844.63</v>
      </c>
      <c r="AJ20" s="3408">
        <v>170</v>
      </c>
      <c r="AK20" s="3408" t="s">
        <v>2092</v>
      </c>
      <c r="AL20" s="3408">
        <v>844.63</v>
      </c>
      <c r="AM20" s="3408">
        <v>75.86</v>
      </c>
      <c r="AN20" s="3408">
        <v>75.86</v>
      </c>
      <c r="AO20" s="3408">
        <v>1422</v>
      </c>
      <c r="AP20" s="3408">
        <v>1422</v>
      </c>
      <c r="AQ20" s="3408" t="s">
        <v>3382</v>
      </c>
      <c r="AR20" s="3408" t="s">
        <v>3382</v>
      </c>
      <c r="AS20" s="3408">
        <v>0</v>
      </c>
      <c r="AT20" s="3408" t="s">
        <v>3396</v>
      </c>
      <c r="AU20" s="3408" t="s">
        <v>3380</v>
      </c>
      <c r="AV20" s="3408" t="s">
        <v>3382</v>
      </c>
      <c r="AW20" s="3408" t="s">
        <v>3380</v>
      </c>
      <c r="AX20" s="3408" t="s">
        <v>3382</v>
      </c>
      <c r="AY20" s="3408" t="s">
        <v>3382</v>
      </c>
      <c r="AZ20" s="3408" t="s">
        <v>3382</v>
      </c>
      <c r="BB20" s="3408">
        <f t="shared" si="0"/>
        <v>1138</v>
      </c>
      <c r="BC20" s="3410">
        <v>781.69</v>
      </c>
      <c r="BD20" s="3411">
        <f t="shared" si="1"/>
        <v>1053</v>
      </c>
      <c r="BE20" s="3410">
        <f t="shared" si="2"/>
        <v>737</v>
      </c>
      <c r="BF20" s="3412">
        <f t="shared" si="3"/>
        <v>7.4499999999999997E-2</v>
      </c>
      <c r="BG20" s="3412">
        <f>ROUND(BF20/'剩余（增值收益扣减）法'!$C$31,4)</f>
        <v>0.18629999999999999</v>
      </c>
    </row>
    <row r="21" spans="1:64">
      <c r="A21" s="3408" t="s">
        <v>3489</v>
      </c>
      <c r="B21" s="3408" t="s">
        <v>1465</v>
      </c>
      <c r="C21" s="3408" t="s">
        <v>3490</v>
      </c>
      <c r="D21" s="3408" t="s">
        <v>3372</v>
      </c>
      <c r="E21" s="3408" t="s">
        <v>3415</v>
      </c>
      <c r="F21" s="3408" t="s">
        <v>3434</v>
      </c>
      <c r="G21" s="3408" t="s">
        <v>3435</v>
      </c>
      <c r="H21" s="3408" t="s">
        <v>3376</v>
      </c>
      <c r="I21" s="3408">
        <v>23652.31</v>
      </c>
      <c r="J21" s="3408">
        <v>23652.31</v>
      </c>
      <c r="K21" s="3408">
        <v>1</v>
      </c>
      <c r="L21" s="3408" t="s">
        <v>3377</v>
      </c>
      <c r="M21" s="3408" t="s">
        <v>3474</v>
      </c>
      <c r="N21" s="3408" t="s">
        <v>3379</v>
      </c>
      <c r="O21" s="3408" t="s">
        <v>3380</v>
      </c>
      <c r="P21" s="3408">
        <v>0.45</v>
      </c>
      <c r="Q21" s="3408" t="s">
        <v>3393</v>
      </c>
      <c r="R21" s="3408" t="s">
        <v>3382</v>
      </c>
      <c r="S21" s="3408" t="s">
        <v>3382</v>
      </c>
      <c r="T21" s="3408" t="s">
        <v>3382</v>
      </c>
      <c r="U21" s="3408" t="s">
        <v>3382</v>
      </c>
      <c r="V21" s="3408" t="s">
        <v>3382</v>
      </c>
      <c r="W21" s="3408" t="s">
        <v>3382</v>
      </c>
      <c r="X21" s="3408">
        <v>0</v>
      </c>
      <c r="Y21" s="3408">
        <v>0</v>
      </c>
      <c r="Z21" s="3409">
        <v>44440.0004976852</v>
      </c>
      <c r="AA21" s="3409">
        <v>44461.0004976852</v>
      </c>
      <c r="AB21" s="3409">
        <v>44480.0004976852</v>
      </c>
      <c r="AC21" s="3409">
        <v>44480.0004976852</v>
      </c>
      <c r="AD21" s="3408" t="s">
        <v>3491</v>
      </c>
      <c r="AE21" s="3408" t="s">
        <v>3384</v>
      </c>
      <c r="AF21" s="3408" t="s">
        <v>3492</v>
      </c>
      <c r="AG21" s="3408" t="s">
        <v>3382</v>
      </c>
      <c r="AH21" s="3408" t="s">
        <v>3382</v>
      </c>
      <c r="AI21" s="3408">
        <v>2689.6</v>
      </c>
      <c r="AJ21" s="3408">
        <v>550</v>
      </c>
      <c r="AK21" s="3408" t="s">
        <v>2092</v>
      </c>
      <c r="AL21" s="3408">
        <v>2689.6</v>
      </c>
      <c r="AM21" s="3408">
        <v>75.81</v>
      </c>
      <c r="AN21" s="3408">
        <v>75.81</v>
      </c>
      <c r="AO21" s="3408">
        <v>1137</v>
      </c>
      <c r="AP21" s="3408">
        <v>1137</v>
      </c>
      <c r="AQ21" s="3408" t="s">
        <v>3382</v>
      </c>
      <c r="AR21" s="3408" t="s">
        <v>3382</v>
      </c>
      <c r="AS21" s="3408">
        <v>0</v>
      </c>
      <c r="AT21" s="3408" t="s">
        <v>3396</v>
      </c>
      <c r="AU21" s="3408" t="s">
        <v>3380</v>
      </c>
      <c r="AV21" s="3408" t="s">
        <v>3382</v>
      </c>
      <c r="AW21" s="3408" t="s">
        <v>3380</v>
      </c>
      <c r="AX21" s="3408" t="s">
        <v>3382</v>
      </c>
      <c r="AY21" s="3408" t="s">
        <v>3382</v>
      </c>
      <c r="AZ21" s="3408" t="s">
        <v>3382</v>
      </c>
      <c r="BB21" s="3408">
        <f t="shared" si="0"/>
        <v>1137</v>
      </c>
      <c r="BC21" s="3410">
        <v>2488.56</v>
      </c>
      <c r="BD21" s="3411">
        <f t="shared" si="1"/>
        <v>1052</v>
      </c>
      <c r="BE21" s="3410">
        <f t="shared" si="2"/>
        <v>736</v>
      </c>
      <c r="BF21" s="3412">
        <f t="shared" si="3"/>
        <v>7.4700000000000003E-2</v>
      </c>
      <c r="BG21" s="3412">
        <f>ROUND(BF21/'剩余（增值收益扣减）法'!$C$31,4)</f>
        <v>0.18679999999999999</v>
      </c>
    </row>
    <row r="22" spans="1:64">
      <c r="A22" s="3408" t="s">
        <v>3493</v>
      </c>
      <c r="B22" s="3408" t="s">
        <v>1465</v>
      </c>
      <c r="C22" s="3408" t="s">
        <v>3494</v>
      </c>
      <c r="D22" s="3408" t="s">
        <v>3372</v>
      </c>
      <c r="E22" s="3408" t="s">
        <v>3415</v>
      </c>
      <c r="F22" s="3408" t="s">
        <v>3434</v>
      </c>
      <c r="G22" s="3408" t="s">
        <v>3435</v>
      </c>
      <c r="H22" s="3408" t="s">
        <v>3376</v>
      </c>
      <c r="I22" s="3408">
        <v>23170.400000000001</v>
      </c>
      <c r="J22" s="3408">
        <v>23170.400000000001</v>
      </c>
      <c r="K22" s="3408">
        <v>1</v>
      </c>
      <c r="L22" s="3408" t="s">
        <v>3377</v>
      </c>
      <c r="M22" s="3408" t="s">
        <v>3495</v>
      </c>
      <c r="N22" s="3408" t="s">
        <v>3379</v>
      </c>
      <c r="O22" s="3408" t="s">
        <v>3380</v>
      </c>
      <c r="P22" s="3408">
        <v>0.45</v>
      </c>
      <c r="Q22" s="3408" t="s">
        <v>3496</v>
      </c>
      <c r="R22" s="3408" t="s">
        <v>3382</v>
      </c>
      <c r="S22" s="3408" t="s">
        <v>3382</v>
      </c>
      <c r="T22" s="3408" t="s">
        <v>3382</v>
      </c>
      <c r="U22" s="3408" t="s">
        <v>3382</v>
      </c>
      <c r="V22" s="3408" t="s">
        <v>3382</v>
      </c>
      <c r="W22" s="3408" t="s">
        <v>3382</v>
      </c>
      <c r="X22" s="3408">
        <v>0</v>
      </c>
      <c r="Y22" s="3408">
        <v>0</v>
      </c>
      <c r="Z22" s="3409">
        <v>44440.0004976852</v>
      </c>
      <c r="AA22" s="3409">
        <v>44461.0004976852</v>
      </c>
      <c r="AB22" s="3409">
        <v>44480.0004976852</v>
      </c>
      <c r="AC22" s="3409">
        <v>44480.0004976852</v>
      </c>
      <c r="AD22" s="3408" t="s">
        <v>3497</v>
      </c>
      <c r="AE22" s="3408" t="s">
        <v>3384</v>
      </c>
      <c r="AF22" s="3408" t="s">
        <v>3488</v>
      </c>
      <c r="AG22" s="3408" t="s">
        <v>3382</v>
      </c>
      <c r="AH22" s="3408" t="s">
        <v>3382</v>
      </c>
      <c r="AI22" s="3408">
        <v>2632.78</v>
      </c>
      <c r="AJ22" s="3408">
        <v>530</v>
      </c>
      <c r="AK22" s="3408" t="s">
        <v>2092</v>
      </c>
      <c r="AL22" s="3408">
        <v>2632.78</v>
      </c>
      <c r="AM22" s="3408">
        <v>75.75</v>
      </c>
      <c r="AN22" s="3408">
        <v>75.75</v>
      </c>
      <c r="AO22" s="3408">
        <v>1136</v>
      </c>
      <c r="AP22" s="3408">
        <v>1136</v>
      </c>
      <c r="AQ22" s="3408" t="s">
        <v>3382</v>
      </c>
      <c r="AR22" s="3408" t="s">
        <v>3382</v>
      </c>
      <c r="AS22" s="3408">
        <v>0</v>
      </c>
      <c r="AT22" s="3408" t="s">
        <v>3396</v>
      </c>
      <c r="AU22" s="3408" t="s">
        <v>3380</v>
      </c>
      <c r="AV22" s="3408" t="s">
        <v>3382</v>
      </c>
      <c r="AW22" s="3408" t="s">
        <v>3380</v>
      </c>
      <c r="AX22" s="3408" t="s">
        <v>3382</v>
      </c>
      <c r="AY22" s="3408" t="s">
        <v>3382</v>
      </c>
      <c r="AZ22" s="3408" t="s">
        <v>3382</v>
      </c>
      <c r="BB22" s="3408">
        <f t="shared" si="0"/>
        <v>1136</v>
      </c>
      <c r="BC22" s="3410">
        <v>2438.15</v>
      </c>
      <c r="BD22" s="3411">
        <f t="shared" si="1"/>
        <v>1052</v>
      </c>
      <c r="BE22" s="3410">
        <f t="shared" si="2"/>
        <v>736</v>
      </c>
      <c r="BF22" s="3412">
        <f t="shared" si="3"/>
        <v>7.3899999999999993E-2</v>
      </c>
      <c r="BG22" s="3412">
        <f>ROUND(BF22/'剩余（增值收益扣减）法'!$C$31,4)</f>
        <v>0.18479999999999999</v>
      </c>
    </row>
    <row r="23" spans="1:64">
      <c r="A23" s="3408" t="s">
        <v>3498</v>
      </c>
      <c r="B23" s="3408" t="s">
        <v>1465</v>
      </c>
      <c r="C23" s="3408" t="s">
        <v>3499</v>
      </c>
      <c r="D23" s="3408" t="s">
        <v>3372</v>
      </c>
      <c r="E23" s="3408" t="s">
        <v>3415</v>
      </c>
      <c r="F23" s="3408" t="s">
        <v>3434</v>
      </c>
      <c r="G23" s="3408" t="s">
        <v>3435</v>
      </c>
      <c r="H23" s="3408" t="s">
        <v>3376</v>
      </c>
      <c r="I23" s="3408">
        <v>6782.77</v>
      </c>
      <c r="J23" s="3408">
        <v>10174.16</v>
      </c>
      <c r="K23" s="3408" t="s">
        <v>3425</v>
      </c>
      <c r="L23" s="3408" t="s">
        <v>3377</v>
      </c>
      <c r="M23" s="3408" t="s">
        <v>3376</v>
      </c>
      <c r="N23" s="3408" t="s">
        <v>3379</v>
      </c>
      <c r="O23" s="3408" t="s">
        <v>3380</v>
      </c>
      <c r="P23" s="3408">
        <v>0.45</v>
      </c>
      <c r="Q23" s="3408" t="s">
        <v>3500</v>
      </c>
      <c r="R23" s="3408" t="s">
        <v>3382</v>
      </c>
      <c r="S23" s="3408" t="s">
        <v>3382</v>
      </c>
      <c r="T23" s="3408" t="s">
        <v>3382</v>
      </c>
      <c r="U23" s="3408" t="s">
        <v>3382</v>
      </c>
      <c r="V23" s="3408" t="s">
        <v>3382</v>
      </c>
      <c r="W23" s="3408" t="s">
        <v>3382</v>
      </c>
      <c r="X23" s="3408">
        <v>0</v>
      </c>
      <c r="Y23" s="3408">
        <v>0</v>
      </c>
      <c r="Z23" s="3409">
        <v>44399.0004976852</v>
      </c>
      <c r="AA23" s="3409">
        <v>44419.0004976852</v>
      </c>
      <c r="AB23" s="3409">
        <v>44433.0004976852</v>
      </c>
      <c r="AC23" s="3409">
        <v>44433.0004976852</v>
      </c>
      <c r="AD23" s="3408" t="s">
        <v>3501</v>
      </c>
      <c r="AE23" s="3408" t="s">
        <v>3384</v>
      </c>
      <c r="AF23" s="3408" t="s">
        <v>3502</v>
      </c>
      <c r="AG23" s="3408" t="s">
        <v>3382</v>
      </c>
      <c r="AH23" s="3408" t="s">
        <v>3382</v>
      </c>
      <c r="AI23" s="3408">
        <v>768.15</v>
      </c>
      <c r="AJ23" s="3408">
        <v>160</v>
      </c>
      <c r="AK23" s="3408" t="s">
        <v>2092</v>
      </c>
      <c r="AL23" s="3408">
        <v>768.15</v>
      </c>
      <c r="AM23" s="3408">
        <v>75.5</v>
      </c>
      <c r="AN23" s="3408">
        <v>75.5</v>
      </c>
      <c r="AO23" s="3408">
        <v>755</v>
      </c>
      <c r="AP23" s="3408">
        <v>755</v>
      </c>
      <c r="AQ23" s="3408" t="s">
        <v>3382</v>
      </c>
      <c r="AR23" s="3408" t="s">
        <v>3382</v>
      </c>
      <c r="AS23" s="3408">
        <v>0</v>
      </c>
      <c r="AT23" s="3408" t="s">
        <v>3396</v>
      </c>
      <c r="AU23" s="3408" t="s">
        <v>3380</v>
      </c>
      <c r="AV23" s="3408" t="s">
        <v>3382</v>
      </c>
      <c r="AW23" s="3408" t="s">
        <v>3380</v>
      </c>
      <c r="AX23" s="3408" t="s">
        <v>3382</v>
      </c>
      <c r="AY23" s="3408" t="s">
        <v>3382</v>
      </c>
      <c r="AZ23" s="3408" t="s">
        <v>3382</v>
      </c>
      <c r="BB23" s="3408">
        <f t="shared" si="0"/>
        <v>1133</v>
      </c>
      <c r="BC23" s="3410">
        <v>479.68299999999999</v>
      </c>
      <c r="BD23" s="3411">
        <f t="shared" si="1"/>
        <v>707</v>
      </c>
      <c r="BE23" s="3410">
        <f t="shared" si="2"/>
        <v>495</v>
      </c>
      <c r="BF23" s="3516"/>
      <c r="BG23" s="3516"/>
      <c r="BH23" s="3513"/>
    </row>
    <row r="24" spans="1:64">
      <c r="A24" s="3408" t="s">
        <v>3503</v>
      </c>
      <c r="B24" s="3408" t="s">
        <v>1465</v>
      </c>
      <c r="C24" s="3408" t="s">
        <v>3504</v>
      </c>
      <c r="D24" s="3408" t="s">
        <v>3372</v>
      </c>
      <c r="E24" s="3408" t="s">
        <v>3415</v>
      </c>
      <c r="F24" s="3408" t="s">
        <v>3442</v>
      </c>
      <c r="G24" s="3408" t="s">
        <v>3505</v>
      </c>
      <c r="H24" s="3408" t="s">
        <v>3376</v>
      </c>
      <c r="I24" s="3408">
        <v>132895.59</v>
      </c>
      <c r="J24" s="3408">
        <v>132895.59</v>
      </c>
      <c r="K24" s="3408" t="s">
        <v>3506</v>
      </c>
      <c r="L24" s="3408" t="s">
        <v>3377</v>
      </c>
      <c r="M24" s="3408" t="s">
        <v>3507</v>
      </c>
      <c r="N24" s="3408" t="s">
        <v>3379</v>
      </c>
      <c r="O24" s="3408" t="s">
        <v>3380</v>
      </c>
      <c r="P24" s="3408" t="s">
        <v>3382</v>
      </c>
      <c r="Q24" s="3408" t="s">
        <v>3508</v>
      </c>
      <c r="R24" s="3408" t="s">
        <v>3382</v>
      </c>
      <c r="S24" s="3408" t="s">
        <v>3382</v>
      </c>
      <c r="T24" s="3408" t="s">
        <v>3382</v>
      </c>
      <c r="U24" s="3408" t="s">
        <v>3382</v>
      </c>
      <c r="V24" s="3408">
        <v>0</v>
      </c>
      <c r="W24" s="3408">
        <v>0</v>
      </c>
      <c r="X24" s="3408">
        <v>0</v>
      </c>
      <c r="Y24" s="3408">
        <v>0</v>
      </c>
      <c r="Z24" s="3409">
        <v>44316.0004976852</v>
      </c>
      <c r="AA24" s="3409">
        <v>44336.0004976852</v>
      </c>
      <c r="AB24" s="3409">
        <v>44350.0004976852</v>
      </c>
      <c r="AC24" s="3409">
        <v>44350.0004976852</v>
      </c>
      <c r="AD24" s="3408" t="s">
        <v>3509</v>
      </c>
      <c r="AE24" s="3408" t="s">
        <v>3384</v>
      </c>
      <c r="AF24" s="3408" t="s">
        <v>3510</v>
      </c>
      <c r="AG24" s="3408" t="s">
        <v>3511</v>
      </c>
      <c r="AH24" s="3408" t="s">
        <v>3512</v>
      </c>
      <c r="AI24" s="3408">
        <v>17928.64</v>
      </c>
      <c r="AJ24" s="3408">
        <v>3600</v>
      </c>
      <c r="AK24" s="3408" t="s">
        <v>2092</v>
      </c>
      <c r="AL24" s="3408">
        <v>17928.64</v>
      </c>
      <c r="AM24" s="3408">
        <v>89.94</v>
      </c>
      <c r="AN24" s="3408">
        <v>89.94</v>
      </c>
      <c r="AO24" s="3408">
        <v>1349</v>
      </c>
      <c r="AP24" s="3408">
        <v>1349</v>
      </c>
      <c r="AQ24" s="3408" t="s">
        <v>3382</v>
      </c>
      <c r="AR24" s="3408" t="s">
        <v>3382</v>
      </c>
      <c r="AS24" s="3408">
        <v>0</v>
      </c>
      <c r="AT24" s="3408" t="s">
        <v>3396</v>
      </c>
      <c r="AU24" s="3408" t="s">
        <v>3380</v>
      </c>
      <c r="AV24" s="3408" t="s">
        <v>3382</v>
      </c>
      <c r="AW24" s="3408" t="s">
        <v>3380</v>
      </c>
      <c r="AX24" s="3408" t="s">
        <v>3382</v>
      </c>
      <c r="AY24" s="3408" t="s">
        <v>3382</v>
      </c>
      <c r="AZ24" s="3408" t="s">
        <v>3382</v>
      </c>
      <c r="BB24" s="3408">
        <f t="shared" si="0"/>
        <v>1349</v>
      </c>
      <c r="BC24" s="3410">
        <v>16493.3691</v>
      </c>
      <c r="BD24" s="3411">
        <f t="shared" si="1"/>
        <v>1241</v>
      </c>
      <c r="BE24" s="3410">
        <f t="shared" si="2"/>
        <v>869</v>
      </c>
      <c r="BF24" s="3412">
        <f t="shared" si="3"/>
        <v>8.0100000000000005E-2</v>
      </c>
      <c r="BG24" s="3412">
        <f>ROUND(BF24/'剩余（增值收益扣减）法'!$C$31,4)</f>
        <v>0.20030000000000001</v>
      </c>
    </row>
    <row r="25" spans="1:64" s="3432" customFormat="1">
      <c r="A25" s="3432" t="s">
        <v>3829</v>
      </c>
      <c r="B25" s="3432" t="s">
        <v>1465</v>
      </c>
      <c r="C25" s="3432" t="s">
        <v>3513</v>
      </c>
      <c r="D25" s="3432" t="s">
        <v>3372</v>
      </c>
      <c r="E25" s="3432" t="s">
        <v>3415</v>
      </c>
      <c r="F25" s="3432" t="s">
        <v>3382</v>
      </c>
      <c r="G25" s="3432" t="s">
        <v>3514</v>
      </c>
      <c r="H25" s="3432" t="s">
        <v>3376</v>
      </c>
      <c r="I25" s="3432">
        <v>194336.92</v>
      </c>
      <c r="J25" s="3432">
        <v>291505.37</v>
      </c>
      <c r="K25" s="3432" t="s">
        <v>3425</v>
      </c>
      <c r="L25" s="3432" t="s">
        <v>3377</v>
      </c>
      <c r="M25" s="3432" t="s">
        <v>3515</v>
      </c>
      <c r="N25" s="3432" t="s">
        <v>3379</v>
      </c>
      <c r="O25" s="3432" t="s">
        <v>3380</v>
      </c>
      <c r="P25" s="3432" t="s">
        <v>3382</v>
      </c>
      <c r="Q25" s="3432" t="s">
        <v>3516</v>
      </c>
      <c r="R25" s="3432" t="s">
        <v>3382</v>
      </c>
      <c r="S25" s="3432" t="s">
        <v>3382</v>
      </c>
      <c r="T25" s="3432" t="s">
        <v>3382</v>
      </c>
      <c r="U25" s="3432" t="s">
        <v>3382</v>
      </c>
      <c r="V25" s="3432">
        <v>0</v>
      </c>
      <c r="W25" s="3432">
        <v>0</v>
      </c>
      <c r="X25" s="3432">
        <v>0</v>
      </c>
      <c r="Y25" s="3432">
        <v>0</v>
      </c>
      <c r="Z25" s="3433">
        <v>44309.0004976852</v>
      </c>
      <c r="AA25" s="3433">
        <v>44329.0004976852</v>
      </c>
      <c r="AB25" s="3433">
        <v>44343.0004976852</v>
      </c>
      <c r="AC25" s="3433">
        <v>44343.0004976852</v>
      </c>
      <c r="AD25" s="3432" t="s">
        <v>3517</v>
      </c>
      <c r="AE25" s="3432" t="s">
        <v>3384</v>
      </c>
      <c r="AF25" s="3432" t="s">
        <v>3518</v>
      </c>
      <c r="AG25" s="3432" t="s">
        <v>3519</v>
      </c>
      <c r="AH25" s="3432" t="s">
        <v>3520</v>
      </c>
      <c r="AI25" s="3432">
        <v>31978.14</v>
      </c>
      <c r="AJ25" s="3432">
        <v>6400</v>
      </c>
      <c r="AK25" s="3432" t="s">
        <v>2092</v>
      </c>
      <c r="AL25" s="3432">
        <v>31978.14</v>
      </c>
      <c r="AM25" s="3432">
        <v>109.7</v>
      </c>
      <c r="AN25" s="3432">
        <v>109.7</v>
      </c>
      <c r="AO25" s="3432">
        <v>1097</v>
      </c>
      <c r="AP25" s="3432">
        <v>1097</v>
      </c>
      <c r="AQ25" s="3432" t="s">
        <v>3382</v>
      </c>
      <c r="AR25" s="3432" t="s">
        <v>3382</v>
      </c>
      <c r="AS25" s="3432">
        <v>0</v>
      </c>
      <c r="AT25" s="3432" t="s">
        <v>3396</v>
      </c>
      <c r="AU25" s="3432" t="s">
        <v>3380</v>
      </c>
      <c r="AV25" s="3432" t="s">
        <v>3382</v>
      </c>
      <c r="AW25" s="3432" t="s">
        <v>3380</v>
      </c>
      <c r="AX25" s="3432" t="s">
        <v>3382</v>
      </c>
      <c r="AY25" s="3432" t="s">
        <v>3382</v>
      </c>
      <c r="AZ25" s="3432" t="s">
        <v>3382</v>
      </c>
      <c r="BB25" s="3432">
        <f t="shared" si="0"/>
        <v>1645</v>
      </c>
      <c r="BC25" s="3434">
        <v>28731.727900000002</v>
      </c>
      <c r="BD25" s="3437">
        <f t="shared" si="1"/>
        <v>1478</v>
      </c>
      <c r="BE25" s="3434">
        <f t="shared" si="2"/>
        <v>1035</v>
      </c>
      <c r="BF25" s="3438">
        <f t="shared" si="3"/>
        <v>0.10150000000000001</v>
      </c>
      <c r="BG25" s="3438">
        <f>ROUND(BF25/'剩余（增值收益扣减）法'!$C$31,4)</f>
        <v>0.25380000000000003</v>
      </c>
      <c r="BI25" s="3435" t="s">
        <v>3521</v>
      </c>
      <c r="BJ25" s="3435">
        <f>ROUND(AP25*土地一级开发案例!$B$26/土地一级开发案例!B31,0)</f>
        <v>5670</v>
      </c>
      <c r="BL25" s="3436"/>
    </row>
    <row r="26" spans="1:64">
      <c r="A26" s="3408" t="s">
        <v>3522</v>
      </c>
      <c r="B26" s="3408" t="s">
        <v>1465</v>
      </c>
      <c r="C26" s="3408" t="s">
        <v>3523</v>
      </c>
      <c r="D26" s="3408" t="s">
        <v>3372</v>
      </c>
      <c r="E26" s="3408" t="s">
        <v>3415</v>
      </c>
      <c r="F26" s="3408" t="s">
        <v>3442</v>
      </c>
      <c r="G26" s="3408" t="s">
        <v>3505</v>
      </c>
      <c r="H26" s="3408" t="s">
        <v>3376</v>
      </c>
      <c r="I26" s="3408">
        <v>110807.97</v>
      </c>
      <c r="J26" s="3408">
        <v>149590.76</v>
      </c>
      <c r="K26" s="3408" t="s">
        <v>3524</v>
      </c>
      <c r="L26" s="3408" t="s">
        <v>3377</v>
      </c>
      <c r="M26" s="3408" t="s">
        <v>3376</v>
      </c>
      <c r="N26" s="3408" t="s">
        <v>3379</v>
      </c>
      <c r="O26" s="3408" t="s">
        <v>3380</v>
      </c>
      <c r="P26" s="3408" t="s">
        <v>3525</v>
      </c>
      <c r="Q26" s="3408" t="s">
        <v>3393</v>
      </c>
      <c r="R26" s="3408" t="s">
        <v>3382</v>
      </c>
      <c r="S26" s="3408" t="s">
        <v>3382</v>
      </c>
      <c r="T26" s="3408" t="s">
        <v>3382</v>
      </c>
      <c r="U26" s="3408" t="s">
        <v>3382</v>
      </c>
      <c r="V26" s="3408">
        <v>0</v>
      </c>
      <c r="W26" s="3408">
        <v>0</v>
      </c>
      <c r="X26" s="3408">
        <v>0</v>
      </c>
      <c r="Y26" s="3408">
        <v>0</v>
      </c>
      <c r="Z26" s="3409">
        <v>44229.0004976852</v>
      </c>
      <c r="AA26" s="3409">
        <v>44249.0004976852</v>
      </c>
      <c r="AB26" s="3409">
        <v>44263.0004976852</v>
      </c>
      <c r="AC26" s="3409">
        <v>44263.0004976852</v>
      </c>
      <c r="AD26" s="3408" t="s">
        <v>3526</v>
      </c>
      <c r="AE26" s="3408" t="s">
        <v>3384</v>
      </c>
      <c r="AF26" s="3408" t="s">
        <v>3527</v>
      </c>
      <c r="AG26" s="3408" t="s">
        <v>3528</v>
      </c>
      <c r="AH26" s="3408" t="s">
        <v>3529</v>
      </c>
      <c r="AI26" s="3408">
        <v>11293.36</v>
      </c>
      <c r="AJ26" s="3408">
        <v>2300</v>
      </c>
      <c r="AK26" s="3408" t="s">
        <v>2092</v>
      </c>
      <c r="AL26" s="3408">
        <v>11293.36</v>
      </c>
      <c r="AM26" s="3408">
        <v>67.95</v>
      </c>
      <c r="AN26" s="3408">
        <v>67.95</v>
      </c>
      <c r="AO26" s="3408">
        <v>755</v>
      </c>
      <c r="AP26" s="3408">
        <v>755</v>
      </c>
      <c r="AQ26" s="3408" t="s">
        <v>3382</v>
      </c>
      <c r="AR26" s="3408" t="s">
        <v>3382</v>
      </c>
      <c r="AS26" s="3408">
        <v>0</v>
      </c>
      <c r="AT26" s="3408" t="s">
        <v>3396</v>
      </c>
      <c r="AU26" s="3408" t="s">
        <v>3380</v>
      </c>
      <c r="AV26" s="3408" t="s">
        <v>3382</v>
      </c>
      <c r="AW26" s="3408" t="s">
        <v>3380</v>
      </c>
      <c r="AX26" s="3408" t="s">
        <v>3382</v>
      </c>
      <c r="AY26" s="3408" t="s">
        <v>3382</v>
      </c>
      <c r="AZ26" s="3408" t="s">
        <v>3382</v>
      </c>
      <c r="BB26" s="3408">
        <f t="shared" si="0"/>
        <v>1019</v>
      </c>
      <c r="BC26" s="3410">
        <v>10231.2673</v>
      </c>
      <c r="BD26" s="3411">
        <f t="shared" si="1"/>
        <v>923</v>
      </c>
      <c r="BE26" s="3410">
        <f t="shared" si="2"/>
        <v>646</v>
      </c>
      <c r="BF26" s="3412">
        <f t="shared" si="3"/>
        <v>9.4E-2</v>
      </c>
      <c r="BG26" s="3412">
        <f>ROUND(BF26/'剩余（增值收益扣减）法'!$C$31,4)</f>
        <v>0.23499999999999999</v>
      </c>
    </row>
    <row r="27" spans="1:64">
      <c r="A27" s="3408" t="s">
        <v>3530</v>
      </c>
      <c r="B27" s="3408" t="s">
        <v>1465</v>
      </c>
      <c r="C27" s="3408" t="s">
        <v>3531</v>
      </c>
      <c r="D27" s="3408" t="s">
        <v>3372</v>
      </c>
      <c r="E27" s="3408" t="s">
        <v>3415</v>
      </c>
      <c r="F27" s="3408" t="s">
        <v>3382</v>
      </c>
      <c r="G27" s="3408" t="s">
        <v>3532</v>
      </c>
      <c r="H27" s="3408" t="s">
        <v>3376</v>
      </c>
      <c r="I27" s="3408">
        <v>33333</v>
      </c>
      <c r="J27" s="3408">
        <v>40000</v>
      </c>
      <c r="K27" s="3408" t="s">
        <v>3409</v>
      </c>
      <c r="L27" s="3408" t="s">
        <v>3377</v>
      </c>
      <c r="M27" s="3408" t="s">
        <v>3474</v>
      </c>
      <c r="N27" s="3408" t="s">
        <v>3379</v>
      </c>
      <c r="O27" s="3408" t="s">
        <v>3380</v>
      </c>
      <c r="P27" s="3408" t="s">
        <v>3382</v>
      </c>
      <c r="Q27" s="3408" t="s">
        <v>3393</v>
      </c>
      <c r="R27" s="3408" t="s">
        <v>3382</v>
      </c>
      <c r="S27" s="3408" t="s">
        <v>3382</v>
      </c>
      <c r="T27" s="3408" t="s">
        <v>3382</v>
      </c>
      <c r="U27" s="3408" t="s">
        <v>3382</v>
      </c>
      <c r="V27" s="3408">
        <v>0</v>
      </c>
      <c r="W27" s="3408">
        <v>0</v>
      </c>
      <c r="X27" s="3408">
        <v>0</v>
      </c>
      <c r="Y27" s="3408">
        <v>0</v>
      </c>
      <c r="Z27" s="3409">
        <v>44195.0004976852</v>
      </c>
      <c r="AA27" s="3409">
        <v>44215.0004976852</v>
      </c>
      <c r="AB27" s="3409">
        <v>44229.0004976852</v>
      </c>
      <c r="AC27" s="3409">
        <v>44229.0004976852</v>
      </c>
      <c r="AD27" s="3408" t="s">
        <v>3533</v>
      </c>
      <c r="AE27" s="3408" t="s">
        <v>3384</v>
      </c>
      <c r="AF27" s="3408" t="s">
        <v>3534</v>
      </c>
      <c r="AG27" s="3408" t="s">
        <v>3382</v>
      </c>
      <c r="AH27" s="3408" t="s">
        <v>3382</v>
      </c>
      <c r="AI27" s="3408">
        <v>5935.6</v>
      </c>
      <c r="AJ27" s="3408">
        <v>1200</v>
      </c>
      <c r="AK27" s="3408" t="s">
        <v>2092</v>
      </c>
      <c r="AL27" s="3408">
        <v>5935.6</v>
      </c>
      <c r="AM27" s="3408">
        <v>118.71</v>
      </c>
      <c r="AN27" s="3408">
        <v>118.71</v>
      </c>
      <c r="AO27" s="3408">
        <v>1484</v>
      </c>
      <c r="AP27" s="3408">
        <v>1484</v>
      </c>
      <c r="AQ27" s="3408" t="s">
        <v>3382</v>
      </c>
      <c r="AR27" s="3408" t="s">
        <v>3382</v>
      </c>
      <c r="AS27" s="3408">
        <v>0</v>
      </c>
      <c r="AT27" s="3408" t="s">
        <v>3396</v>
      </c>
      <c r="AU27" s="3408" t="s">
        <v>3380</v>
      </c>
      <c r="AV27" s="3408" t="s">
        <v>3382</v>
      </c>
      <c r="AW27" s="3408" t="s">
        <v>3380</v>
      </c>
      <c r="AX27" s="3408" t="s">
        <v>3382</v>
      </c>
      <c r="AY27" s="3408" t="s">
        <v>3382</v>
      </c>
      <c r="AZ27" s="3408" t="s">
        <v>3382</v>
      </c>
      <c r="BB27" s="3408">
        <f t="shared" si="0"/>
        <v>1781</v>
      </c>
      <c r="BC27" s="3410">
        <v>5503.6</v>
      </c>
      <c r="BD27" s="3411">
        <f t="shared" si="1"/>
        <v>1651</v>
      </c>
      <c r="BE27" s="3410">
        <f t="shared" si="2"/>
        <v>1156</v>
      </c>
      <c r="BF27" s="3412">
        <f t="shared" si="3"/>
        <v>7.2800000000000004E-2</v>
      </c>
      <c r="BG27" s="3412">
        <f>ROUND(BF27/'剩余（增值收益扣减）法'!$C$31,4)</f>
        <v>0.182</v>
      </c>
    </row>
    <row r="28" spans="1:64">
      <c r="A28" s="3408" t="s">
        <v>3535</v>
      </c>
      <c r="B28" s="3408" t="s">
        <v>1465</v>
      </c>
      <c r="C28" s="3408" t="s">
        <v>3536</v>
      </c>
      <c r="D28" s="3408" t="s">
        <v>3372</v>
      </c>
      <c r="E28" s="3408" t="s">
        <v>3415</v>
      </c>
      <c r="F28" s="3408" t="s">
        <v>3434</v>
      </c>
      <c r="G28" s="3408" t="s">
        <v>3537</v>
      </c>
      <c r="H28" s="3408" t="s">
        <v>3376</v>
      </c>
      <c r="I28" s="3408">
        <v>26644.98</v>
      </c>
      <c r="J28" s="3408">
        <v>53289.96</v>
      </c>
      <c r="K28" s="3408" t="s">
        <v>3538</v>
      </c>
      <c r="L28" s="3408" t="s">
        <v>3377</v>
      </c>
      <c r="M28" s="3408" t="s">
        <v>3410</v>
      </c>
      <c r="N28" s="3408" t="s">
        <v>3379</v>
      </c>
      <c r="O28" s="3408" t="s">
        <v>3380</v>
      </c>
      <c r="P28" s="3408" t="s">
        <v>3382</v>
      </c>
      <c r="Q28" s="3408" t="s">
        <v>3403</v>
      </c>
      <c r="R28" s="3408" t="s">
        <v>3382</v>
      </c>
      <c r="S28" s="3408" t="s">
        <v>3382</v>
      </c>
      <c r="T28" s="3408" t="s">
        <v>3382</v>
      </c>
      <c r="U28" s="3408" t="s">
        <v>3382</v>
      </c>
      <c r="V28" s="3408">
        <v>0</v>
      </c>
      <c r="W28" s="3408">
        <v>0</v>
      </c>
      <c r="X28" s="3408">
        <v>0</v>
      </c>
      <c r="Y28" s="3408">
        <v>0</v>
      </c>
      <c r="Z28" s="3409">
        <v>44104.0004976852</v>
      </c>
      <c r="AA28" s="3409">
        <v>44124.0004976852</v>
      </c>
      <c r="AB28" s="3409">
        <v>44139.0004976852</v>
      </c>
      <c r="AC28" s="3409">
        <v>44139.0004976852</v>
      </c>
      <c r="AD28" s="3408" t="s">
        <v>3539</v>
      </c>
      <c r="AE28" s="3408" t="s">
        <v>3384</v>
      </c>
      <c r="AF28" s="3408" t="s">
        <v>3540</v>
      </c>
      <c r="AG28" s="3408" t="s">
        <v>3382</v>
      </c>
      <c r="AH28" s="3408" t="s">
        <v>3382</v>
      </c>
      <c r="AI28" s="3408">
        <v>3744.24</v>
      </c>
      <c r="AJ28" s="3408">
        <v>800</v>
      </c>
      <c r="AK28" s="3408" t="s">
        <v>2092</v>
      </c>
      <c r="AL28" s="3408">
        <v>3744.24</v>
      </c>
      <c r="AM28" s="3408">
        <v>93.68</v>
      </c>
      <c r="AN28" s="3408">
        <v>93.68</v>
      </c>
      <c r="AO28" s="3408">
        <v>703</v>
      </c>
      <c r="AP28" s="3408">
        <v>703</v>
      </c>
      <c r="AQ28" s="3408" t="s">
        <v>3382</v>
      </c>
      <c r="AR28" s="3408" t="s">
        <v>3382</v>
      </c>
      <c r="AS28" s="3408">
        <v>0</v>
      </c>
      <c r="AT28" s="3408" t="s">
        <v>3396</v>
      </c>
      <c r="AU28" s="3408" t="s">
        <v>3380</v>
      </c>
      <c r="AV28" s="3408" t="s">
        <v>3382</v>
      </c>
      <c r="AW28" s="3408" t="s">
        <v>3380</v>
      </c>
      <c r="AX28" s="3408" t="s">
        <v>3382</v>
      </c>
      <c r="AY28" s="3408" t="s">
        <v>3382</v>
      </c>
      <c r="AZ28" s="3408" t="s">
        <v>3382</v>
      </c>
      <c r="BB28" s="3408">
        <f t="shared" si="0"/>
        <v>1405</v>
      </c>
      <c r="BC28" s="3410">
        <v>2214.8209999999999</v>
      </c>
      <c r="BD28" s="3515">
        <f t="shared" ref="BD28" si="4">ROUND(BC28/I28*10000,0)</f>
        <v>831</v>
      </c>
      <c r="BE28" s="3514">
        <f t="shared" ref="BE28" si="5">ROUND(BD28*$BE$1,0)</f>
        <v>582</v>
      </c>
      <c r="BF28" s="3516"/>
      <c r="BG28" s="3516"/>
    </row>
    <row r="29" spans="1:64" s="3517" customFormat="1" ht="15.75" thickBot="1">
      <c r="A29" s="3517" t="s">
        <v>3818</v>
      </c>
      <c r="B29" s="3517" t="s">
        <v>1465</v>
      </c>
      <c r="C29" s="3517" t="s">
        <v>3541</v>
      </c>
      <c r="D29" s="3517" t="s">
        <v>3372</v>
      </c>
      <c r="E29" s="3517" t="s">
        <v>3415</v>
      </c>
      <c r="F29" s="3517" t="s">
        <v>3434</v>
      </c>
      <c r="G29" s="3517" t="s">
        <v>3537</v>
      </c>
      <c r="H29" s="3517" t="s">
        <v>3376</v>
      </c>
      <c r="I29" s="3517">
        <v>67532.14</v>
      </c>
      <c r="J29" s="3517">
        <v>101298</v>
      </c>
      <c r="K29" s="3517" t="s">
        <v>3425</v>
      </c>
      <c r="L29" s="3517" t="s">
        <v>3377</v>
      </c>
      <c r="M29" s="3517" t="s">
        <v>3410</v>
      </c>
      <c r="N29" s="3517" t="s">
        <v>3379</v>
      </c>
      <c r="O29" s="3517" t="s">
        <v>3380</v>
      </c>
      <c r="P29" s="3517" t="s">
        <v>3382</v>
      </c>
      <c r="Q29" s="3517" t="s">
        <v>3381</v>
      </c>
      <c r="R29" s="3517" t="s">
        <v>3382</v>
      </c>
      <c r="S29" s="3517" t="s">
        <v>3382</v>
      </c>
      <c r="T29" s="3517" t="s">
        <v>3382</v>
      </c>
      <c r="U29" s="3517" t="s">
        <v>3382</v>
      </c>
      <c r="V29" s="3517">
        <v>0</v>
      </c>
      <c r="W29" s="3517">
        <v>0</v>
      </c>
      <c r="X29" s="3517">
        <v>0</v>
      </c>
      <c r="Y29" s="3517">
        <v>0</v>
      </c>
      <c r="Z29" s="3518">
        <v>44104.0004976852</v>
      </c>
      <c r="AA29" s="3518">
        <v>44124.0004976852</v>
      </c>
      <c r="AB29" s="3518">
        <v>44139.0004976852</v>
      </c>
      <c r="AC29" s="3518">
        <v>44139.0004976852</v>
      </c>
      <c r="AD29" s="3517" t="s">
        <v>3542</v>
      </c>
      <c r="AE29" s="3517" t="s">
        <v>3384</v>
      </c>
      <c r="AF29" s="3517" t="s">
        <v>3543</v>
      </c>
      <c r="AG29" s="3517" t="s">
        <v>3382</v>
      </c>
      <c r="AH29" s="3517" t="s">
        <v>3382</v>
      </c>
      <c r="AI29" s="3517">
        <v>7574.07</v>
      </c>
      <c r="AJ29" s="3517">
        <v>1600</v>
      </c>
      <c r="AK29" s="3517" t="s">
        <v>2092</v>
      </c>
      <c r="AL29" s="3517">
        <v>7574.07</v>
      </c>
      <c r="AM29" s="3517">
        <v>74.77</v>
      </c>
      <c r="AN29" s="3517">
        <v>74.77</v>
      </c>
      <c r="AO29" s="3517">
        <v>748</v>
      </c>
      <c r="AP29" s="3517">
        <v>748</v>
      </c>
      <c r="AQ29" s="3517" t="s">
        <v>3382</v>
      </c>
      <c r="AR29" s="3517" t="s">
        <v>3382</v>
      </c>
      <c r="AS29" s="3517">
        <v>0</v>
      </c>
      <c r="AT29" s="3517" t="s">
        <v>3396</v>
      </c>
      <c r="AU29" s="3517" t="s">
        <v>3380</v>
      </c>
      <c r="AV29" s="3517" t="s">
        <v>3382</v>
      </c>
      <c r="AW29" s="3517" t="s">
        <v>3380</v>
      </c>
      <c r="AX29" s="3517" t="s">
        <v>3382</v>
      </c>
      <c r="AY29" s="3517" t="s">
        <v>3382</v>
      </c>
      <c r="AZ29" s="3517" t="s">
        <v>3382</v>
      </c>
      <c r="BB29" s="3517">
        <f t="shared" si="0"/>
        <v>1122</v>
      </c>
      <c r="BC29" s="3524" t="s">
        <v>3825</v>
      </c>
      <c r="BD29" s="3520"/>
      <c r="BE29" s="3519"/>
      <c r="BF29" s="3521"/>
      <c r="BG29" s="3521"/>
      <c r="BI29" s="3522"/>
      <c r="BJ29" s="3522"/>
      <c r="BL29" s="3523"/>
    </row>
    <row r="30" spans="1:64" s="3421" customFormat="1">
      <c r="A30" s="3421" t="s">
        <v>3544</v>
      </c>
      <c r="B30" s="3421" t="s">
        <v>1465</v>
      </c>
      <c r="C30" s="3421" t="s">
        <v>3545</v>
      </c>
      <c r="D30" s="3421" t="s">
        <v>3372</v>
      </c>
      <c r="E30" s="3421" t="s">
        <v>3546</v>
      </c>
      <c r="F30" s="3421" t="s">
        <v>3547</v>
      </c>
      <c r="G30" s="3421" t="s">
        <v>3548</v>
      </c>
      <c r="H30" s="3421" t="s">
        <v>3376</v>
      </c>
      <c r="I30" s="3421">
        <v>94169.78</v>
      </c>
      <c r="J30" s="3421">
        <v>141254.67000000001</v>
      </c>
      <c r="K30" s="3421">
        <v>1.5</v>
      </c>
      <c r="L30" s="3421" t="s">
        <v>3377</v>
      </c>
      <c r="M30" s="3421" t="s">
        <v>3549</v>
      </c>
      <c r="N30" s="3421" t="s">
        <v>3379</v>
      </c>
      <c r="O30" s="3421" t="s">
        <v>3380</v>
      </c>
      <c r="P30" s="3421" t="s">
        <v>3382</v>
      </c>
      <c r="Q30" s="3421" t="s">
        <v>3382</v>
      </c>
      <c r="R30" s="3421" t="s">
        <v>3382</v>
      </c>
      <c r="S30" s="3421" t="s">
        <v>3382</v>
      </c>
      <c r="T30" s="3421" t="s">
        <v>3382</v>
      </c>
      <c r="U30" s="3421" t="s">
        <v>3382</v>
      </c>
      <c r="V30" s="3421" t="s">
        <v>3382</v>
      </c>
      <c r="W30" s="3421" t="s">
        <v>3382</v>
      </c>
      <c r="X30" s="3421">
        <v>0</v>
      </c>
      <c r="Y30" s="3421">
        <v>0</v>
      </c>
      <c r="Z30" s="3428">
        <v>45064</v>
      </c>
      <c r="AA30" s="3428">
        <v>45084</v>
      </c>
      <c r="AB30" s="3428">
        <v>45098</v>
      </c>
      <c r="AC30" s="3428">
        <v>45098</v>
      </c>
      <c r="AD30" s="3421" t="s">
        <v>3550</v>
      </c>
      <c r="AE30" s="3421" t="s">
        <v>3384</v>
      </c>
      <c r="AF30" s="3421" t="s">
        <v>3551</v>
      </c>
      <c r="AG30" s="3421" t="s">
        <v>3382</v>
      </c>
      <c r="AH30" s="3421" t="s">
        <v>3382</v>
      </c>
      <c r="AI30" s="3421">
        <v>15396.76</v>
      </c>
      <c r="AJ30" s="3421">
        <v>3080</v>
      </c>
      <c r="AK30" s="3429">
        <v>45097.625</v>
      </c>
      <c r="AL30" s="3421">
        <v>15396.76</v>
      </c>
      <c r="AM30" s="3421">
        <v>109</v>
      </c>
      <c r="AN30" s="3421">
        <v>109</v>
      </c>
      <c r="AO30" s="3421">
        <v>1090</v>
      </c>
      <c r="AP30" s="3421">
        <v>1090</v>
      </c>
      <c r="AQ30" s="3421" t="s">
        <v>3382</v>
      </c>
      <c r="AR30" s="3421" t="s">
        <v>3382</v>
      </c>
      <c r="AS30" s="3421">
        <v>0</v>
      </c>
      <c r="AT30" s="3421" t="s">
        <v>3396</v>
      </c>
      <c r="AU30" s="3421" t="s">
        <v>3380</v>
      </c>
      <c r="AV30" s="3421" t="s">
        <v>3382</v>
      </c>
      <c r="AW30" s="3421" t="s">
        <v>3380</v>
      </c>
      <c r="AX30" s="3421" t="s">
        <v>3382</v>
      </c>
      <c r="AY30" s="3421" t="s">
        <v>3382</v>
      </c>
      <c r="AZ30" s="3421" t="s">
        <v>3382</v>
      </c>
      <c r="BB30" s="3421">
        <f t="shared" si="0"/>
        <v>1635</v>
      </c>
      <c r="BC30" s="3424">
        <v>14405.86</v>
      </c>
      <c r="BD30" s="3423">
        <f t="shared" si="1"/>
        <v>1530</v>
      </c>
      <c r="BE30" s="3424">
        <f t="shared" si="2"/>
        <v>1071</v>
      </c>
      <c r="BF30" s="3425">
        <f t="shared" si="3"/>
        <v>6.4399999999999999E-2</v>
      </c>
      <c r="BG30" s="3425">
        <f>ROUND(BF30/'剩余（增值收益扣减）法'!$C$31,4)</f>
        <v>0.161</v>
      </c>
      <c r="BI30" s="3430" t="s">
        <v>3552</v>
      </c>
      <c r="BJ30" s="3426">
        <f>ROUND(AP30*土地一级开发案例!$B$26/土地一级开发案例!B33,0)</f>
        <v>9389</v>
      </c>
      <c r="BL30" s="3431"/>
    </row>
    <row r="31" spans="1:64">
      <c r="A31" s="3408" t="s">
        <v>3553</v>
      </c>
      <c r="B31" s="3408" t="s">
        <v>1465</v>
      </c>
      <c r="C31" s="3408" t="s">
        <v>3554</v>
      </c>
      <c r="D31" s="3408" t="s">
        <v>3372</v>
      </c>
      <c r="E31" s="3408" t="s">
        <v>3546</v>
      </c>
      <c r="F31" s="3408" t="s">
        <v>3555</v>
      </c>
      <c r="G31" s="3408" t="s">
        <v>3556</v>
      </c>
      <c r="H31" s="3408" t="s">
        <v>3376</v>
      </c>
      <c r="I31" s="3408">
        <v>84245.85</v>
      </c>
      <c r="J31" s="3408">
        <v>84245.85</v>
      </c>
      <c r="K31" s="3408" t="s">
        <v>3436</v>
      </c>
      <c r="L31" s="3408" t="s">
        <v>3377</v>
      </c>
      <c r="M31" s="3408" t="s">
        <v>3557</v>
      </c>
      <c r="N31" s="3408" t="s">
        <v>3379</v>
      </c>
      <c r="O31" s="3408" t="s">
        <v>3380</v>
      </c>
      <c r="P31" s="3408" t="s">
        <v>3382</v>
      </c>
      <c r="Q31" s="3408" t="s">
        <v>3382</v>
      </c>
      <c r="R31" s="3408" t="s">
        <v>3382</v>
      </c>
      <c r="S31" s="3408" t="s">
        <v>3382</v>
      </c>
      <c r="T31" s="3408" t="s">
        <v>3382</v>
      </c>
      <c r="U31" s="3408" t="s">
        <v>3382</v>
      </c>
      <c r="V31" s="3408">
        <v>0</v>
      </c>
      <c r="W31" s="3408">
        <v>0</v>
      </c>
      <c r="X31" s="3408">
        <v>0</v>
      </c>
      <c r="Y31" s="3408">
        <v>0</v>
      </c>
      <c r="Z31" s="3409">
        <v>44896</v>
      </c>
      <c r="AA31" s="3409">
        <v>44916</v>
      </c>
      <c r="AB31" s="3409">
        <v>44931</v>
      </c>
      <c r="AC31" s="3409">
        <v>44931</v>
      </c>
      <c r="AD31" s="3408" t="s">
        <v>3558</v>
      </c>
      <c r="AE31" s="3408" t="s">
        <v>3384</v>
      </c>
      <c r="AF31" s="3408" t="s">
        <v>3559</v>
      </c>
      <c r="AG31" s="3408" t="s">
        <v>3382</v>
      </c>
      <c r="AH31" s="3408" t="s">
        <v>3382</v>
      </c>
      <c r="AI31" s="3408">
        <v>23049.66</v>
      </c>
      <c r="AJ31" s="3408">
        <v>4610</v>
      </c>
      <c r="AK31" s="3416">
        <v>44930.625</v>
      </c>
      <c r="AL31" s="3408">
        <v>23049.66</v>
      </c>
      <c r="AM31" s="3408">
        <v>182.4</v>
      </c>
      <c r="AN31" s="3408">
        <v>182.4</v>
      </c>
      <c r="AO31" s="3408">
        <v>2736</v>
      </c>
      <c r="AP31" s="3408">
        <v>2736</v>
      </c>
      <c r="AQ31" s="3408" t="s">
        <v>3382</v>
      </c>
      <c r="AR31" s="3408" t="s">
        <v>3382</v>
      </c>
      <c r="AS31" s="3408">
        <v>0</v>
      </c>
      <c r="AT31" s="3415" t="s">
        <v>3560</v>
      </c>
      <c r="AU31" s="3408" t="s">
        <v>3380</v>
      </c>
      <c r="AV31" s="3408" t="s">
        <v>3382</v>
      </c>
      <c r="AW31" s="3408" t="s">
        <v>3380</v>
      </c>
      <c r="AX31" s="3408" t="s">
        <v>3382</v>
      </c>
      <c r="AY31" s="3408" t="s">
        <v>3382</v>
      </c>
      <c r="AZ31" s="3408">
        <v>-2736</v>
      </c>
      <c r="BB31" s="3408">
        <f t="shared" si="0"/>
        <v>2736</v>
      </c>
      <c r="BC31" s="3410">
        <v>20808.72</v>
      </c>
      <c r="BD31" s="3515">
        <f t="shared" ref="BD31:BD38" si="6">ROUND(BC31/I31*10000,0)</f>
        <v>2470</v>
      </c>
      <c r="BE31" s="3514">
        <f t="shared" ref="BE31:BE38" si="7">ROUND(BD31*$BE$1,0)</f>
        <v>1729</v>
      </c>
      <c r="BF31" s="3516">
        <f t="shared" ref="BF31:BF32" si="8">ROUND((AL31-BC31)/AL31,4)</f>
        <v>9.7199999999999995E-2</v>
      </c>
      <c r="BG31" s="3516">
        <f>ROUND(BF31/'剩余（增值收益扣减）法'!$C$31,4)</f>
        <v>0.24299999999999999</v>
      </c>
    </row>
    <row r="32" spans="1:64">
      <c r="A32" s="3408" t="s">
        <v>3561</v>
      </c>
      <c r="B32" s="3408" t="s">
        <v>1465</v>
      </c>
      <c r="C32" s="3408" t="s">
        <v>3562</v>
      </c>
      <c r="D32" s="3408" t="s">
        <v>3372</v>
      </c>
      <c r="E32" s="3408" t="s">
        <v>3546</v>
      </c>
      <c r="F32" s="3408" t="s">
        <v>3563</v>
      </c>
      <c r="G32" s="3408" t="s">
        <v>3564</v>
      </c>
      <c r="H32" s="3408" t="s">
        <v>3376</v>
      </c>
      <c r="I32" s="3408">
        <v>40217.370000000003</v>
      </c>
      <c r="J32" s="3408">
        <v>60326.05</v>
      </c>
      <c r="K32" s="3408" t="s">
        <v>3425</v>
      </c>
      <c r="L32" s="3408" t="s">
        <v>3377</v>
      </c>
      <c r="M32" s="3408" t="s">
        <v>3507</v>
      </c>
      <c r="N32" s="3408" t="s">
        <v>3379</v>
      </c>
      <c r="O32" s="3408" t="s">
        <v>3380</v>
      </c>
      <c r="P32" s="3408" t="s">
        <v>3382</v>
      </c>
      <c r="Q32" s="3408">
        <v>30</v>
      </c>
      <c r="R32" s="3408" t="s">
        <v>3382</v>
      </c>
      <c r="S32" s="3408" t="s">
        <v>3382</v>
      </c>
      <c r="T32" s="3408" t="s">
        <v>3382</v>
      </c>
      <c r="U32" s="3408" t="s">
        <v>3382</v>
      </c>
      <c r="V32" s="3408" t="s">
        <v>3382</v>
      </c>
      <c r="W32" s="3408" t="s">
        <v>3382</v>
      </c>
      <c r="X32" s="3408">
        <v>0</v>
      </c>
      <c r="Y32" s="3408">
        <v>0</v>
      </c>
      <c r="Z32" s="3409">
        <v>44798</v>
      </c>
      <c r="AA32" s="3409">
        <v>44818</v>
      </c>
      <c r="AB32" s="3409">
        <v>44832</v>
      </c>
      <c r="AC32" s="3409">
        <v>44832</v>
      </c>
      <c r="AD32" s="3408" t="s">
        <v>3565</v>
      </c>
      <c r="AE32" s="3408" t="s">
        <v>3384</v>
      </c>
      <c r="AF32" s="3408" t="s">
        <v>3566</v>
      </c>
      <c r="AG32" s="3408" t="s">
        <v>3382</v>
      </c>
      <c r="AH32" s="3408" t="s">
        <v>3382</v>
      </c>
      <c r="AI32" s="3408">
        <v>4964.83</v>
      </c>
      <c r="AJ32" s="3408">
        <v>1000</v>
      </c>
      <c r="AK32" s="3416">
        <v>44832.625</v>
      </c>
      <c r="AL32" s="3408">
        <v>4964.83</v>
      </c>
      <c r="AM32" s="3408">
        <v>82.3</v>
      </c>
      <c r="AN32" s="3408">
        <v>82.3</v>
      </c>
      <c r="AO32" s="3408">
        <v>823</v>
      </c>
      <c r="AP32" s="3408">
        <v>823</v>
      </c>
      <c r="AQ32" s="3408" t="s">
        <v>3382</v>
      </c>
      <c r="AR32" s="3408" t="s">
        <v>3382</v>
      </c>
      <c r="AS32" s="3408">
        <v>0</v>
      </c>
      <c r="AT32" s="3408" t="s">
        <v>3396</v>
      </c>
      <c r="AU32" s="3408" t="s">
        <v>3380</v>
      </c>
      <c r="AV32" s="3408" t="s">
        <v>3382</v>
      </c>
      <c r="AW32" s="3408" t="s">
        <v>3380</v>
      </c>
      <c r="AX32" s="3408" t="s">
        <v>3382</v>
      </c>
      <c r="AY32" s="3408" t="s">
        <v>3382</v>
      </c>
      <c r="AZ32" s="3408" t="s">
        <v>3382</v>
      </c>
      <c r="BB32" s="3408">
        <f t="shared" si="0"/>
        <v>1234</v>
      </c>
      <c r="BC32" s="3410">
        <v>4464.49</v>
      </c>
      <c r="BD32" s="3515">
        <f t="shared" si="6"/>
        <v>1110</v>
      </c>
      <c r="BE32" s="3514">
        <f t="shared" si="7"/>
        <v>777</v>
      </c>
      <c r="BF32" s="3516">
        <f t="shared" si="8"/>
        <v>0.1008</v>
      </c>
      <c r="BG32" s="3516">
        <f>ROUND(BF32/'剩余（增值收益扣减）法'!$C$31,4)</f>
        <v>0.252</v>
      </c>
    </row>
    <row r="33" spans="1:64">
      <c r="A33" s="3408" t="s">
        <v>3567</v>
      </c>
      <c r="B33" s="3408" t="s">
        <v>1465</v>
      </c>
      <c r="C33" s="3408" t="s">
        <v>3568</v>
      </c>
      <c r="D33" s="3408" t="s">
        <v>3372</v>
      </c>
      <c r="E33" s="3408" t="s">
        <v>3546</v>
      </c>
      <c r="F33" s="3408" t="s">
        <v>3563</v>
      </c>
      <c r="G33" s="3408" t="s">
        <v>3564</v>
      </c>
      <c r="H33" s="3408" t="s">
        <v>3376</v>
      </c>
      <c r="I33" s="3408">
        <v>26650.41</v>
      </c>
      <c r="J33" s="3408">
        <v>39975.61</v>
      </c>
      <c r="K33" s="3408" t="s">
        <v>3425</v>
      </c>
      <c r="L33" s="3408" t="s">
        <v>3377</v>
      </c>
      <c r="M33" s="3408" t="s">
        <v>3507</v>
      </c>
      <c r="N33" s="3408" t="s">
        <v>3379</v>
      </c>
      <c r="O33" s="3408" t="s">
        <v>3380</v>
      </c>
      <c r="P33" s="3408" t="s">
        <v>3382</v>
      </c>
      <c r="Q33" s="3408" t="s">
        <v>3382</v>
      </c>
      <c r="R33" s="3408" t="s">
        <v>3382</v>
      </c>
      <c r="S33" s="3408" t="s">
        <v>3382</v>
      </c>
      <c r="T33" s="3408" t="s">
        <v>3382</v>
      </c>
      <c r="U33" s="3408" t="s">
        <v>3382</v>
      </c>
      <c r="V33" s="3408" t="s">
        <v>3382</v>
      </c>
      <c r="W33" s="3408" t="s">
        <v>3382</v>
      </c>
      <c r="X33" s="3408">
        <v>0</v>
      </c>
      <c r="Y33" s="3408">
        <v>0</v>
      </c>
      <c r="Z33" s="3409">
        <v>44725</v>
      </c>
      <c r="AA33" s="3409">
        <v>44746</v>
      </c>
      <c r="AB33" s="3409">
        <v>44760</v>
      </c>
      <c r="AC33" s="3409">
        <v>44760</v>
      </c>
      <c r="AD33" s="3408" t="s">
        <v>3569</v>
      </c>
      <c r="AE33" s="3408" t="s">
        <v>3384</v>
      </c>
      <c r="AF33" s="3408" t="s">
        <v>3570</v>
      </c>
      <c r="AG33" s="3408" t="s">
        <v>3382</v>
      </c>
      <c r="AH33" s="3408" t="s">
        <v>3382</v>
      </c>
      <c r="AI33" s="3408">
        <v>3258.01</v>
      </c>
      <c r="AJ33" s="3408">
        <v>650</v>
      </c>
      <c r="AK33" s="3416">
        <v>44760.625</v>
      </c>
      <c r="AL33" s="3408">
        <v>3258.01</v>
      </c>
      <c r="AM33" s="3408">
        <v>81.5</v>
      </c>
      <c r="AN33" s="3408">
        <v>81.5</v>
      </c>
      <c r="AO33" s="3408">
        <v>815</v>
      </c>
      <c r="AP33" s="3408">
        <v>815</v>
      </c>
      <c r="AQ33" s="3408" t="s">
        <v>3382</v>
      </c>
      <c r="AR33" s="3408" t="s">
        <v>3382</v>
      </c>
      <c r="AS33" s="3408">
        <v>0</v>
      </c>
      <c r="AT33" s="3408" t="s">
        <v>3396</v>
      </c>
      <c r="AU33" s="3408" t="s">
        <v>3380</v>
      </c>
      <c r="AV33" s="3408" t="s">
        <v>3382</v>
      </c>
      <c r="AW33" s="3408" t="s">
        <v>3380</v>
      </c>
      <c r="AX33" s="3408" t="s">
        <v>3382</v>
      </c>
      <c r="AY33" s="3408" t="s">
        <v>3382</v>
      </c>
      <c r="AZ33" s="3408" t="s">
        <v>3382</v>
      </c>
      <c r="BB33" s="3408">
        <f t="shared" si="0"/>
        <v>1222</v>
      </c>
      <c r="BC33" s="3410">
        <v>2864.12</v>
      </c>
      <c r="BD33" s="3515">
        <f t="shared" si="6"/>
        <v>1075</v>
      </c>
      <c r="BE33" s="3514">
        <f t="shared" si="7"/>
        <v>753</v>
      </c>
      <c r="BF33" s="3516"/>
      <c r="BG33" s="3516"/>
    </row>
    <row r="34" spans="1:64">
      <c r="A34" s="3408" t="s">
        <v>3571</v>
      </c>
      <c r="B34" s="3408" t="s">
        <v>1465</v>
      </c>
      <c r="C34" s="3408" t="s">
        <v>3572</v>
      </c>
      <c r="D34" s="3408" t="s">
        <v>3372</v>
      </c>
      <c r="E34" s="3408" t="s">
        <v>3546</v>
      </c>
      <c r="F34" s="3408" t="s">
        <v>3573</v>
      </c>
      <c r="G34" s="3408" t="s">
        <v>3574</v>
      </c>
      <c r="H34" s="3408" t="s">
        <v>3376</v>
      </c>
      <c r="I34" s="3408">
        <v>77481.740000000005</v>
      </c>
      <c r="J34" s="3408">
        <v>100726.26</v>
      </c>
      <c r="K34" s="3408" t="s">
        <v>3575</v>
      </c>
      <c r="L34" s="3408" t="s">
        <v>3377</v>
      </c>
      <c r="M34" s="3408" t="s">
        <v>3507</v>
      </c>
      <c r="N34" s="3408" t="s">
        <v>3379</v>
      </c>
      <c r="O34" s="3408" t="s">
        <v>3380</v>
      </c>
      <c r="P34" s="3408" t="s">
        <v>3382</v>
      </c>
      <c r="Q34" s="3408" t="s">
        <v>3382</v>
      </c>
      <c r="R34" s="3408" t="s">
        <v>3382</v>
      </c>
      <c r="S34" s="3408" t="s">
        <v>3382</v>
      </c>
      <c r="T34" s="3408" t="s">
        <v>3382</v>
      </c>
      <c r="U34" s="3408" t="s">
        <v>3382</v>
      </c>
      <c r="V34" s="3408" t="s">
        <v>3382</v>
      </c>
      <c r="W34" s="3408" t="s">
        <v>3382</v>
      </c>
      <c r="X34" s="3408">
        <v>0</v>
      </c>
      <c r="Y34" s="3408">
        <v>0</v>
      </c>
      <c r="Z34" s="3409">
        <v>44725</v>
      </c>
      <c r="AA34" s="3409">
        <v>44746</v>
      </c>
      <c r="AB34" s="3409">
        <v>44760</v>
      </c>
      <c r="AC34" s="3409">
        <v>44760</v>
      </c>
      <c r="AD34" s="3408" t="s">
        <v>3576</v>
      </c>
      <c r="AE34" s="3408" t="s">
        <v>3384</v>
      </c>
      <c r="AF34" s="3408" t="s">
        <v>3577</v>
      </c>
      <c r="AG34" s="3408" t="s">
        <v>3382</v>
      </c>
      <c r="AH34" s="3408" t="s">
        <v>3382</v>
      </c>
      <c r="AI34" s="3408">
        <v>8098.39</v>
      </c>
      <c r="AJ34" s="3408">
        <v>1600</v>
      </c>
      <c r="AK34" s="3416">
        <v>44760.625</v>
      </c>
      <c r="AL34" s="3408">
        <v>8098.39</v>
      </c>
      <c r="AM34" s="3408">
        <v>69.680000000000007</v>
      </c>
      <c r="AN34" s="3408">
        <v>69.680000000000007</v>
      </c>
      <c r="AO34" s="3408">
        <v>804</v>
      </c>
      <c r="AP34" s="3408">
        <v>804</v>
      </c>
      <c r="AQ34" s="3408" t="s">
        <v>3382</v>
      </c>
      <c r="AR34" s="3408" t="s">
        <v>3382</v>
      </c>
      <c r="AS34" s="3408">
        <v>0</v>
      </c>
      <c r="AT34" s="3408" t="s">
        <v>3396</v>
      </c>
      <c r="AU34" s="3408" t="s">
        <v>3380</v>
      </c>
      <c r="AV34" s="3408" t="s">
        <v>3382</v>
      </c>
      <c r="AW34" s="3408" t="s">
        <v>3380</v>
      </c>
      <c r="AX34" s="3408" t="s">
        <v>3382</v>
      </c>
      <c r="AY34" s="3408" t="s">
        <v>3382</v>
      </c>
      <c r="AZ34" s="3408" t="s">
        <v>3382</v>
      </c>
      <c r="BB34" s="3408">
        <f t="shared" si="0"/>
        <v>1045</v>
      </c>
      <c r="BC34" s="3410">
        <v>1023.16</v>
      </c>
      <c r="BD34" s="3515">
        <f t="shared" si="6"/>
        <v>132</v>
      </c>
      <c r="BE34" s="3514">
        <f t="shared" si="7"/>
        <v>92</v>
      </c>
      <c r="BF34" s="3516"/>
      <c r="BG34" s="3516"/>
    </row>
    <row r="35" spans="1:64">
      <c r="A35" s="3408" t="s">
        <v>3578</v>
      </c>
      <c r="B35" s="3408" t="s">
        <v>1465</v>
      </c>
      <c r="C35" s="3408" t="s">
        <v>3579</v>
      </c>
      <c r="D35" s="3408" t="s">
        <v>3372</v>
      </c>
      <c r="E35" s="3408" t="s">
        <v>3546</v>
      </c>
      <c r="F35" s="3408" t="s">
        <v>3563</v>
      </c>
      <c r="G35" s="3408" t="s">
        <v>3564</v>
      </c>
      <c r="H35" s="3408" t="s">
        <v>3376</v>
      </c>
      <c r="I35" s="3408">
        <v>65024.44</v>
      </c>
      <c r="J35" s="3408">
        <v>97536.66</v>
      </c>
      <c r="K35" s="3408" t="s">
        <v>3425</v>
      </c>
      <c r="L35" s="3408" t="s">
        <v>3377</v>
      </c>
      <c r="M35" s="3408" t="s">
        <v>3507</v>
      </c>
      <c r="N35" s="3408" t="s">
        <v>3379</v>
      </c>
      <c r="O35" s="3408" t="s">
        <v>3380</v>
      </c>
      <c r="P35" s="3408" t="s">
        <v>3382</v>
      </c>
      <c r="Q35" s="3408" t="s">
        <v>3382</v>
      </c>
      <c r="R35" s="3408" t="s">
        <v>3382</v>
      </c>
      <c r="S35" s="3408" t="s">
        <v>3382</v>
      </c>
      <c r="T35" s="3408" t="s">
        <v>3382</v>
      </c>
      <c r="U35" s="3408" t="s">
        <v>3382</v>
      </c>
      <c r="V35" s="3408" t="s">
        <v>3382</v>
      </c>
      <c r="W35" s="3408" t="s">
        <v>3382</v>
      </c>
      <c r="X35" s="3408">
        <v>0</v>
      </c>
      <c r="Y35" s="3408">
        <v>0</v>
      </c>
      <c r="Z35" s="3409">
        <v>44725</v>
      </c>
      <c r="AA35" s="3409">
        <v>44746</v>
      </c>
      <c r="AB35" s="3409">
        <v>44761</v>
      </c>
      <c r="AC35" s="3409">
        <v>44761</v>
      </c>
      <c r="AD35" s="3408" t="s">
        <v>3580</v>
      </c>
      <c r="AE35" s="3408" t="s">
        <v>3384</v>
      </c>
      <c r="AF35" s="3408" t="s">
        <v>3581</v>
      </c>
      <c r="AG35" s="3408" t="s">
        <v>3382</v>
      </c>
      <c r="AH35" s="3408" t="s">
        <v>3382</v>
      </c>
      <c r="AI35" s="3408">
        <v>8017.51</v>
      </c>
      <c r="AJ35" s="3408">
        <v>1600</v>
      </c>
      <c r="AK35" s="3416">
        <v>44760.625</v>
      </c>
      <c r="AL35" s="3408">
        <v>8017.51</v>
      </c>
      <c r="AM35" s="3408">
        <v>82.2</v>
      </c>
      <c r="AN35" s="3408">
        <v>82.2</v>
      </c>
      <c r="AO35" s="3408">
        <v>822</v>
      </c>
      <c r="AP35" s="3408">
        <v>822</v>
      </c>
      <c r="AQ35" s="3408" t="s">
        <v>3382</v>
      </c>
      <c r="AR35" s="3408" t="s">
        <v>3382</v>
      </c>
      <c r="AS35" s="3408">
        <v>0</v>
      </c>
      <c r="AT35" s="3408" t="s">
        <v>3396</v>
      </c>
      <c r="AU35" s="3408" t="s">
        <v>3380</v>
      </c>
      <c r="AV35" s="3408" t="s">
        <v>3382</v>
      </c>
      <c r="AW35" s="3408" t="s">
        <v>3380</v>
      </c>
      <c r="AX35" s="3408" t="s">
        <v>3382</v>
      </c>
      <c r="AY35" s="3408" t="s">
        <v>3382</v>
      </c>
      <c r="AZ35" s="3408" t="s">
        <v>3382</v>
      </c>
      <c r="BB35" s="3408">
        <f t="shared" si="0"/>
        <v>1233</v>
      </c>
      <c r="BC35" s="3410">
        <v>6975.2</v>
      </c>
      <c r="BD35" s="3515">
        <f t="shared" si="6"/>
        <v>1073</v>
      </c>
      <c r="BE35" s="3514">
        <f t="shared" si="7"/>
        <v>751</v>
      </c>
      <c r="BF35" s="3516"/>
      <c r="BG35" s="3516"/>
    </row>
    <row r="36" spans="1:64">
      <c r="A36" s="3408" t="s">
        <v>3582</v>
      </c>
      <c r="B36" s="3408" t="s">
        <v>1465</v>
      </c>
      <c r="C36" s="3408" t="s">
        <v>3583</v>
      </c>
      <c r="D36" s="3408" t="s">
        <v>3372</v>
      </c>
      <c r="E36" s="3408" t="s">
        <v>3546</v>
      </c>
      <c r="F36" s="3408" t="s">
        <v>3584</v>
      </c>
      <c r="G36" s="3408" t="s">
        <v>3585</v>
      </c>
      <c r="H36" s="3408" t="s">
        <v>3376</v>
      </c>
      <c r="I36" s="3408">
        <v>13991.5</v>
      </c>
      <c r="J36" s="3408">
        <v>22386</v>
      </c>
      <c r="K36" s="3408" t="s">
        <v>3586</v>
      </c>
      <c r="L36" s="3408" t="s">
        <v>3377</v>
      </c>
      <c r="M36" s="3408" t="s">
        <v>3507</v>
      </c>
      <c r="N36" s="3408" t="s">
        <v>3379</v>
      </c>
      <c r="O36" s="3408" t="s">
        <v>3380</v>
      </c>
      <c r="P36" s="3408">
        <v>0.4</v>
      </c>
      <c r="Q36" s="3408" t="s">
        <v>3500</v>
      </c>
      <c r="R36" s="3408" t="s">
        <v>3382</v>
      </c>
      <c r="S36" s="3408" t="s">
        <v>3382</v>
      </c>
      <c r="T36" s="3408" t="s">
        <v>3382</v>
      </c>
      <c r="U36" s="3408" t="s">
        <v>3382</v>
      </c>
      <c r="V36" s="3408" t="s">
        <v>3382</v>
      </c>
      <c r="W36" s="3408" t="s">
        <v>3382</v>
      </c>
      <c r="X36" s="3408">
        <v>0</v>
      </c>
      <c r="Y36" s="3408">
        <v>0</v>
      </c>
      <c r="Z36" s="3409">
        <v>44412</v>
      </c>
      <c r="AA36" s="3409">
        <v>44412</v>
      </c>
      <c r="AB36" s="3409">
        <v>44446</v>
      </c>
      <c r="AC36" s="3409">
        <v>44446</v>
      </c>
      <c r="AD36" s="3408" t="s">
        <v>3587</v>
      </c>
      <c r="AE36" s="3408" t="s">
        <v>3384</v>
      </c>
      <c r="AF36" s="3408" t="s">
        <v>3588</v>
      </c>
      <c r="AG36" s="3408" t="s">
        <v>3382</v>
      </c>
      <c r="AH36" s="3408" t="s">
        <v>3382</v>
      </c>
      <c r="AI36" s="3408">
        <v>1811.03</v>
      </c>
      <c r="AJ36" s="3408">
        <v>360</v>
      </c>
      <c r="AK36" s="3408" t="s">
        <v>2092</v>
      </c>
      <c r="AL36" s="3408">
        <v>1811.03</v>
      </c>
      <c r="AM36" s="3408">
        <v>86.29</v>
      </c>
      <c r="AN36" s="3408">
        <v>86.29</v>
      </c>
      <c r="AO36" s="3408">
        <v>809</v>
      </c>
      <c r="AP36" s="3408">
        <v>809</v>
      </c>
      <c r="AQ36" s="3408" t="s">
        <v>3382</v>
      </c>
      <c r="AR36" s="3408" t="s">
        <v>3382</v>
      </c>
      <c r="AS36" s="3408">
        <v>0</v>
      </c>
      <c r="AT36" s="3408" t="s">
        <v>3396</v>
      </c>
      <c r="AU36" s="3408" t="s">
        <v>3380</v>
      </c>
      <c r="AV36" s="3408" t="s">
        <v>3382</v>
      </c>
      <c r="AW36" s="3408" t="s">
        <v>3380</v>
      </c>
      <c r="AX36" s="3408" t="s">
        <v>3382</v>
      </c>
      <c r="AY36" s="3408" t="s">
        <v>3382</v>
      </c>
      <c r="AZ36" s="3408" t="s">
        <v>3382</v>
      </c>
      <c r="BB36" s="3408">
        <f t="shared" si="0"/>
        <v>1294</v>
      </c>
      <c r="BC36" s="3410">
        <v>672.64</v>
      </c>
      <c r="BD36" s="3515">
        <f t="shared" si="6"/>
        <v>481</v>
      </c>
      <c r="BE36" s="3514">
        <f t="shared" si="7"/>
        <v>337</v>
      </c>
      <c r="BF36" s="3516"/>
      <c r="BG36" s="3516"/>
    </row>
    <row r="37" spans="1:64">
      <c r="A37" s="3408" t="s">
        <v>3589</v>
      </c>
      <c r="B37" s="3408" t="s">
        <v>1465</v>
      </c>
      <c r="C37" s="3408" t="s">
        <v>3590</v>
      </c>
      <c r="D37" s="3408" t="s">
        <v>3372</v>
      </c>
      <c r="E37" s="3408" t="s">
        <v>3546</v>
      </c>
      <c r="F37" s="3408" t="s">
        <v>3591</v>
      </c>
      <c r="G37" s="3408" t="s">
        <v>3592</v>
      </c>
      <c r="H37" s="3408" t="s">
        <v>3376</v>
      </c>
      <c r="I37" s="3408">
        <v>16627.21</v>
      </c>
      <c r="J37" s="3408">
        <v>29928.97</v>
      </c>
      <c r="K37" s="3408" t="s">
        <v>3593</v>
      </c>
      <c r="L37" s="3408" t="s">
        <v>3377</v>
      </c>
      <c r="M37" s="3408" t="s">
        <v>3507</v>
      </c>
      <c r="N37" s="3408" t="s">
        <v>3379</v>
      </c>
      <c r="O37" s="3408" t="s">
        <v>3380</v>
      </c>
      <c r="P37" s="3408">
        <v>0.3</v>
      </c>
      <c r="Q37" s="3408" t="s">
        <v>3594</v>
      </c>
      <c r="R37" s="3408" t="s">
        <v>3382</v>
      </c>
      <c r="S37" s="3408" t="s">
        <v>3382</v>
      </c>
      <c r="T37" s="3408" t="s">
        <v>3382</v>
      </c>
      <c r="U37" s="3408" t="s">
        <v>3382</v>
      </c>
      <c r="V37" s="3408" t="s">
        <v>3382</v>
      </c>
      <c r="W37" s="3408" t="s">
        <v>3382</v>
      </c>
      <c r="X37" s="3408">
        <v>0</v>
      </c>
      <c r="Y37" s="3408">
        <v>0</v>
      </c>
      <c r="Z37" s="3409">
        <v>44412</v>
      </c>
      <c r="AA37" s="3409">
        <v>44412</v>
      </c>
      <c r="AB37" s="3409">
        <v>44446</v>
      </c>
      <c r="AC37" s="3409">
        <v>44446</v>
      </c>
      <c r="AD37" s="3408" t="s">
        <v>3595</v>
      </c>
      <c r="AE37" s="3408" t="s">
        <v>3384</v>
      </c>
      <c r="AF37" s="3408" t="s">
        <v>3596</v>
      </c>
      <c r="AG37" s="3408" t="s">
        <v>3382</v>
      </c>
      <c r="AH37" s="3408" t="s">
        <v>3382</v>
      </c>
      <c r="AI37" s="3408">
        <v>5111.87</v>
      </c>
      <c r="AJ37" s="3408">
        <v>1020</v>
      </c>
      <c r="AK37" s="3408" t="s">
        <v>2092</v>
      </c>
      <c r="AL37" s="3408">
        <v>5111.87</v>
      </c>
      <c r="AM37" s="3408">
        <v>204.96</v>
      </c>
      <c r="AN37" s="3408">
        <v>204.96</v>
      </c>
      <c r="AO37" s="3408">
        <v>1708</v>
      </c>
      <c r="AP37" s="3408">
        <v>1708</v>
      </c>
      <c r="AQ37" s="3408" t="s">
        <v>3382</v>
      </c>
      <c r="AR37" s="3408" t="s">
        <v>3382</v>
      </c>
      <c r="AS37" s="3408">
        <v>0</v>
      </c>
      <c r="AT37" s="3408" t="s">
        <v>3396</v>
      </c>
      <c r="AU37" s="3408" t="s">
        <v>3380</v>
      </c>
      <c r="AV37" s="3408" t="s">
        <v>3382</v>
      </c>
      <c r="AW37" s="3408" t="s">
        <v>3380</v>
      </c>
      <c r="AX37" s="3408" t="s">
        <v>3382</v>
      </c>
      <c r="AY37" s="3408" t="s">
        <v>3382</v>
      </c>
      <c r="AZ37" s="3408" t="s">
        <v>3382</v>
      </c>
      <c r="BB37" s="3408">
        <f t="shared" si="0"/>
        <v>3074</v>
      </c>
      <c r="BC37" s="3410">
        <v>2022.6610000000001</v>
      </c>
      <c r="BD37" s="3515">
        <f t="shared" si="6"/>
        <v>1216</v>
      </c>
      <c r="BE37" s="3514">
        <f t="shared" si="7"/>
        <v>851</v>
      </c>
      <c r="BF37" s="3516"/>
      <c r="BG37" s="3516"/>
    </row>
    <row r="38" spans="1:64" s="3517" customFormat="1" ht="15.75" thickBot="1">
      <c r="A38" s="3517" t="s">
        <v>3597</v>
      </c>
      <c r="B38" s="3517" t="s">
        <v>1465</v>
      </c>
      <c r="C38" s="3517" t="s">
        <v>3598</v>
      </c>
      <c r="D38" s="3517" t="s">
        <v>3372</v>
      </c>
      <c r="E38" s="3517" t="s">
        <v>3546</v>
      </c>
      <c r="F38" s="3517" t="s">
        <v>3382</v>
      </c>
      <c r="G38" s="3517" t="s">
        <v>3599</v>
      </c>
      <c r="H38" s="3517" t="s">
        <v>3376</v>
      </c>
      <c r="I38" s="3517">
        <v>100000</v>
      </c>
      <c r="J38" s="3517">
        <v>200000</v>
      </c>
      <c r="K38" s="3517" t="s">
        <v>3600</v>
      </c>
      <c r="L38" s="3517" t="s">
        <v>3377</v>
      </c>
      <c r="M38" s="3517" t="s">
        <v>3601</v>
      </c>
      <c r="N38" s="3517" t="s">
        <v>3379</v>
      </c>
      <c r="O38" s="3517" t="s">
        <v>3380</v>
      </c>
      <c r="P38" s="3517" t="s">
        <v>3602</v>
      </c>
      <c r="Q38" s="3517" t="s">
        <v>3500</v>
      </c>
      <c r="R38" s="3517" t="s">
        <v>3382</v>
      </c>
      <c r="S38" s="3517" t="s">
        <v>3382</v>
      </c>
      <c r="T38" s="3517" t="s">
        <v>3382</v>
      </c>
      <c r="U38" s="3517" t="s">
        <v>3382</v>
      </c>
      <c r="V38" s="3517">
        <v>0</v>
      </c>
      <c r="W38" s="3517">
        <v>0</v>
      </c>
      <c r="X38" s="3517">
        <v>0</v>
      </c>
      <c r="Y38" s="3517">
        <v>0</v>
      </c>
      <c r="Z38" s="3518">
        <v>44188</v>
      </c>
      <c r="AA38" s="3518">
        <v>44208</v>
      </c>
      <c r="AB38" s="3518">
        <v>44307</v>
      </c>
      <c r="AC38" s="3518">
        <v>44307</v>
      </c>
      <c r="AD38" s="3517" t="s">
        <v>3603</v>
      </c>
      <c r="AE38" s="3517" t="s">
        <v>3384</v>
      </c>
      <c r="AF38" s="3517" t="s">
        <v>3604</v>
      </c>
      <c r="AG38" s="3517" t="s">
        <v>3382</v>
      </c>
      <c r="AH38" s="3517" t="s">
        <v>3382</v>
      </c>
      <c r="AI38" s="3517">
        <v>13020</v>
      </c>
      <c r="AJ38" s="3517">
        <v>2600</v>
      </c>
      <c r="AK38" s="3517" t="s">
        <v>2092</v>
      </c>
      <c r="AL38" s="3517">
        <v>13020</v>
      </c>
      <c r="AM38" s="3517">
        <v>86.8</v>
      </c>
      <c r="AN38" s="3517">
        <v>86.8</v>
      </c>
      <c r="AO38" s="3517">
        <v>651</v>
      </c>
      <c r="AP38" s="3517">
        <v>651</v>
      </c>
      <c r="AQ38" s="3517" t="s">
        <v>3382</v>
      </c>
      <c r="AR38" s="3517" t="s">
        <v>3382</v>
      </c>
      <c r="AS38" s="3517">
        <v>0</v>
      </c>
      <c r="AT38" s="3517" t="s">
        <v>3396</v>
      </c>
      <c r="AU38" s="3517" t="s">
        <v>3380</v>
      </c>
      <c r="AV38" s="3517" t="s">
        <v>3382</v>
      </c>
      <c r="AW38" s="3517" t="s">
        <v>3380</v>
      </c>
      <c r="AX38" s="3517" t="s">
        <v>3382</v>
      </c>
      <c r="AY38" s="3517" t="s">
        <v>3382</v>
      </c>
      <c r="AZ38" s="3517" t="s">
        <v>3382</v>
      </c>
      <c r="BB38" s="3517">
        <f t="shared" si="0"/>
        <v>1302</v>
      </c>
      <c r="BC38" s="3519">
        <v>10476.870000000001</v>
      </c>
      <c r="BD38" s="3520">
        <f t="shared" si="6"/>
        <v>1048</v>
      </c>
      <c r="BE38" s="3519">
        <f t="shared" si="7"/>
        <v>734</v>
      </c>
      <c r="BF38" s="3521"/>
      <c r="BG38" s="3521"/>
      <c r="BI38" s="3522"/>
      <c r="BJ38" s="3522"/>
      <c r="BL38" s="3523"/>
    </row>
    <row r="39" spans="1:64">
      <c r="A39" s="3408" t="s">
        <v>3701</v>
      </c>
      <c r="B39" s="3408" t="s">
        <v>1465</v>
      </c>
      <c r="C39" s="3408" t="s">
        <v>3702</v>
      </c>
      <c r="D39" s="3408" t="s">
        <v>3372</v>
      </c>
      <c r="E39" s="3408" t="s">
        <v>3607</v>
      </c>
      <c r="F39" s="3408" t="s">
        <v>3621</v>
      </c>
      <c r="G39" s="3408" t="s">
        <v>3622</v>
      </c>
      <c r="H39" s="3408" t="s">
        <v>3376</v>
      </c>
      <c r="I39" s="3408">
        <v>37407.46</v>
      </c>
      <c r="J39" s="3408">
        <v>74814.92</v>
      </c>
      <c r="K39" s="3408" t="s">
        <v>3538</v>
      </c>
      <c r="L39" s="3408" t="s">
        <v>3377</v>
      </c>
      <c r="M39" s="3408" t="s">
        <v>3410</v>
      </c>
      <c r="N39" s="3408" t="s">
        <v>3379</v>
      </c>
      <c r="O39" s="3408" t="s">
        <v>3380</v>
      </c>
      <c r="P39" s="3408" t="s">
        <v>3382</v>
      </c>
      <c r="Q39" s="3408" t="s">
        <v>3382</v>
      </c>
      <c r="R39" s="3408" t="s">
        <v>3382</v>
      </c>
      <c r="S39" s="3408" t="s">
        <v>3382</v>
      </c>
      <c r="T39" s="3408" t="s">
        <v>3382</v>
      </c>
      <c r="U39" s="3408" t="s">
        <v>3382</v>
      </c>
      <c r="V39" s="3408" t="s">
        <v>3382</v>
      </c>
      <c r="W39" s="3408" t="s">
        <v>3382</v>
      </c>
      <c r="X39" s="3408">
        <v>0</v>
      </c>
      <c r="Y39" s="3408">
        <v>0</v>
      </c>
      <c r="Z39" s="3409">
        <v>45138.000497685185</v>
      </c>
      <c r="AA39" s="3409">
        <v>45159.000497685185</v>
      </c>
      <c r="AB39" s="3409">
        <v>45173.000497685185</v>
      </c>
      <c r="AC39" s="3409">
        <v>45173.000497685185</v>
      </c>
      <c r="AD39" s="3408" t="s">
        <v>3703</v>
      </c>
      <c r="AE39" s="3408" t="s">
        <v>3384</v>
      </c>
      <c r="AF39" s="3408" t="s">
        <v>3704</v>
      </c>
      <c r="AG39" s="3408" t="s">
        <v>3705</v>
      </c>
      <c r="AH39" s="3408" t="s">
        <v>3382</v>
      </c>
      <c r="AI39" s="3408">
        <v>10765.87</v>
      </c>
      <c r="AJ39" s="3408">
        <v>2200</v>
      </c>
      <c r="AK39" s="3408" t="s">
        <v>2092</v>
      </c>
      <c r="AL39" s="3408">
        <v>10765.87</v>
      </c>
      <c r="AM39" s="3408">
        <v>191.87</v>
      </c>
      <c r="AN39" s="3408">
        <v>191.87</v>
      </c>
      <c r="AO39" s="3408">
        <v>1439</v>
      </c>
      <c r="AP39" s="3408">
        <v>1439</v>
      </c>
      <c r="AQ39" s="3408" t="s">
        <v>3382</v>
      </c>
      <c r="AR39" s="3408" t="s">
        <v>3382</v>
      </c>
      <c r="AS39" s="3408">
        <v>0</v>
      </c>
      <c r="AT39" s="3408" t="s">
        <v>3396</v>
      </c>
      <c r="AU39" s="3408" t="s">
        <v>3380</v>
      </c>
      <c r="AV39" s="3408" t="s">
        <v>3382</v>
      </c>
      <c r="AW39" s="3408" t="s">
        <v>3380</v>
      </c>
      <c r="AX39" s="3408" t="s">
        <v>3382</v>
      </c>
      <c r="AY39" s="3408" t="s">
        <v>3382</v>
      </c>
      <c r="AZ39" s="3408" t="s">
        <v>3382</v>
      </c>
      <c r="BB39" s="3408">
        <f t="shared" si="0"/>
        <v>2878</v>
      </c>
      <c r="BC39" s="3410">
        <v>9875.5694000000003</v>
      </c>
      <c r="BD39" s="3411">
        <f t="shared" si="1"/>
        <v>2640</v>
      </c>
      <c r="BE39" s="3410">
        <f t="shared" si="2"/>
        <v>1848</v>
      </c>
      <c r="BF39" s="3412">
        <f t="shared" si="3"/>
        <v>8.2699999999999996E-2</v>
      </c>
      <c r="BG39" s="3412">
        <f>ROUND(BF39/'剩余（增值收益扣减）法'!$C$31,4)</f>
        <v>0.20680000000000001</v>
      </c>
    </row>
    <row r="40" spans="1:64">
      <c r="A40" s="3408" t="s">
        <v>3706</v>
      </c>
      <c r="B40" s="3408" t="s">
        <v>1465</v>
      </c>
      <c r="C40" s="3408" t="s">
        <v>3707</v>
      </c>
      <c r="D40" s="3408" t="s">
        <v>3372</v>
      </c>
      <c r="E40" s="3408" t="s">
        <v>3607</v>
      </c>
      <c r="F40" s="3408" t="s">
        <v>3621</v>
      </c>
      <c r="G40" s="3408" t="s">
        <v>3622</v>
      </c>
      <c r="H40" s="3408" t="s">
        <v>3376</v>
      </c>
      <c r="I40" s="3408">
        <v>16000</v>
      </c>
      <c r="J40" s="3408">
        <v>32000</v>
      </c>
      <c r="K40" s="3408" t="s">
        <v>3538</v>
      </c>
      <c r="L40" s="3408" t="s">
        <v>3377</v>
      </c>
      <c r="M40" s="3408" t="s">
        <v>3410</v>
      </c>
      <c r="N40" s="3408" t="s">
        <v>3379</v>
      </c>
      <c r="O40" s="3408" t="s">
        <v>3380</v>
      </c>
      <c r="P40" s="3408" t="s">
        <v>3382</v>
      </c>
      <c r="Q40" s="3408" t="s">
        <v>3382</v>
      </c>
      <c r="R40" s="3408" t="s">
        <v>3382</v>
      </c>
      <c r="S40" s="3408" t="s">
        <v>3382</v>
      </c>
      <c r="T40" s="3408" t="s">
        <v>3382</v>
      </c>
      <c r="U40" s="3408" t="s">
        <v>3382</v>
      </c>
      <c r="V40" s="3408" t="s">
        <v>3382</v>
      </c>
      <c r="W40" s="3408" t="s">
        <v>3382</v>
      </c>
      <c r="X40" s="3408">
        <v>0</v>
      </c>
      <c r="Y40" s="3408">
        <v>0</v>
      </c>
      <c r="Z40" s="3409">
        <v>45138.000497685185</v>
      </c>
      <c r="AA40" s="3409">
        <v>45159.000497685185</v>
      </c>
      <c r="AB40" s="3409">
        <v>45173.000497685185</v>
      </c>
      <c r="AC40" s="3409">
        <v>45173.000497685185</v>
      </c>
      <c r="AD40" s="3408" t="s">
        <v>3708</v>
      </c>
      <c r="AE40" s="3408" t="s">
        <v>3384</v>
      </c>
      <c r="AF40" s="3408" t="s">
        <v>3704</v>
      </c>
      <c r="AG40" s="3408" t="s">
        <v>3382</v>
      </c>
      <c r="AH40" s="3408" t="s">
        <v>3382</v>
      </c>
      <c r="AI40" s="3408">
        <v>4598.3999999999996</v>
      </c>
      <c r="AJ40" s="3408">
        <v>1000</v>
      </c>
      <c r="AK40" s="3408" t="s">
        <v>2092</v>
      </c>
      <c r="AL40" s="3408">
        <v>4598.3999999999996</v>
      </c>
      <c r="AM40" s="3408">
        <v>191.6</v>
      </c>
      <c r="AN40" s="3408">
        <v>191.6</v>
      </c>
      <c r="AO40" s="3408">
        <v>1437</v>
      </c>
      <c r="AP40" s="3408">
        <v>1437</v>
      </c>
      <c r="AQ40" s="3408" t="s">
        <v>3382</v>
      </c>
      <c r="AR40" s="3408" t="s">
        <v>3382</v>
      </c>
      <c r="AS40" s="3408">
        <v>0</v>
      </c>
      <c r="AT40" s="3408" t="s">
        <v>3396</v>
      </c>
      <c r="AU40" s="3408" t="s">
        <v>3380</v>
      </c>
      <c r="AV40" s="3408" t="s">
        <v>3382</v>
      </c>
      <c r="AW40" s="3408" t="s">
        <v>3380</v>
      </c>
      <c r="AX40" s="3408" t="s">
        <v>3382</v>
      </c>
      <c r="AY40" s="3408" t="s">
        <v>3382</v>
      </c>
      <c r="AZ40" s="3408" t="s">
        <v>3382</v>
      </c>
      <c r="BB40" s="3408">
        <f t="shared" si="0"/>
        <v>2874</v>
      </c>
      <c r="BC40" s="3410">
        <v>4224</v>
      </c>
      <c r="BD40" s="3411">
        <f t="shared" si="1"/>
        <v>2640</v>
      </c>
      <c r="BE40" s="3410">
        <f t="shared" si="2"/>
        <v>1848</v>
      </c>
      <c r="BF40" s="3412">
        <f t="shared" si="3"/>
        <v>8.14E-2</v>
      </c>
      <c r="BG40" s="3412">
        <f>ROUND(BF40/'剩余（增值收益扣减）法'!$C$31,4)</f>
        <v>0.20349999999999999</v>
      </c>
    </row>
    <row r="41" spans="1:64">
      <c r="A41" s="3408" t="s">
        <v>3605</v>
      </c>
      <c r="B41" s="3408" t="s">
        <v>1465</v>
      </c>
      <c r="C41" s="3408" t="s">
        <v>3606</v>
      </c>
      <c r="D41" s="3408" t="s">
        <v>3372</v>
      </c>
      <c r="E41" s="3408" t="s">
        <v>3607</v>
      </c>
      <c r="F41" s="3408" t="s">
        <v>3608</v>
      </c>
      <c r="G41" s="3408" t="s">
        <v>3609</v>
      </c>
      <c r="H41" s="3408" t="s">
        <v>3376</v>
      </c>
      <c r="I41" s="3408">
        <v>54179.97</v>
      </c>
      <c r="J41" s="3408">
        <v>81269.960000000006</v>
      </c>
      <c r="K41" s="3408">
        <v>1.5</v>
      </c>
      <c r="L41" s="3408" t="s">
        <v>3377</v>
      </c>
      <c r="M41" s="3408" t="s">
        <v>3410</v>
      </c>
      <c r="N41" s="3408" t="s">
        <v>3379</v>
      </c>
      <c r="O41" s="3408" t="s">
        <v>3380</v>
      </c>
      <c r="P41" s="3408" t="s">
        <v>3382</v>
      </c>
      <c r="Q41" s="3408">
        <v>24</v>
      </c>
      <c r="R41" s="3408" t="s">
        <v>3382</v>
      </c>
      <c r="S41" s="3408" t="s">
        <v>3382</v>
      </c>
      <c r="T41" s="3408" t="s">
        <v>3382</v>
      </c>
      <c r="U41" s="3408" t="s">
        <v>3382</v>
      </c>
      <c r="V41" s="3408" t="s">
        <v>3382</v>
      </c>
      <c r="W41" s="3408" t="s">
        <v>3382</v>
      </c>
      <c r="X41" s="3408">
        <v>0</v>
      </c>
      <c r="Y41" s="3408">
        <v>0</v>
      </c>
      <c r="Z41" s="3409">
        <v>45030</v>
      </c>
      <c r="AA41" s="3409">
        <v>45050</v>
      </c>
      <c r="AB41" s="3409">
        <v>45060</v>
      </c>
      <c r="AC41" s="3409">
        <v>45060</v>
      </c>
      <c r="AD41" s="3408" t="s">
        <v>3610</v>
      </c>
      <c r="AE41" s="3408" t="s">
        <v>3384</v>
      </c>
      <c r="AF41" s="3408" t="s">
        <v>3611</v>
      </c>
      <c r="AG41" s="3408" t="s">
        <v>3382</v>
      </c>
      <c r="AH41" s="3408" t="s">
        <v>3382</v>
      </c>
      <c r="AI41" s="3408">
        <v>11987.32</v>
      </c>
      <c r="AJ41" s="3408">
        <v>2400</v>
      </c>
      <c r="AK41" s="3408" t="s">
        <v>2092</v>
      </c>
      <c r="AL41" s="3408">
        <v>11987.32</v>
      </c>
      <c r="AM41" s="3408">
        <v>147.5</v>
      </c>
      <c r="AN41" s="3408">
        <v>147.5</v>
      </c>
      <c r="AO41" s="3408">
        <v>1475</v>
      </c>
      <c r="AP41" s="3408">
        <v>1475</v>
      </c>
      <c r="AQ41" s="3408" t="s">
        <v>3382</v>
      </c>
      <c r="AR41" s="3408" t="s">
        <v>3382</v>
      </c>
      <c r="AS41" s="3408">
        <v>0</v>
      </c>
      <c r="AT41" s="3408" t="s">
        <v>3396</v>
      </c>
      <c r="AU41" s="3408" t="s">
        <v>3380</v>
      </c>
      <c r="AV41" s="3408" t="s">
        <v>3382</v>
      </c>
      <c r="AW41" s="3408" t="s">
        <v>3380</v>
      </c>
      <c r="AX41" s="3408" t="s">
        <v>3382</v>
      </c>
      <c r="AY41" s="3408" t="s">
        <v>3382</v>
      </c>
      <c r="AZ41" s="3408" t="s">
        <v>3382</v>
      </c>
      <c r="BB41" s="3408">
        <f t="shared" si="0"/>
        <v>2213</v>
      </c>
      <c r="BC41" s="3410">
        <v>10971.45</v>
      </c>
      <c r="BD41" s="3411">
        <f t="shared" si="1"/>
        <v>2025</v>
      </c>
      <c r="BE41" s="3410">
        <f t="shared" si="2"/>
        <v>1418</v>
      </c>
      <c r="BF41" s="3412">
        <f t="shared" si="3"/>
        <v>8.4699999999999998E-2</v>
      </c>
      <c r="BG41" s="3412">
        <f>ROUND(BF41/'剩余（增值收益扣减）法'!$C$31,4)</f>
        <v>0.21179999999999999</v>
      </c>
    </row>
    <row r="42" spans="1:64">
      <c r="A42" s="3408" t="s">
        <v>3612</v>
      </c>
      <c r="B42" s="3408" t="s">
        <v>1465</v>
      </c>
      <c r="C42" s="3408" t="s">
        <v>3613</v>
      </c>
      <c r="D42" s="3408" t="s">
        <v>3372</v>
      </c>
      <c r="E42" s="3408" t="s">
        <v>3607</v>
      </c>
      <c r="F42" s="3408" t="s">
        <v>3614</v>
      </c>
      <c r="G42" s="3408" t="s">
        <v>3615</v>
      </c>
      <c r="H42" s="3408" t="s">
        <v>3376</v>
      </c>
      <c r="I42" s="3408">
        <v>30864.31</v>
      </c>
      <c r="J42" s="3408">
        <v>61728.62</v>
      </c>
      <c r="K42" s="3408" t="s">
        <v>3538</v>
      </c>
      <c r="L42" s="3408" t="s">
        <v>3377</v>
      </c>
      <c r="M42" s="3408" t="s">
        <v>3410</v>
      </c>
      <c r="N42" s="3408" t="s">
        <v>3379</v>
      </c>
      <c r="O42" s="3408" t="s">
        <v>3380</v>
      </c>
      <c r="P42" s="3408" t="s">
        <v>3382</v>
      </c>
      <c r="Q42" s="3408" t="s">
        <v>3382</v>
      </c>
      <c r="R42" s="3408" t="s">
        <v>3382</v>
      </c>
      <c r="S42" s="3408" t="s">
        <v>3382</v>
      </c>
      <c r="T42" s="3408" t="s">
        <v>3382</v>
      </c>
      <c r="U42" s="3408" t="s">
        <v>3382</v>
      </c>
      <c r="V42" s="3408" t="s">
        <v>3382</v>
      </c>
      <c r="W42" s="3408" t="s">
        <v>3382</v>
      </c>
      <c r="X42" s="3408">
        <v>0</v>
      </c>
      <c r="Y42" s="3408">
        <v>0</v>
      </c>
      <c r="Z42" s="3409">
        <v>44946</v>
      </c>
      <c r="AA42" s="3409">
        <v>44966</v>
      </c>
      <c r="AB42" s="3409">
        <v>44980</v>
      </c>
      <c r="AC42" s="3409">
        <v>44980</v>
      </c>
      <c r="AD42" s="3408" t="s">
        <v>3616</v>
      </c>
      <c r="AE42" s="3408" t="s">
        <v>3384</v>
      </c>
      <c r="AF42" s="3408" t="s">
        <v>3617</v>
      </c>
      <c r="AG42" s="3408" t="s">
        <v>3382</v>
      </c>
      <c r="AH42" s="3408" t="s">
        <v>3382</v>
      </c>
      <c r="AI42" s="3408">
        <v>11413.62</v>
      </c>
      <c r="AJ42" s="3408">
        <v>2300</v>
      </c>
      <c r="AK42" s="3408" t="s">
        <v>2092</v>
      </c>
      <c r="AL42" s="3408">
        <v>11413.62</v>
      </c>
      <c r="AM42" s="3408">
        <v>246.53</v>
      </c>
      <c r="AN42" s="3408">
        <v>246.53</v>
      </c>
      <c r="AO42" s="3408">
        <v>1849</v>
      </c>
      <c r="AP42" s="3408">
        <v>1849</v>
      </c>
      <c r="AQ42" s="3408" t="s">
        <v>3382</v>
      </c>
      <c r="AR42" s="3408" t="s">
        <v>3382</v>
      </c>
      <c r="AS42" s="3408">
        <v>0</v>
      </c>
      <c r="AT42" s="3415" t="s">
        <v>3618</v>
      </c>
      <c r="AU42" s="3408" t="s">
        <v>3380</v>
      </c>
      <c r="AV42" s="3408" t="s">
        <v>3382</v>
      </c>
      <c r="AW42" s="3408" t="s">
        <v>3380</v>
      </c>
      <c r="AX42" s="3408" t="s">
        <v>3382</v>
      </c>
      <c r="AY42" s="3408" t="s">
        <v>3382</v>
      </c>
      <c r="AZ42" s="3408" t="s">
        <v>3382</v>
      </c>
      <c r="BB42" s="3408">
        <f t="shared" si="0"/>
        <v>3698</v>
      </c>
      <c r="BC42" s="3410">
        <v>9876.5797999999995</v>
      </c>
      <c r="BD42" s="3411">
        <f t="shared" ref="BD42:BD46" si="9">ROUND(BC42/I42*10000,0)</f>
        <v>3200</v>
      </c>
      <c r="BE42" s="3410">
        <f t="shared" si="2"/>
        <v>2240</v>
      </c>
      <c r="BF42" s="3516"/>
      <c r="BG42" s="3516"/>
    </row>
    <row r="43" spans="1:64" s="3527" customFormat="1">
      <c r="A43" s="3527" t="s">
        <v>3826</v>
      </c>
      <c r="I43" s="3527">
        <v>104769.595</v>
      </c>
      <c r="K43" s="3527">
        <f>157154.394/I44</f>
        <v>2.935451095145742</v>
      </c>
      <c r="M43" s="3527" t="s">
        <v>3830</v>
      </c>
      <c r="Z43" s="3528"/>
      <c r="AA43" s="3528"/>
      <c r="AB43" s="3528"/>
      <c r="AC43" s="3528">
        <v>44910</v>
      </c>
      <c r="AL43" s="3527">
        <v>22001.618299999998</v>
      </c>
      <c r="AT43" s="3527" t="s">
        <v>3396</v>
      </c>
      <c r="BB43" s="3527">
        <f t="shared" si="0"/>
        <v>2100</v>
      </c>
      <c r="BC43" s="3529">
        <v>20272.919999999998</v>
      </c>
      <c r="BD43" s="3530">
        <f t="shared" ref="BD43" si="10">ROUND(BC43/I43*10000,0)</f>
        <v>1935</v>
      </c>
      <c r="BE43" s="3529">
        <f t="shared" ref="BE43" si="11">ROUND(BD43*$BE$1,0)</f>
        <v>1355</v>
      </c>
      <c r="BF43" s="3531">
        <f t="shared" ref="BF43" si="12">ROUND((AL43-BC43)/AL43,4)</f>
        <v>7.8600000000000003E-2</v>
      </c>
      <c r="BG43" s="3531">
        <f>ROUND(BF43/'剩余（增值收益扣减）法'!$C$31,4)</f>
        <v>0.19650000000000001</v>
      </c>
      <c r="BI43" s="3532"/>
      <c r="BJ43" s="3532"/>
      <c r="BL43" s="3533"/>
    </row>
    <row r="44" spans="1:64">
      <c r="A44" s="3408" t="s">
        <v>3619</v>
      </c>
      <c r="B44" s="3408" t="s">
        <v>1465</v>
      </c>
      <c r="C44" s="3408" t="s">
        <v>3620</v>
      </c>
      <c r="D44" s="3408" t="s">
        <v>3372</v>
      </c>
      <c r="E44" s="3408" t="s">
        <v>3607</v>
      </c>
      <c r="F44" s="3408" t="s">
        <v>3621</v>
      </c>
      <c r="G44" s="3408" t="s">
        <v>3622</v>
      </c>
      <c r="H44" s="3408" t="s">
        <v>3376</v>
      </c>
      <c r="I44" s="3408">
        <v>53536.71</v>
      </c>
      <c r="J44" s="3408">
        <v>64244.05</v>
      </c>
      <c r="K44" s="3408" t="s">
        <v>3409</v>
      </c>
      <c r="L44" s="3408" t="s">
        <v>3377</v>
      </c>
      <c r="M44" s="3408" t="s">
        <v>3410</v>
      </c>
      <c r="N44" s="3408" t="s">
        <v>3379</v>
      </c>
      <c r="O44" s="3408" t="s">
        <v>3380</v>
      </c>
      <c r="P44" s="3408" t="s">
        <v>3382</v>
      </c>
      <c r="Q44" s="3408" t="s">
        <v>3382</v>
      </c>
      <c r="R44" s="3408" t="s">
        <v>3382</v>
      </c>
      <c r="S44" s="3408" t="s">
        <v>3382</v>
      </c>
      <c r="T44" s="3408" t="s">
        <v>3382</v>
      </c>
      <c r="U44" s="3408" t="s">
        <v>3382</v>
      </c>
      <c r="V44" s="3408" t="s">
        <v>3382</v>
      </c>
      <c r="W44" s="3408" t="s">
        <v>3382</v>
      </c>
      <c r="X44" s="3408">
        <v>0</v>
      </c>
      <c r="Y44" s="3408">
        <v>0</v>
      </c>
      <c r="Z44" s="3409">
        <v>44834</v>
      </c>
      <c r="AA44" s="3409">
        <v>44854</v>
      </c>
      <c r="AB44" s="3409">
        <v>44868</v>
      </c>
      <c r="AC44" s="3409">
        <v>44868</v>
      </c>
      <c r="AD44" s="3408" t="s">
        <v>3623</v>
      </c>
      <c r="AE44" s="3408" t="s">
        <v>3384</v>
      </c>
      <c r="AF44" s="3408" t="s">
        <v>3624</v>
      </c>
      <c r="AG44" s="3408" t="s">
        <v>3382</v>
      </c>
      <c r="AH44" s="3408" t="s">
        <v>3382</v>
      </c>
      <c r="AI44" s="3408">
        <v>8178.27</v>
      </c>
      <c r="AJ44" s="3408">
        <v>1700</v>
      </c>
      <c r="AK44" s="3416">
        <v>44868.625</v>
      </c>
      <c r="AL44" s="3408">
        <v>8178.27</v>
      </c>
      <c r="AM44" s="3408">
        <v>101.84</v>
      </c>
      <c r="AN44" s="3408">
        <v>101.84</v>
      </c>
      <c r="AO44" s="3408">
        <v>1273</v>
      </c>
      <c r="AP44" s="3408">
        <v>1273</v>
      </c>
      <c r="AQ44" s="3408" t="s">
        <v>3382</v>
      </c>
      <c r="AR44" s="3408" t="s">
        <v>3382</v>
      </c>
      <c r="AS44" s="3408">
        <v>0</v>
      </c>
      <c r="AT44" s="3408" t="s">
        <v>3396</v>
      </c>
      <c r="AU44" s="3408" t="s">
        <v>3380</v>
      </c>
      <c r="AV44" s="3408" t="s">
        <v>3382</v>
      </c>
      <c r="AW44" s="3408" t="s">
        <v>3380</v>
      </c>
      <c r="AX44" s="3408" t="s">
        <v>3382</v>
      </c>
      <c r="AY44" s="3408" t="s">
        <v>3382</v>
      </c>
      <c r="AZ44" s="3408" t="s">
        <v>3382</v>
      </c>
      <c r="BB44" s="3408">
        <f t="shared" si="0"/>
        <v>1528</v>
      </c>
      <c r="BC44" s="3410">
        <v>7227.4557000000004</v>
      </c>
      <c r="BD44" s="3411">
        <f t="shared" si="9"/>
        <v>1350</v>
      </c>
      <c r="BE44" s="3410">
        <f t="shared" si="2"/>
        <v>945</v>
      </c>
    </row>
    <row r="45" spans="1:64">
      <c r="A45" s="3408" t="s">
        <v>3625</v>
      </c>
      <c r="B45" s="3408" t="s">
        <v>1465</v>
      </c>
      <c r="C45" s="3408" t="s">
        <v>3626</v>
      </c>
      <c r="D45" s="3408" t="s">
        <v>3372</v>
      </c>
      <c r="E45" s="3408" t="s">
        <v>3607</v>
      </c>
      <c r="F45" s="3408" t="s">
        <v>3614</v>
      </c>
      <c r="G45" s="3408" t="s">
        <v>3615</v>
      </c>
      <c r="H45" s="3408" t="s">
        <v>3376</v>
      </c>
      <c r="I45" s="3408">
        <v>59880.32</v>
      </c>
      <c r="J45" s="3408">
        <v>89820.49</v>
      </c>
      <c r="K45" s="3408" t="s">
        <v>3425</v>
      </c>
      <c r="L45" s="3408" t="s">
        <v>3377</v>
      </c>
      <c r="M45" s="3408" t="s">
        <v>3410</v>
      </c>
      <c r="N45" s="3408" t="s">
        <v>3379</v>
      </c>
      <c r="O45" s="3408" t="s">
        <v>3380</v>
      </c>
      <c r="P45" s="3408" t="s">
        <v>3382</v>
      </c>
      <c r="Q45" s="3408" t="s">
        <v>3382</v>
      </c>
      <c r="R45" s="3408" t="s">
        <v>3382</v>
      </c>
      <c r="S45" s="3408" t="s">
        <v>3382</v>
      </c>
      <c r="T45" s="3408" t="s">
        <v>3382</v>
      </c>
      <c r="U45" s="3408" t="s">
        <v>3382</v>
      </c>
      <c r="V45" s="3408" t="s">
        <v>3382</v>
      </c>
      <c r="W45" s="3408" t="s">
        <v>3382</v>
      </c>
      <c r="X45" s="3408">
        <v>0</v>
      </c>
      <c r="Y45" s="3408">
        <v>0</v>
      </c>
      <c r="Z45" s="3409">
        <v>44712</v>
      </c>
      <c r="AA45" s="3409">
        <v>44732</v>
      </c>
      <c r="AB45" s="3409">
        <v>44746</v>
      </c>
      <c r="AC45" s="3409">
        <v>44746</v>
      </c>
      <c r="AD45" s="3408" t="s">
        <v>3627</v>
      </c>
      <c r="AE45" s="3408" t="s">
        <v>3384</v>
      </c>
      <c r="AF45" s="3408" t="s">
        <v>3628</v>
      </c>
      <c r="AG45" s="3408" t="s">
        <v>3382</v>
      </c>
      <c r="AH45" s="3408" t="s">
        <v>3382</v>
      </c>
      <c r="AI45" s="3408">
        <v>15107.81</v>
      </c>
      <c r="AJ45" s="3408">
        <v>3100</v>
      </c>
      <c r="AK45" s="3416">
        <v>44746.625</v>
      </c>
      <c r="AL45" s="3408">
        <v>15107.81</v>
      </c>
      <c r="AM45" s="3408">
        <v>168.2</v>
      </c>
      <c r="AN45" s="3408">
        <v>168.2</v>
      </c>
      <c r="AO45" s="3408">
        <v>1682</v>
      </c>
      <c r="AP45" s="3408">
        <v>1682</v>
      </c>
      <c r="AQ45" s="3408" t="s">
        <v>3382</v>
      </c>
      <c r="AR45" s="3408" t="s">
        <v>3382</v>
      </c>
      <c r="AS45" s="3408">
        <v>0</v>
      </c>
      <c r="AT45" s="3408" t="s">
        <v>3396</v>
      </c>
      <c r="AU45" s="3408" t="s">
        <v>3380</v>
      </c>
      <c r="AV45" s="3408" t="s">
        <v>3382</v>
      </c>
      <c r="AW45" s="3408" t="s">
        <v>3380</v>
      </c>
      <c r="AX45" s="3408" t="s">
        <v>3382</v>
      </c>
      <c r="AY45" s="3408" t="s">
        <v>3382</v>
      </c>
      <c r="AZ45" s="3408" t="s">
        <v>3382</v>
      </c>
      <c r="BB45" s="3408">
        <f t="shared" si="0"/>
        <v>2523</v>
      </c>
      <c r="BC45" s="3410">
        <v>13922.1756</v>
      </c>
      <c r="BD45" s="3411">
        <f t="shared" si="9"/>
        <v>2325</v>
      </c>
      <c r="BE45" s="3410">
        <f t="shared" si="2"/>
        <v>1628</v>
      </c>
      <c r="BF45" s="3412">
        <f t="shared" si="3"/>
        <v>7.85E-2</v>
      </c>
      <c r="BG45" s="3412">
        <f>ROUND(BF45/'剩余（增值收益扣减）法'!$C$31,4)</f>
        <v>0.1963</v>
      </c>
    </row>
    <row r="46" spans="1:64">
      <c r="A46" s="3408" t="s">
        <v>3629</v>
      </c>
      <c r="B46" s="3408" t="s">
        <v>1465</v>
      </c>
      <c r="C46" s="3408" t="s">
        <v>3630</v>
      </c>
      <c r="D46" s="3408" t="s">
        <v>3372</v>
      </c>
      <c r="E46" s="3408" t="s">
        <v>3607</v>
      </c>
      <c r="F46" s="3408" t="s">
        <v>3621</v>
      </c>
      <c r="G46" s="3408" t="s">
        <v>3622</v>
      </c>
      <c r="H46" s="3408" t="s">
        <v>3376</v>
      </c>
      <c r="I46" s="3408">
        <v>33079.29</v>
      </c>
      <c r="J46" s="3408">
        <v>39695.15</v>
      </c>
      <c r="K46" s="3408" t="s">
        <v>3409</v>
      </c>
      <c r="L46" s="3408" t="s">
        <v>3377</v>
      </c>
      <c r="M46" s="3408" t="s">
        <v>3410</v>
      </c>
      <c r="N46" s="3408" t="s">
        <v>3379</v>
      </c>
      <c r="O46" s="3408" t="s">
        <v>3380</v>
      </c>
      <c r="P46" s="3408" t="s">
        <v>3382</v>
      </c>
      <c r="Q46" s="3408" t="s">
        <v>3382</v>
      </c>
      <c r="R46" s="3408" t="s">
        <v>3382</v>
      </c>
      <c r="S46" s="3408" t="s">
        <v>3382</v>
      </c>
      <c r="T46" s="3408" t="s">
        <v>3382</v>
      </c>
      <c r="U46" s="3408" t="s">
        <v>3382</v>
      </c>
      <c r="V46" s="3408" t="s">
        <v>3382</v>
      </c>
      <c r="W46" s="3408" t="s">
        <v>3382</v>
      </c>
      <c r="X46" s="3408">
        <v>0</v>
      </c>
      <c r="Y46" s="3408">
        <v>0</v>
      </c>
      <c r="Z46" s="3409">
        <v>44651</v>
      </c>
      <c r="AA46" s="3409">
        <v>44671</v>
      </c>
      <c r="AB46" s="3409">
        <v>44687</v>
      </c>
      <c r="AC46" s="3409">
        <v>44687</v>
      </c>
      <c r="AD46" s="3408" t="s">
        <v>3631</v>
      </c>
      <c r="AE46" s="3408" t="s">
        <v>3384</v>
      </c>
      <c r="AF46" s="3408" t="s">
        <v>3632</v>
      </c>
      <c r="AG46" s="3408" t="s">
        <v>3382</v>
      </c>
      <c r="AH46" s="3408" t="s">
        <v>3382</v>
      </c>
      <c r="AI46" s="3408">
        <v>4981.74</v>
      </c>
      <c r="AJ46" s="3408">
        <v>1000</v>
      </c>
      <c r="AK46" s="3416">
        <v>44685.625</v>
      </c>
      <c r="AL46" s="3408">
        <v>4981.74</v>
      </c>
      <c r="AM46" s="3408">
        <v>100.4</v>
      </c>
      <c r="AN46" s="3408">
        <v>100.4</v>
      </c>
      <c r="AO46" s="3408">
        <v>1255</v>
      </c>
      <c r="AP46" s="3408">
        <v>1255</v>
      </c>
      <c r="AQ46" s="3408" t="s">
        <v>3382</v>
      </c>
      <c r="AR46" s="3408" t="s">
        <v>3382</v>
      </c>
      <c r="AS46" s="3408">
        <v>0</v>
      </c>
      <c r="AT46" s="3408" t="s">
        <v>3396</v>
      </c>
      <c r="AU46" s="3408" t="s">
        <v>3380</v>
      </c>
      <c r="AV46" s="3408" t="s">
        <v>3382</v>
      </c>
      <c r="AW46" s="3408" t="s">
        <v>3380</v>
      </c>
      <c r="AX46" s="3408" t="s">
        <v>3382</v>
      </c>
      <c r="AY46" s="3408" t="s">
        <v>3382</v>
      </c>
      <c r="AZ46" s="3408" t="s">
        <v>3382</v>
      </c>
      <c r="BB46" s="3408">
        <f t="shared" si="0"/>
        <v>1506</v>
      </c>
      <c r="BC46" s="3410">
        <v>4465.7</v>
      </c>
      <c r="BD46" s="3411">
        <f t="shared" si="9"/>
        <v>1350</v>
      </c>
      <c r="BE46" s="3410">
        <f t="shared" si="2"/>
        <v>945</v>
      </c>
    </row>
    <row r="47" spans="1:64">
      <c r="A47" s="3408" t="s">
        <v>3633</v>
      </c>
      <c r="B47" s="3408" t="s">
        <v>1465</v>
      </c>
      <c r="C47" s="3408" t="s">
        <v>3634</v>
      </c>
      <c r="D47" s="3408" t="s">
        <v>3372</v>
      </c>
      <c r="E47" s="3408" t="s">
        <v>3607</v>
      </c>
      <c r="F47" s="3408" t="s">
        <v>3621</v>
      </c>
      <c r="G47" s="3408" t="s">
        <v>3622</v>
      </c>
      <c r="H47" s="3408" t="s">
        <v>3376</v>
      </c>
      <c r="I47" s="3408">
        <v>33079.29</v>
      </c>
      <c r="J47" s="3408">
        <v>39695.15</v>
      </c>
      <c r="K47" s="3408">
        <v>1.2</v>
      </c>
      <c r="L47" s="3408" t="s">
        <v>3377</v>
      </c>
      <c r="M47" s="3408" t="s">
        <v>3635</v>
      </c>
      <c r="N47" s="3408" t="s">
        <v>3379</v>
      </c>
      <c r="O47" s="3408" t="s">
        <v>3380</v>
      </c>
      <c r="P47" s="3408" t="s">
        <v>3382</v>
      </c>
      <c r="Q47" s="3408">
        <v>24</v>
      </c>
      <c r="R47" s="3408" t="s">
        <v>3382</v>
      </c>
      <c r="S47" s="3408" t="s">
        <v>3382</v>
      </c>
      <c r="T47" s="3408" t="s">
        <v>3382</v>
      </c>
      <c r="U47" s="3408" t="s">
        <v>3382</v>
      </c>
      <c r="V47" s="3408">
        <v>0</v>
      </c>
      <c r="W47" s="3408">
        <v>0</v>
      </c>
      <c r="X47" s="3408">
        <v>0</v>
      </c>
      <c r="Y47" s="3408">
        <v>0</v>
      </c>
      <c r="Z47" s="3409">
        <v>44532</v>
      </c>
      <c r="AA47" s="3409">
        <v>44552</v>
      </c>
      <c r="AB47" s="3409">
        <v>44567</v>
      </c>
      <c r="AC47" s="3409">
        <v>44567</v>
      </c>
      <c r="AD47" s="3408" t="s">
        <v>3636</v>
      </c>
      <c r="AE47" s="3408" t="s">
        <v>3384</v>
      </c>
      <c r="AF47" s="3408" t="s">
        <v>3637</v>
      </c>
      <c r="AG47" s="3408" t="s">
        <v>3382</v>
      </c>
      <c r="AH47" s="3408" t="s">
        <v>3382</v>
      </c>
      <c r="AI47" s="3408">
        <v>4981.74</v>
      </c>
      <c r="AJ47" s="3408">
        <v>1000</v>
      </c>
      <c r="AK47" s="3408" t="s">
        <v>2092</v>
      </c>
      <c r="AL47" s="3408">
        <v>4981.74</v>
      </c>
      <c r="AM47" s="3408">
        <v>100.4</v>
      </c>
      <c r="AN47" s="3408">
        <v>100.4</v>
      </c>
      <c r="AO47" s="3408">
        <v>1255</v>
      </c>
      <c r="AP47" s="3408">
        <v>1255</v>
      </c>
      <c r="AQ47" s="3408" t="s">
        <v>3382</v>
      </c>
      <c r="AR47" s="3408" t="s">
        <v>3382</v>
      </c>
      <c r="AS47" s="3408">
        <v>0</v>
      </c>
      <c r="AT47" s="3408" t="s">
        <v>3396</v>
      </c>
      <c r="AU47" s="3408" t="s">
        <v>3380</v>
      </c>
      <c r="AV47" s="3408" t="s">
        <v>3382</v>
      </c>
      <c r="AW47" s="3408" t="s">
        <v>3380</v>
      </c>
      <c r="AX47" s="3408" t="s">
        <v>3382</v>
      </c>
      <c r="AY47" s="3408" t="s">
        <v>3382</v>
      </c>
      <c r="AZ47" s="3408" t="s">
        <v>3382</v>
      </c>
      <c r="BB47" s="3408">
        <f t="shared" si="0"/>
        <v>1506</v>
      </c>
      <c r="BC47" s="3410">
        <v>4465.7</v>
      </c>
      <c r="BD47" s="3411">
        <f t="shared" si="1"/>
        <v>1350</v>
      </c>
      <c r="BE47" s="3410">
        <f t="shared" si="2"/>
        <v>945</v>
      </c>
    </row>
    <row r="48" spans="1:64">
      <c r="A48" s="3408" t="s">
        <v>3638</v>
      </c>
      <c r="B48" s="3408" t="s">
        <v>1465</v>
      </c>
      <c r="C48" s="3408" t="s">
        <v>3639</v>
      </c>
      <c r="D48" s="3408" t="s">
        <v>3372</v>
      </c>
      <c r="E48" s="3408" t="s">
        <v>3607</v>
      </c>
      <c r="F48" s="3408" t="s">
        <v>3614</v>
      </c>
      <c r="G48" s="3408" t="s">
        <v>3615</v>
      </c>
      <c r="H48" s="3408" t="s">
        <v>3376</v>
      </c>
      <c r="I48" s="3408">
        <v>70381.62</v>
      </c>
      <c r="J48" s="3408">
        <v>107447.38</v>
      </c>
      <c r="K48" s="3408">
        <v>1.53</v>
      </c>
      <c r="L48" s="3408" t="s">
        <v>3377</v>
      </c>
      <c r="M48" s="3408" t="s">
        <v>3410</v>
      </c>
      <c r="N48" s="3408" t="s">
        <v>3379</v>
      </c>
      <c r="O48" s="3408" t="s">
        <v>3380</v>
      </c>
      <c r="P48" s="3408" t="s">
        <v>3382</v>
      </c>
      <c r="Q48" s="3408" t="s">
        <v>3382</v>
      </c>
      <c r="R48" s="3408" t="s">
        <v>3382</v>
      </c>
      <c r="S48" s="3408" t="s">
        <v>3382</v>
      </c>
      <c r="T48" s="3408" t="s">
        <v>3382</v>
      </c>
      <c r="U48" s="3408" t="s">
        <v>3382</v>
      </c>
      <c r="V48" s="3408">
        <v>0</v>
      </c>
      <c r="W48" s="3408">
        <v>0</v>
      </c>
      <c r="X48" s="3408">
        <v>0</v>
      </c>
      <c r="Y48" s="3408">
        <v>0</v>
      </c>
      <c r="Z48" s="3409">
        <v>44526</v>
      </c>
      <c r="AA48" s="3409">
        <v>44546</v>
      </c>
      <c r="AB48" s="3409">
        <v>44560</v>
      </c>
      <c r="AC48" s="3409">
        <v>44560</v>
      </c>
      <c r="AD48" s="3408" t="s">
        <v>3640</v>
      </c>
      <c r="AE48" s="3408" t="s">
        <v>3384</v>
      </c>
      <c r="AF48" s="3408" t="s">
        <v>3641</v>
      </c>
      <c r="AG48" s="3408" t="s">
        <v>3382</v>
      </c>
      <c r="AH48" s="3408" t="s">
        <v>3382</v>
      </c>
      <c r="AI48" s="3408">
        <v>15861.01</v>
      </c>
      <c r="AJ48" s="3408">
        <v>3200</v>
      </c>
      <c r="AK48" s="3408" t="s">
        <v>2092</v>
      </c>
      <c r="AL48" s="3408">
        <v>15861.01</v>
      </c>
      <c r="AM48" s="3408">
        <v>150.24</v>
      </c>
      <c r="AN48" s="3408">
        <v>150.24</v>
      </c>
      <c r="AO48" s="3408">
        <v>1476</v>
      </c>
      <c r="AP48" s="3408">
        <v>1476</v>
      </c>
      <c r="AQ48" s="3408" t="s">
        <v>3382</v>
      </c>
      <c r="AR48" s="3408" t="s">
        <v>3382</v>
      </c>
      <c r="AS48" s="3408">
        <v>0</v>
      </c>
      <c r="AT48" s="3415">
        <v>50</v>
      </c>
      <c r="AU48" s="3408" t="s">
        <v>3380</v>
      </c>
      <c r="AV48" s="3408" t="s">
        <v>3382</v>
      </c>
      <c r="AW48" s="3408" t="s">
        <v>3380</v>
      </c>
      <c r="AX48" s="3408" t="s">
        <v>3382</v>
      </c>
      <c r="AY48" s="3408" t="s">
        <v>3382</v>
      </c>
      <c r="AZ48" s="3408" t="s">
        <v>3382</v>
      </c>
      <c r="BB48" s="3408">
        <f t="shared" si="0"/>
        <v>2254</v>
      </c>
      <c r="BC48" s="3410">
        <v>10744.73769</v>
      </c>
      <c r="BD48" s="3411">
        <f t="shared" si="1"/>
        <v>1527</v>
      </c>
      <c r="BE48" s="3410">
        <f t="shared" si="2"/>
        <v>1069</v>
      </c>
      <c r="BF48" s="3516"/>
      <c r="BG48" s="3516"/>
    </row>
    <row r="49" spans="1:64">
      <c r="A49" s="3408" t="s">
        <v>3642</v>
      </c>
      <c r="B49" s="3408" t="s">
        <v>1465</v>
      </c>
      <c r="C49" s="3408" t="s">
        <v>3643</v>
      </c>
      <c r="D49" s="3408" t="s">
        <v>3372</v>
      </c>
      <c r="E49" s="3408" t="s">
        <v>3607</v>
      </c>
      <c r="F49" s="3408" t="s">
        <v>3644</v>
      </c>
      <c r="G49" s="3408" t="s">
        <v>3645</v>
      </c>
      <c r="H49" s="3408" t="s">
        <v>3376</v>
      </c>
      <c r="I49" s="3408">
        <v>60114.58</v>
      </c>
      <c r="J49" s="3408">
        <v>120229.15</v>
      </c>
      <c r="K49" s="3408">
        <v>2</v>
      </c>
      <c r="L49" s="3408" t="s">
        <v>3377</v>
      </c>
      <c r="M49" s="3408" t="s">
        <v>3410</v>
      </c>
      <c r="N49" s="3408" t="s">
        <v>3379</v>
      </c>
      <c r="O49" s="3408" t="s">
        <v>3380</v>
      </c>
      <c r="P49" s="3408" t="s">
        <v>3382</v>
      </c>
      <c r="Q49" s="3408" t="s">
        <v>3646</v>
      </c>
      <c r="R49" s="3408" t="s">
        <v>3382</v>
      </c>
      <c r="S49" s="3408" t="s">
        <v>3382</v>
      </c>
      <c r="T49" s="3408" t="s">
        <v>3382</v>
      </c>
      <c r="U49" s="3408" t="s">
        <v>3382</v>
      </c>
      <c r="V49" s="3408">
        <v>0</v>
      </c>
      <c r="W49" s="3408">
        <v>0</v>
      </c>
      <c r="X49" s="3408">
        <v>0</v>
      </c>
      <c r="Y49" s="3408">
        <v>0</v>
      </c>
      <c r="Z49" s="3409">
        <v>44377</v>
      </c>
      <c r="AA49" s="3409">
        <v>44397</v>
      </c>
      <c r="AB49" s="3409">
        <v>44413</v>
      </c>
      <c r="AC49" s="3409">
        <v>44413</v>
      </c>
      <c r="AD49" s="3408" t="s">
        <v>3647</v>
      </c>
      <c r="AE49" s="3408" t="s">
        <v>3384</v>
      </c>
      <c r="AF49" s="3408" t="s">
        <v>3648</v>
      </c>
      <c r="AG49" s="3408" t="s">
        <v>3382</v>
      </c>
      <c r="AH49" s="3408" t="s">
        <v>3382</v>
      </c>
      <c r="AI49" s="3408">
        <v>11671.61</v>
      </c>
      <c r="AJ49" s="3408">
        <v>2400</v>
      </c>
      <c r="AK49" s="3408" t="s">
        <v>2092</v>
      </c>
      <c r="AL49" s="3408">
        <v>11671.61</v>
      </c>
      <c r="AM49" s="3408">
        <v>129.44</v>
      </c>
      <c r="AN49" s="3408">
        <v>129.44</v>
      </c>
      <c r="AO49" s="3408">
        <v>971</v>
      </c>
      <c r="AP49" s="3408">
        <v>971</v>
      </c>
      <c r="AQ49" s="3408" t="s">
        <v>3382</v>
      </c>
      <c r="AR49" s="3408" t="s">
        <v>3382</v>
      </c>
      <c r="AS49" s="3408">
        <v>0</v>
      </c>
      <c r="AT49" s="3408" t="s">
        <v>3396</v>
      </c>
      <c r="AU49" s="3408" t="s">
        <v>3380</v>
      </c>
      <c r="AV49" s="3408" t="s">
        <v>3382</v>
      </c>
      <c r="AW49" s="3408" t="s">
        <v>3380</v>
      </c>
      <c r="AX49" s="3408" t="s">
        <v>3382</v>
      </c>
      <c r="AY49" s="3408" t="s">
        <v>3382</v>
      </c>
      <c r="AZ49" s="3408" t="s">
        <v>3382</v>
      </c>
      <c r="BB49" s="3408">
        <f t="shared" si="0"/>
        <v>1942</v>
      </c>
      <c r="BC49" s="3410">
        <v>10661.69</v>
      </c>
      <c r="BD49" s="3411">
        <f t="shared" si="1"/>
        <v>1774</v>
      </c>
      <c r="BE49" s="3410">
        <f t="shared" si="2"/>
        <v>1242</v>
      </c>
      <c r="BF49" s="3516">
        <f t="shared" ref="BF49" si="13">ROUND((AL49-BC49)/AL49,4)</f>
        <v>8.6499999999999994E-2</v>
      </c>
      <c r="BG49" s="3516">
        <f>ROUND(BF49/'剩余（增值收益扣减）法'!$C$31,4)</f>
        <v>0.21629999999999999</v>
      </c>
    </row>
    <row r="50" spans="1:64" s="3517" customFormat="1" ht="15.75" thickBot="1">
      <c r="A50" s="3517" t="s">
        <v>3649</v>
      </c>
      <c r="B50" s="3517" t="s">
        <v>1465</v>
      </c>
      <c r="C50" s="3517" t="s">
        <v>3650</v>
      </c>
      <c r="D50" s="3517" t="s">
        <v>3372</v>
      </c>
      <c r="E50" s="3517" t="s">
        <v>3607</v>
      </c>
      <c r="F50" s="3517" t="s">
        <v>3614</v>
      </c>
      <c r="G50" s="3517" t="s">
        <v>3615</v>
      </c>
      <c r="H50" s="3517" t="s">
        <v>3376</v>
      </c>
      <c r="I50" s="3517">
        <v>58379.44</v>
      </c>
      <c r="J50" s="3517">
        <v>116758.88</v>
      </c>
      <c r="K50" s="3517" t="s">
        <v>3399</v>
      </c>
      <c r="L50" s="3517" t="s">
        <v>3377</v>
      </c>
      <c r="M50" s="3517" t="s">
        <v>3410</v>
      </c>
      <c r="N50" s="3517" t="s">
        <v>3379</v>
      </c>
      <c r="O50" s="3517" t="s">
        <v>3380</v>
      </c>
      <c r="P50" s="3517" t="s">
        <v>3382</v>
      </c>
      <c r="Q50" s="3517" t="s">
        <v>3381</v>
      </c>
      <c r="R50" s="3517" t="s">
        <v>3382</v>
      </c>
      <c r="S50" s="3517" t="s">
        <v>3382</v>
      </c>
      <c r="T50" s="3517" t="s">
        <v>3382</v>
      </c>
      <c r="U50" s="3517" t="s">
        <v>3382</v>
      </c>
      <c r="V50" s="3517">
        <v>0</v>
      </c>
      <c r="W50" s="3517">
        <v>0</v>
      </c>
      <c r="X50" s="3517">
        <v>0</v>
      </c>
      <c r="Y50" s="3517">
        <v>0</v>
      </c>
      <c r="Z50" s="3518">
        <v>44342</v>
      </c>
      <c r="AA50" s="3518">
        <v>44362</v>
      </c>
      <c r="AB50" s="3518">
        <v>44376</v>
      </c>
      <c r="AC50" s="3518">
        <v>44376</v>
      </c>
      <c r="AD50" s="3517" t="s">
        <v>3651</v>
      </c>
      <c r="AE50" s="3517" t="s">
        <v>3384</v>
      </c>
      <c r="AF50" s="3517" t="s">
        <v>3652</v>
      </c>
      <c r="AG50" s="3517" t="s">
        <v>3382</v>
      </c>
      <c r="AH50" s="3517" t="s">
        <v>3382</v>
      </c>
      <c r="AI50" s="3517">
        <v>16276.19</v>
      </c>
      <c r="AJ50" s="3517">
        <v>3300</v>
      </c>
      <c r="AK50" s="3517" t="s">
        <v>2092</v>
      </c>
      <c r="AL50" s="3517">
        <v>16276.19</v>
      </c>
      <c r="AM50" s="3517">
        <v>185.87</v>
      </c>
      <c r="AN50" s="3517">
        <v>185.87</v>
      </c>
      <c r="AO50" s="3517">
        <v>1394</v>
      </c>
      <c r="AP50" s="3517">
        <v>1394</v>
      </c>
      <c r="AQ50" s="3517" t="s">
        <v>3382</v>
      </c>
      <c r="AR50" s="3517" t="s">
        <v>3382</v>
      </c>
      <c r="AS50" s="3517">
        <v>0</v>
      </c>
      <c r="AT50" s="3524" t="s">
        <v>3618</v>
      </c>
      <c r="AU50" s="3517" t="s">
        <v>3380</v>
      </c>
      <c r="AV50" s="3517" t="s">
        <v>3382</v>
      </c>
      <c r="AW50" s="3517" t="s">
        <v>3380</v>
      </c>
      <c r="AX50" s="3517" t="s">
        <v>3382</v>
      </c>
      <c r="AY50" s="3517" t="s">
        <v>3382</v>
      </c>
      <c r="AZ50" s="3517" t="s">
        <v>3382</v>
      </c>
      <c r="BB50" s="3517">
        <f t="shared" si="0"/>
        <v>2788</v>
      </c>
      <c r="BC50" s="3519">
        <v>11675.8876</v>
      </c>
      <c r="BD50" s="3520">
        <f t="shared" si="1"/>
        <v>2000</v>
      </c>
      <c r="BE50" s="3519">
        <f t="shared" si="2"/>
        <v>1400</v>
      </c>
      <c r="BF50" s="3521"/>
      <c r="BG50" s="3521"/>
      <c r="BI50" s="3522"/>
      <c r="BJ50" s="3522"/>
      <c r="BL50" s="3523"/>
    </row>
    <row r="51" spans="1:64">
      <c r="A51" s="3408" t="s">
        <v>3653</v>
      </c>
      <c r="B51" s="3408" t="s">
        <v>1465</v>
      </c>
      <c r="C51" s="3408" t="s">
        <v>3654</v>
      </c>
      <c r="D51" s="3408" t="s">
        <v>3372</v>
      </c>
      <c r="E51" s="3408" t="s">
        <v>3655</v>
      </c>
      <c r="F51" s="3408" t="s">
        <v>3382</v>
      </c>
      <c r="G51" s="3408" t="s">
        <v>3656</v>
      </c>
      <c r="H51" s="3408" t="s">
        <v>3376</v>
      </c>
      <c r="I51" s="3408">
        <v>43253.49</v>
      </c>
      <c r="J51" s="3408">
        <v>64880</v>
      </c>
      <c r="K51" s="3408">
        <v>1.5</v>
      </c>
      <c r="L51" s="3408" t="s">
        <v>3377</v>
      </c>
      <c r="M51" s="3408" t="s">
        <v>3392</v>
      </c>
      <c r="N51" s="3408" t="s">
        <v>3379</v>
      </c>
      <c r="O51" s="3408" t="s">
        <v>3380</v>
      </c>
      <c r="P51" s="3408" t="s">
        <v>3382</v>
      </c>
      <c r="Q51" s="3408" t="s">
        <v>3382</v>
      </c>
      <c r="R51" s="3408" t="s">
        <v>3382</v>
      </c>
      <c r="S51" s="3408" t="s">
        <v>3382</v>
      </c>
      <c r="T51" s="3408" t="s">
        <v>3382</v>
      </c>
      <c r="U51" s="3408" t="s">
        <v>3382</v>
      </c>
      <c r="V51" s="3408" t="s">
        <v>3382</v>
      </c>
      <c r="W51" s="3408" t="s">
        <v>3382</v>
      </c>
      <c r="X51" s="3408">
        <v>0</v>
      </c>
      <c r="Y51" s="3408">
        <v>0</v>
      </c>
      <c r="Z51" s="3409">
        <v>45057</v>
      </c>
      <c r="AA51" s="3409">
        <v>45078</v>
      </c>
      <c r="AB51" s="3409">
        <v>45092</v>
      </c>
      <c r="AC51" s="3409">
        <v>45092</v>
      </c>
      <c r="AD51" s="3408" t="s">
        <v>3657</v>
      </c>
      <c r="AE51" s="3408" t="s">
        <v>3384</v>
      </c>
      <c r="AF51" s="3408" t="s">
        <v>3658</v>
      </c>
      <c r="AG51" s="3408" t="s">
        <v>3382</v>
      </c>
      <c r="AH51" s="3408" t="s">
        <v>3382</v>
      </c>
      <c r="AI51" s="3408">
        <v>8609.58</v>
      </c>
      <c r="AJ51" s="3408">
        <v>1722</v>
      </c>
      <c r="AK51" s="3416">
        <v>45092.625</v>
      </c>
      <c r="AL51" s="3408">
        <v>8609.58</v>
      </c>
      <c r="AM51" s="3408">
        <v>132.69999999999999</v>
      </c>
      <c r="AN51" s="3408">
        <v>132.69999999999999</v>
      </c>
      <c r="AO51" s="3408">
        <v>1327</v>
      </c>
      <c r="AP51" s="3408">
        <v>1327</v>
      </c>
      <c r="AQ51" s="3408" t="s">
        <v>3382</v>
      </c>
      <c r="AR51" s="3408" t="s">
        <v>3382</v>
      </c>
      <c r="AS51" s="3408">
        <v>0</v>
      </c>
      <c r="AT51" s="3408" t="s">
        <v>3396</v>
      </c>
      <c r="AU51" s="3408" t="s">
        <v>3380</v>
      </c>
      <c r="AV51" s="3408" t="s">
        <v>3382</v>
      </c>
      <c r="AW51" s="3408" t="s">
        <v>3380</v>
      </c>
      <c r="AX51" s="3408" t="s">
        <v>3382</v>
      </c>
      <c r="AY51" s="3408" t="s">
        <v>3382</v>
      </c>
      <c r="AZ51" s="3408" t="s">
        <v>3382</v>
      </c>
      <c r="BB51" s="3408">
        <f t="shared" si="0"/>
        <v>1990</v>
      </c>
      <c r="BC51" s="3410">
        <f>71598952/10000</f>
        <v>7159.8951999999999</v>
      </c>
      <c r="BD51" s="3411">
        <f t="shared" si="1"/>
        <v>1655</v>
      </c>
      <c r="BE51" s="3410">
        <f t="shared" si="2"/>
        <v>1159</v>
      </c>
    </row>
    <row r="52" spans="1:64" s="3421" customFormat="1">
      <c r="A52" s="3421" t="s">
        <v>3659</v>
      </c>
      <c r="B52" s="3421" t="s">
        <v>1465</v>
      </c>
      <c r="C52" s="3421" t="s">
        <v>3660</v>
      </c>
      <c r="D52" s="3421" t="s">
        <v>3372</v>
      </c>
      <c r="E52" s="3421" t="s">
        <v>3655</v>
      </c>
      <c r="F52" s="3421" t="s">
        <v>3661</v>
      </c>
      <c r="G52" s="3421" t="s">
        <v>3662</v>
      </c>
      <c r="H52" s="3421" t="s">
        <v>3376</v>
      </c>
      <c r="I52" s="3421">
        <v>66934.31</v>
      </c>
      <c r="J52" s="3421">
        <v>80321</v>
      </c>
      <c r="K52" s="3421" t="s">
        <v>3663</v>
      </c>
      <c r="L52" s="3421" t="s">
        <v>3377</v>
      </c>
      <c r="M52" s="3421" t="s">
        <v>3444</v>
      </c>
      <c r="N52" s="3421" t="s">
        <v>3379</v>
      </c>
      <c r="O52" s="3421" t="s">
        <v>3380</v>
      </c>
      <c r="P52" s="3421" t="s">
        <v>3382</v>
      </c>
      <c r="Q52" s="3421" t="s">
        <v>3382</v>
      </c>
      <c r="R52" s="3421" t="s">
        <v>3382</v>
      </c>
      <c r="S52" s="3421" t="s">
        <v>3382</v>
      </c>
      <c r="T52" s="3421" t="s">
        <v>3382</v>
      </c>
      <c r="U52" s="3421" t="s">
        <v>3382</v>
      </c>
      <c r="V52" s="3421" t="s">
        <v>3382</v>
      </c>
      <c r="W52" s="3421" t="s">
        <v>3382</v>
      </c>
      <c r="X52" s="3421">
        <v>0</v>
      </c>
      <c r="Y52" s="3421">
        <v>0</v>
      </c>
      <c r="Z52" s="3428">
        <v>44998</v>
      </c>
      <c r="AA52" s="3428">
        <v>45019</v>
      </c>
      <c r="AB52" s="3428">
        <v>45033</v>
      </c>
      <c r="AC52" s="3428">
        <v>45033</v>
      </c>
      <c r="AD52" s="3421" t="s">
        <v>3664</v>
      </c>
      <c r="AE52" s="3421" t="s">
        <v>3384</v>
      </c>
      <c r="AF52" s="3421" t="s">
        <v>3665</v>
      </c>
      <c r="AG52" s="3421" t="s">
        <v>3382</v>
      </c>
      <c r="AH52" s="3421" t="s">
        <v>3382</v>
      </c>
      <c r="AI52" s="3421">
        <v>15060.05</v>
      </c>
      <c r="AJ52" s="3421">
        <v>3012</v>
      </c>
      <c r="AK52" s="3429">
        <v>45033.625</v>
      </c>
      <c r="AL52" s="3421">
        <v>15060.05</v>
      </c>
      <c r="AM52" s="3421">
        <v>150</v>
      </c>
      <c r="AN52" s="3421">
        <v>150</v>
      </c>
      <c r="AO52" s="3421">
        <v>1875</v>
      </c>
      <c r="AP52" s="3421">
        <v>1875</v>
      </c>
      <c r="AQ52" s="3421" t="s">
        <v>3382</v>
      </c>
      <c r="AR52" s="3421" t="s">
        <v>3382</v>
      </c>
      <c r="AS52" s="3421">
        <v>0</v>
      </c>
      <c r="AT52" s="3421" t="s">
        <v>3396</v>
      </c>
      <c r="AU52" s="3421" t="s">
        <v>3380</v>
      </c>
      <c r="AV52" s="3421" t="s">
        <v>3382</v>
      </c>
      <c r="AW52" s="3421" t="s">
        <v>3380</v>
      </c>
      <c r="AX52" s="3421" t="s">
        <v>3382</v>
      </c>
      <c r="AY52" s="3421" t="s">
        <v>3382</v>
      </c>
      <c r="AZ52" s="3421" t="s">
        <v>3382</v>
      </c>
      <c r="BB52" s="3421">
        <f t="shared" si="0"/>
        <v>2250</v>
      </c>
      <c r="BC52" s="3424">
        <f>143291268/10000</f>
        <v>14329.1268</v>
      </c>
      <c r="BD52" s="3423">
        <f t="shared" si="1"/>
        <v>2141</v>
      </c>
      <c r="BE52" s="3424">
        <f t="shared" si="2"/>
        <v>1499</v>
      </c>
      <c r="BF52" s="3525">
        <f t="shared" ref="BF52:BF57" si="14">ROUND((AL52-BC52)/AL52,4)</f>
        <v>4.8500000000000001E-2</v>
      </c>
      <c r="BG52" s="3525">
        <f>ROUND(BF52/'剩余（增值收益扣减）法'!$C$31,4)</f>
        <v>0.12130000000000001</v>
      </c>
      <c r="BI52" s="3430" t="s">
        <v>3666</v>
      </c>
      <c r="BJ52" s="3426">
        <f>ROUND(AP52*土地一级开发案例!$B$26/土地一级开发案例!B32,0)</f>
        <v>12611</v>
      </c>
      <c r="BL52" s="3431"/>
    </row>
    <row r="53" spans="1:64">
      <c r="A53" s="3408" t="s">
        <v>3667</v>
      </c>
      <c r="B53" s="3408" t="s">
        <v>1465</v>
      </c>
      <c r="C53" s="3408" t="s">
        <v>3668</v>
      </c>
      <c r="D53" s="3408" t="s">
        <v>3372</v>
      </c>
      <c r="E53" s="3408" t="s">
        <v>3655</v>
      </c>
      <c r="F53" s="3408" t="s">
        <v>3661</v>
      </c>
      <c r="G53" s="3408" t="s">
        <v>3669</v>
      </c>
      <c r="H53" s="3408" t="s">
        <v>3376</v>
      </c>
      <c r="I53" s="3408">
        <v>101126.72</v>
      </c>
      <c r="J53" s="3408">
        <v>151690</v>
      </c>
      <c r="K53" s="3408">
        <v>1.5</v>
      </c>
      <c r="L53" s="3408" t="s">
        <v>3377</v>
      </c>
      <c r="M53" s="3408" t="s">
        <v>3410</v>
      </c>
      <c r="N53" s="3408" t="s">
        <v>3379</v>
      </c>
      <c r="O53" s="3408" t="s">
        <v>3380</v>
      </c>
      <c r="P53" s="3408" t="s">
        <v>3382</v>
      </c>
      <c r="Q53" s="3408" t="s">
        <v>3382</v>
      </c>
      <c r="R53" s="3408" t="s">
        <v>3382</v>
      </c>
      <c r="S53" s="3408" t="s">
        <v>3382</v>
      </c>
      <c r="T53" s="3408" t="s">
        <v>3382</v>
      </c>
      <c r="U53" s="3408" t="s">
        <v>3382</v>
      </c>
      <c r="V53" s="3408" t="s">
        <v>3382</v>
      </c>
      <c r="W53" s="3408" t="s">
        <v>3382</v>
      </c>
      <c r="X53" s="3408">
        <v>0</v>
      </c>
      <c r="Y53" s="3408">
        <v>0</v>
      </c>
      <c r="Z53" s="3409">
        <v>44925</v>
      </c>
      <c r="AA53" s="3409">
        <v>44945</v>
      </c>
      <c r="AB53" s="3409">
        <v>44963</v>
      </c>
      <c r="AC53" s="3409">
        <v>44963</v>
      </c>
      <c r="AD53" s="3408" t="s">
        <v>3670</v>
      </c>
      <c r="AE53" s="3408" t="s">
        <v>3384</v>
      </c>
      <c r="AF53" s="3408" t="s">
        <v>3665</v>
      </c>
      <c r="AG53" s="3408" t="s">
        <v>3382</v>
      </c>
      <c r="AH53" s="3408" t="s">
        <v>3382</v>
      </c>
      <c r="AI53" s="3408">
        <v>22186.85</v>
      </c>
      <c r="AJ53" s="3408">
        <v>4400</v>
      </c>
      <c r="AK53" s="3416">
        <v>44959.625</v>
      </c>
      <c r="AL53" s="3408">
        <v>22186.85</v>
      </c>
      <c r="AM53" s="3408">
        <v>146.26</v>
      </c>
      <c r="AN53" s="3408">
        <v>146.26</v>
      </c>
      <c r="AO53" s="3408">
        <v>1463</v>
      </c>
      <c r="AP53" s="3408">
        <v>1463</v>
      </c>
      <c r="AQ53" s="3408" t="s">
        <v>3382</v>
      </c>
      <c r="AR53" s="3408" t="s">
        <v>3382</v>
      </c>
      <c r="AS53" s="3408">
        <v>0</v>
      </c>
      <c r="AT53" s="3408" t="s">
        <v>3396</v>
      </c>
      <c r="AU53" s="3408" t="s">
        <v>3380</v>
      </c>
      <c r="AV53" s="3408" t="s">
        <v>3382</v>
      </c>
      <c r="AW53" s="3408" t="s">
        <v>3380</v>
      </c>
      <c r="AX53" s="3408" t="s">
        <v>3382</v>
      </c>
      <c r="AY53" s="3408" t="s">
        <v>3382</v>
      </c>
      <c r="AZ53" s="3408" t="s">
        <v>3382</v>
      </c>
      <c r="BB53" s="3408">
        <f t="shared" si="0"/>
        <v>2194</v>
      </c>
      <c r="BC53" s="3410">
        <f>221868470/10000</f>
        <v>22186.847000000002</v>
      </c>
      <c r="BD53" s="3411">
        <f t="shared" si="1"/>
        <v>2194</v>
      </c>
      <c r="BE53" s="3410">
        <f t="shared" si="2"/>
        <v>1536</v>
      </c>
      <c r="BF53" s="3516"/>
      <c r="BG53" s="3516"/>
    </row>
    <row r="54" spans="1:64">
      <c r="A54" s="3408" t="s">
        <v>3671</v>
      </c>
      <c r="B54" s="3408" t="s">
        <v>1465</v>
      </c>
      <c r="C54" s="3408" t="s">
        <v>3672</v>
      </c>
      <c r="D54" s="3408" t="s">
        <v>3372</v>
      </c>
      <c r="E54" s="3408" t="s">
        <v>3655</v>
      </c>
      <c r="F54" s="3408" t="s">
        <v>3673</v>
      </c>
      <c r="G54" s="3408" t="s">
        <v>3674</v>
      </c>
      <c r="H54" s="3408" t="s">
        <v>3376</v>
      </c>
      <c r="I54" s="3408">
        <v>62970.8</v>
      </c>
      <c r="J54" s="3408">
        <v>75565</v>
      </c>
      <c r="K54" s="3408">
        <v>1.2</v>
      </c>
      <c r="L54" s="3408" t="s">
        <v>3377</v>
      </c>
      <c r="M54" s="3408" t="s">
        <v>3392</v>
      </c>
      <c r="N54" s="3408" t="s">
        <v>3379</v>
      </c>
      <c r="O54" s="3408" t="s">
        <v>3380</v>
      </c>
      <c r="P54" s="3408" t="s">
        <v>3382</v>
      </c>
      <c r="Q54" s="3408" t="s">
        <v>3382</v>
      </c>
      <c r="R54" s="3408" t="s">
        <v>3382</v>
      </c>
      <c r="S54" s="3408" t="s">
        <v>3382</v>
      </c>
      <c r="T54" s="3408" t="s">
        <v>3382</v>
      </c>
      <c r="U54" s="3408" t="s">
        <v>3382</v>
      </c>
      <c r="V54" s="3408" t="s">
        <v>3382</v>
      </c>
      <c r="W54" s="3408" t="s">
        <v>3382</v>
      </c>
      <c r="X54" s="3408">
        <v>0</v>
      </c>
      <c r="Y54" s="3408">
        <v>0</v>
      </c>
      <c r="Z54" s="3409">
        <v>44902</v>
      </c>
      <c r="AA54" s="3409">
        <v>44922</v>
      </c>
      <c r="AB54" s="3409">
        <v>44937</v>
      </c>
      <c r="AC54" s="3409">
        <v>44937</v>
      </c>
      <c r="AD54" s="3408" t="s">
        <v>3675</v>
      </c>
      <c r="AE54" s="3408" t="s">
        <v>3384</v>
      </c>
      <c r="AF54" s="3408" t="s">
        <v>3676</v>
      </c>
      <c r="AG54" s="3408" t="s">
        <v>3382</v>
      </c>
      <c r="AH54" s="3408" t="s">
        <v>3382</v>
      </c>
      <c r="AI54" s="3408">
        <v>11607.61</v>
      </c>
      <c r="AJ54" s="3408">
        <v>2267</v>
      </c>
      <c r="AK54" s="3416">
        <v>44936.625</v>
      </c>
      <c r="AL54" s="3408">
        <v>11607.61</v>
      </c>
      <c r="AM54" s="3408">
        <v>122.89</v>
      </c>
      <c r="AN54" s="3408">
        <v>122.89</v>
      </c>
      <c r="AO54" s="3408">
        <v>1536</v>
      </c>
      <c r="AP54" s="3408">
        <v>1536</v>
      </c>
      <c r="AQ54" s="3408" t="s">
        <v>3382</v>
      </c>
      <c r="AR54" s="3408" t="s">
        <v>3382</v>
      </c>
      <c r="AS54" s="3408">
        <v>0</v>
      </c>
      <c r="AT54" s="3408" t="s">
        <v>3396</v>
      </c>
      <c r="AU54" s="3408" t="s">
        <v>3380</v>
      </c>
      <c r="AV54" s="3408" t="s">
        <v>3382</v>
      </c>
      <c r="AW54" s="3408" t="s">
        <v>3380</v>
      </c>
      <c r="AX54" s="3408" t="s">
        <v>3382</v>
      </c>
      <c r="AY54" s="3408" t="s">
        <v>3382</v>
      </c>
      <c r="AZ54" s="3408" t="s">
        <v>3382</v>
      </c>
      <c r="BB54" s="3408">
        <f t="shared" si="0"/>
        <v>1843</v>
      </c>
      <c r="BC54" s="3410">
        <f>107310600/10000</f>
        <v>10731.06</v>
      </c>
      <c r="BD54" s="3411">
        <f t="shared" si="1"/>
        <v>1704</v>
      </c>
      <c r="BE54" s="3410">
        <f t="shared" si="2"/>
        <v>1193</v>
      </c>
      <c r="BF54" s="3516">
        <f t="shared" si="14"/>
        <v>7.5499999999999998E-2</v>
      </c>
      <c r="BG54" s="3516">
        <f>ROUND(BF54/'剩余（增值收益扣减）法'!$C$31,4)</f>
        <v>0.1888</v>
      </c>
    </row>
    <row r="55" spans="1:64">
      <c r="A55" s="3408" t="s">
        <v>3677</v>
      </c>
      <c r="B55" s="3408" t="s">
        <v>1465</v>
      </c>
      <c r="C55" s="3408" t="s">
        <v>3678</v>
      </c>
      <c r="D55" s="3408" t="s">
        <v>3372</v>
      </c>
      <c r="E55" s="3408" t="s">
        <v>3655</v>
      </c>
      <c r="F55" s="3408" t="s">
        <v>3679</v>
      </c>
      <c r="G55" s="3408" t="s">
        <v>3680</v>
      </c>
      <c r="H55" s="3408" t="s">
        <v>3376</v>
      </c>
      <c r="I55" s="3408">
        <v>60631.73</v>
      </c>
      <c r="J55" s="3408">
        <v>60631</v>
      </c>
      <c r="K55" s="3408" t="s">
        <v>3681</v>
      </c>
      <c r="L55" s="3408" t="s">
        <v>3377</v>
      </c>
      <c r="M55" s="3408" t="s">
        <v>3410</v>
      </c>
      <c r="N55" s="3408" t="s">
        <v>3379</v>
      </c>
      <c r="O55" s="3408" t="s">
        <v>3380</v>
      </c>
      <c r="P55" s="3408">
        <v>0.4</v>
      </c>
      <c r="Q55" s="3408" t="s">
        <v>3594</v>
      </c>
      <c r="R55" s="3408" t="s">
        <v>3382</v>
      </c>
      <c r="S55" s="3408" t="s">
        <v>3382</v>
      </c>
      <c r="T55" s="3408" t="s">
        <v>3382</v>
      </c>
      <c r="U55" s="3408" t="s">
        <v>3382</v>
      </c>
      <c r="V55" s="3408" t="s">
        <v>3382</v>
      </c>
      <c r="W55" s="3408" t="s">
        <v>3382</v>
      </c>
      <c r="X55" s="3408">
        <v>0</v>
      </c>
      <c r="Y55" s="3408">
        <v>0</v>
      </c>
      <c r="Z55" s="3409">
        <v>44399</v>
      </c>
      <c r="AA55" s="3409">
        <v>44419</v>
      </c>
      <c r="AB55" s="3409">
        <v>44433</v>
      </c>
      <c r="AC55" s="3409">
        <v>44433</v>
      </c>
      <c r="AD55" s="3408" t="s">
        <v>3682</v>
      </c>
      <c r="AE55" s="3408" t="s">
        <v>3384</v>
      </c>
      <c r="AF55" s="3408" t="s">
        <v>3683</v>
      </c>
      <c r="AG55" s="3408" t="s">
        <v>3382</v>
      </c>
      <c r="AH55" s="3408" t="s">
        <v>3382</v>
      </c>
      <c r="AI55" s="3408">
        <v>9621.02</v>
      </c>
      <c r="AJ55" s="3408">
        <v>1925</v>
      </c>
      <c r="AK55" s="3408" t="s">
        <v>2092</v>
      </c>
      <c r="AL55" s="3408">
        <v>9621.02</v>
      </c>
      <c r="AM55" s="3408">
        <v>105.79</v>
      </c>
      <c r="AN55" s="3408">
        <v>105.79</v>
      </c>
      <c r="AO55" s="3408">
        <v>1587</v>
      </c>
      <c r="AP55" s="3408">
        <v>1587</v>
      </c>
      <c r="AQ55" s="3408" t="s">
        <v>3382</v>
      </c>
      <c r="AR55" s="3408" t="s">
        <v>3382</v>
      </c>
      <c r="AS55" s="3408">
        <v>0</v>
      </c>
      <c r="AT55" s="3408" t="s">
        <v>3396</v>
      </c>
      <c r="AU55" s="3408" t="s">
        <v>3380</v>
      </c>
      <c r="AV55" s="3408" t="s">
        <v>3382</v>
      </c>
      <c r="AW55" s="3408" t="s">
        <v>3380</v>
      </c>
      <c r="AX55" s="3408" t="s">
        <v>3382</v>
      </c>
      <c r="AY55" s="3408" t="s">
        <v>3382</v>
      </c>
      <c r="AZ55" s="3408" t="s">
        <v>3382</v>
      </c>
      <c r="BB55" s="3408">
        <f t="shared" si="0"/>
        <v>1587</v>
      </c>
      <c r="BC55" s="3410">
        <f>88752466/10000</f>
        <v>8875.2466000000004</v>
      </c>
      <c r="BD55" s="3411">
        <f t="shared" si="1"/>
        <v>1464</v>
      </c>
      <c r="BE55" s="3410">
        <f t="shared" si="2"/>
        <v>1025</v>
      </c>
      <c r="BF55" s="3516">
        <f t="shared" si="14"/>
        <v>7.7499999999999999E-2</v>
      </c>
      <c r="BG55" s="3516">
        <f>ROUND(BF55/'剩余（增值收益扣减）法'!$C$31,4)</f>
        <v>0.1938</v>
      </c>
    </row>
    <row r="56" spans="1:64">
      <c r="A56" s="3408" t="s">
        <v>3684</v>
      </c>
      <c r="B56" s="3408" t="s">
        <v>1465</v>
      </c>
      <c r="C56" s="3408" t="s">
        <v>3685</v>
      </c>
      <c r="D56" s="3408" t="s">
        <v>3372</v>
      </c>
      <c r="E56" s="3408" t="s">
        <v>3655</v>
      </c>
      <c r="F56" s="3408" t="s">
        <v>3382</v>
      </c>
      <c r="G56" s="3408" t="s">
        <v>3686</v>
      </c>
      <c r="H56" s="3408" t="s">
        <v>3376</v>
      </c>
      <c r="I56" s="3408">
        <v>63922.57</v>
      </c>
      <c r="J56" s="3408">
        <v>102276</v>
      </c>
      <c r="K56" s="3408" t="s">
        <v>3586</v>
      </c>
      <c r="L56" s="3408" t="s">
        <v>3377</v>
      </c>
      <c r="M56" s="3408" t="s">
        <v>3687</v>
      </c>
      <c r="N56" s="3408" t="s">
        <v>3379</v>
      </c>
      <c r="O56" s="3408" t="s">
        <v>3380</v>
      </c>
      <c r="P56" s="3408" t="s">
        <v>3382</v>
      </c>
      <c r="Q56" s="3408" t="s">
        <v>3382</v>
      </c>
      <c r="R56" s="3408" t="s">
        <v>3382</v>
      </c>
      <c r="S56" s="3408" t="s">
        <v>3382</v>
      </c>
      <c r="T56" s="3408" t="s">
        <v>3382</v>
      </c>
      <c r="U56" s="3408" t="s">
        <v>3382</v>
      </c>
      <c r="V56" s="3408">
        <v>0</v>
      </c>
      <c r="W56" s="3408">
        <v>0</v>
      </c>
      <c r="X56" s="3408">
        <v>0</v>
      </c>
      <c r="Y56" s="3408">
        <v>0</v>
      </c>
      <c r="Z56" s="3409">
        <v>44155</v>
      </c>
      <c r="AA56" s="3409">
        <v>44175</v>
      </c>
      <c r="AB56" s="3409">
        <v>44189</v>
      </c>
      <c r="AC56" s="3409">
        <v>44189</v>
      </c>
      <c r="AD56" s="3408" t="s">
        <v>3688</v>
      </c>
      <c r="AE56" s="3408" t="s">
        <v>3384</v>
      </c>
      <c r="AF56" s="3408" t="s">
        <v>3689</v>
      </c>
      <c r="AG56" s="3408" t="s">
        <v>3382</v>
      </c>
      <c r="AH56" s="3408" t="s">
        <v>3382</v>
      </c>
      <c r="AI56" s="3408">
        <v>13766.35</v>
      </c>
      <c r="AJ56" s="3408">
        <v>2755</v>
      </c>
      <c r="AK56" s="3408" t="s">
        <v>2092</v>
      </c>
      <c r="AL56" s="3408">
        <v>13766.35</v>
      </c>
      <c r="AM56" s="3408">
        <v>143.57</v>
      </c>
      <c r="AN56" s="3408">
        <v>143.57</v>
      </c>
      <c r="AO56" s="3408">
        <v>1346</v>
      </c>
      <c r="AP56" s="3408">
        <v>1346</v>
      </c>
      <c r="AQ56" s="3408" t="s">
        <v>3382</v>
      </c>
      <c r="AR56" s="3408" t="s">
        <v>3382</v>
      </c>
      <c r="AS56" s="3408">
        <v>0</v>
      </c>
      <c r="AT56" s="3408" t="s">
        <v>3396</v>
      </c>
      <c r="AU56" s="3408" t="s">
        <v>3380</v>
      </c>
      <c r="AV56" s="3408" t="s">
        <v>3382</v>
      </c>
      <c r="AW56" s="3408" t="s">
        <v>3380</v>
      </c>
      <c r="AX56" s="3408" t="s">
        <v>3382</v>
      </c>
      <c r="AY56" s="3408" t="s">
        <v>3382</v>
      </c>
      <c r="AZ56" s="3408" t="s">
        <v>3382</v>
      </c>
      <c r="BB56" s="3408">
        <f t="shared" si="0"/>
        <v>2154</v>
      </c>
      <c r="BC56" s="3410">
        <f>88317871/10000</f>
        <v>8831.7870999999996</v>
      </c>
      <c r="BD56" s="3411">
        <f t="shared" si="1"/>
        <v>1382</v>
      </c>
      <c r="BE56" s="3410">
        <f t="shared" si="2"/>
        <v>967</v>
      </c>
      <c r="BF56" s="3516"/>
      <c r="BG56" s="3516"/>
    </row>
    <row r="57" spans="1:64" s="3517" customFormat="1" ht="15.75" thickBot="1">
      <c r="A57" s="3517" t="s">
        <v>3690</v>
      </c>
      <c r="B57" s="3517" t="s">
        <v>1465</v>
      </c>
      <c r="C57" s="3517" t="s">
        <v>3691</v>
      </c>
      <c r="D57" s="3517" t="s">
        <v>3372</v>
      </c>
      <c r="E57" s="3517" t="s">
        <v>3655</v>
      </c>
      <c r="F57" s="3517" t="s">
        <v>3382</v>
      </c>
      <c r="G57" s="3517" t="s">
        <v>3692</v>
      </c>
      <c r="H57" s="3517" t="s">
        <v>3376</v>
      </c>
      <c r="I57" s="3517">
        <v>47600.14</v>
      </c>
      <c r="J57" s="3517">
        <v>57120.17</v>
      </c>
      <c r="K57" s="3517" t="s">
        <v>3409</v>
      </c>
      <c r="L57" s="3517" t="s">
        <v>3377</v>
      </c>
      <c r="M57" s="3517" t="s">
        <v>3410</v>
      </c>
      <c r="N57" s="3517" t="s">
        <v>3379</v>
      </c>
      <c r="O57" s="3517" t="s">
        <v>3380</v>
      </c>
      <c r="P57" s="3517" t="s">
        <v>3457</v>
      </c>
      <c r="Q57" s="3517" t="s">
        <v>3381</v>
      </c>
      <c r="R57" s="3517" t="s">
        <v>3382</v>
      </c>
      <c r="S57" s="3517" t="s">
        <v>3382</v>
      </c>
      <c r="T57" s="3517" t="s">
        <v>3382</v>
      </c>
      <c r="U57" s="3517" t="s">
        <v>3382</v>
      </c>
      <c r="V57" s="3517">
        <v>0</v>
      </c>
      <c r="W57" s="3517">
        <v>0</v>
      </c>
      <c r="X57" s="3517">
        <v>0</v>
      </c>
      <c r="Y57" s="3517">
        <v>0</v>
      </c>
      <c r="Z57" s="3518">
        <v>44139</v>
      </c>
      <c r="AA57" s="3518">
        <v>44159</v>
      </c>
      <c r="AB57" s="3518">
        <v>44172</v>
      </c>
      <c r="AC57" s="3518">
        <v>44172</v>
      </c>
      <c r="AD57" s="3517" t="s">
        <v>3693</v>
      </c>
      <c r="AE57" s="3517" t="s">
        <v>3384</v>
      </c>
      <c r="AF57" s="3517" t="s">
        <v>3665</v>
      </c>
      <c r="AG57" s="3517" t="s">
        <v>3382</v>
      </c>
      <c r="AH57" s="3517" t="s">
        <v>3382</v>
      </c>
      <c r="AI57" s="3517">
        <v>11020.35</v>
      </c>
      <c r="AJ57" s="3517">
        <v>2210</v>
      </c>
      <c r="AK57" s="3517" t="s">
        <v>2092</v>
      </c>
      <c r="AL57" s="3517">
        <v>11020.35</v>
      </c>
      <c r="AM57" s="3517">
        <v>154.35</v>
      </c>
      <c r="AN57" s="3517">
        <v>154.35</v>
      </c>
      <c r="AO57" s="3517">
        <v>1929</v>
      </c>
      <c r="AP57" s="3517">
        <v>1929</v>
      </c>
      <c r="AQ57" s="3517" t="s">
        <v>3382</v>
      </c>
      <c r="AR57" s="3517" t="s">
        <v>3382</v>
      </c>
      <c r="AS57" s="3517">
        <v>0</v>
      </c>
      <c r="AT57" s="3517" t="s">
        <v>3396</v>
      </c>
      <c r="AU57" s="3517" t="s">
        <v>3380</v>
      </c>
      <c r="AV57" s="3517" t="s">
        <v>3382</v>
      </c>
      <c r="AW57" s="3517" t="s">
        <v>3380</v>
      </c>
      <c r="AX57" s="3517" t="s">
        <v>3382</v>
      </c>
      <c r="AY57" s="3517" t="s">
        <v>3382</v>
      </c>
      <c r="AZ57" s="3517" t="s">
        <v>3382</v>
      </c>
      <c r="BB57" s="3517">
        <f t="shared" si="0"/>
        <v>2315</v>
      </c>
      <c r="BC57" s="3519">
        <f>101863938/10000</f>
        <v>10186.3938</v>
      </c>
      <c r="BD57" s="3520">
        <f t="shared" si="1"/>
        <v>2140</v>
      </c>
      <c r="BE57" s="3519">
        <f t="shared" si="2"/>
        <v>1498</v>
      </c>
      <c r="BF57" s="3521">
        <f t="shared" si="14"/>
        <v>7.5700000000000003E-2</v>
      </c>
      <c r="BG57" s="3521">
        <f>ROUND(BF57/'剩余（增值收益扣减）法'!$C$31,4)</f>
        <v>0.1893</v>
      </c>
      <c r="BI57" s="3522"/>
      <c r="BJ57" s="3522"/>
      <c r="BL57" s="3523"/>
    </row>
  </sheetData>
  <phoneticPr fontId="223" type="noConversion"/>
  <pageMargins left="0.7" right="0.7" top="0.75" bottom="0.75" header="0.3" footer="0.3"/>
  <pageSetup paperSize="9" scale="31" orientation="portrait" verticalDpi="300"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
  <sheetViews>
    <sheetView topLeftCell="A64" zoomScaleNormal="100" workbookViewId="0">
      <selection activeCell="O74" sqref="O73:P74"/>
    </sheetView>
  </sheetViews>
  <sheetFormatPr defaultColWidth="9" defaultRowHeight="13.5"/>
  <cols>
    <col min="1" max="16384" width="9" style="3417"/>
  </cols>
  <sheetData/>
  <phoneticPr fontId="223"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141"/>
  <sheetViews>
    <sheetView zoomScale="60" zoomScaleNormal="60" workbookViewId="0">
      <selection sqref="A1:XFD1048576"/>
    </sheetView>
  </sheetViews>
  <sheetFormatPr defaultColWidth="13.875" defaultRowHeight="13.5"/>
  <cols>
    <col min="1" max="1" width="13.875" style="956"/>
    <col min="2" max="9" width="13.875" style="972"/>
    <col min="10" max="16384" width="13.875" style="956"/>
  </cols>
  <sheetData>
    <row r="1" spans="1:13" ht="14.25" thickBot="1">
      <c r="A1" s="973" t="s">
        <v>2757</v>
      </c>
      <c r="B1" s="961" t="s">
        <v>990</v>
      </c>
      <c r="C1" s="961" t="s">
        <v>1031</v>
      </c>
      <c r="D1" s="961" t="s">
        <v>1145</v>
      </c>
      <c r="E1" s="961" t="s">
        <v>853</v>
      </c>
      <c r="F1" s="961" t="s">
        <v>1152</v>
      </c>
      <c r="G1" s="961" t="s">
        <v>1153</v>
      </c>
      <c r="H1" s="961" t="s">
        <v>1154</v>
      </c>
      <c r="I1" s="961" t="s">
        <v>1155</v>
      </c>
      <c r="J1" s="961" t="s">
        <v>1156</v>
      </c>
      <c r="K1" s="961" t="s">
        <v>1157</v>
      </c>
      <c r="L1" s="961" t="s">
        <v>2758</v>
      </c>
      <c r="M1" s="962" t="s">
        <v>2759</v>
      </c>
    </row>
    <row r="2" spans="1:13">
      <c r="A2" s="2984" t="s">
        <v>2735</v>
      </c>
      <c r="B2" s="2985">
        <v>3.5</v>
      </c>
      <c r="C2" s="2985">
        <v>3.5</v>
      </c>
      <c r="D2" s="2986">
        <v>2.5</v>
      </c>
      <c r="E2" s="2986">
        <v>2.5</v>
      </c>
      <c r="F2" s="2986">
        <v>2.5</v>
      </c>
      <c r="G2" s="2986">
        <v>2.5</v>
      </c>
      <c r="H2" s="2986">
        <v>2.5</v>
      </c>
      <c r="I2" s="2985">
        <v>2</v>
      </c>
      <c r="J2" s="2985">
        <v>2</v>
      </c>
      <c r="K2" s="2985">
        <v>2</v>
      </c>
      <c r="L2" s="2985">
        <v>2</v>
      </c>
      <c r="M2" s="2987">
        <v>2</v>
      </c>
    </row>
    <row r="3" spans="1:13">
      <c r="A3" s="2988" t="s">
        <v>1212</v>
      </c>
      <c r="B3" s="2989">
        <v>3.5</v>
      </c>
      <c r="C3" s="2989">
        <v>3.5</v>
      </c>
      <c r="D3" s="2990">
        <v>2.5</v>
      </c>
      <c r="E3" s="2990">
        <v>2.5</v>
      </c>
      <c r="F3" s="2990">
        <v>2.5</v>
      </c>
      <c r="G3" s="2990">
        <v>2.5</v>
      </c>
      <c r="H3" s="2990">
        <v>2.5</v>
      </c>
      <c r="I3" s="2989">
        <v>2</v>
      </c>
      <c r="J3" s="2989">
        <v>2</v>
      </c>
      <c r="K3" s="2989">
        <v>2</v>
      </c>
      <c r="L3" s="2989">
        <v>2</v>
      </c>
      <c r="M3" s="2991">
        <v>2</v>
      </c>
    </row>
    <row r="4" spans="1:13">
      <c r="A4" s="2988" t="s">
        <v>851</v>
      </c>
      <c r="B4" s="2990">
        <v>2.5</v>
      </c>
      <c r="C4" s="2990">
        <v>2.5</v>
      </c>
      <c r="D4" s="2990">
        <v>2.5</v>
      </c>
      <c r="E4" s="2990">
        <v>2.5</v>
      </c>
      <c r="F4" s="2990">
        <v>2.5</v>
      </c>
      <c r="G4" s="2990">
        <v>2.5</v>
      </c>
      <c r="H4" s="2990">
        <v>2.5</v>
      </c>
      <c r="I4" s="2989">
        <v>1.5</v>
      </c>
      <c r="J4" s="2989">
        <v>1.5</v>
      </c>
      <c r="K4" s="2989">
        <v>1.5</v>
      </c>
      <c r="L4" s="2989">
        <v>1.5</v>
      </c>
      <c r="M4" s="2991">
        <v>1.5</v>
      </c>
    </row>
    <row r="5" spans="1:13">
      <c r="A5" s="2992" t="s">
        <v>905</v>
      </c>
      <c r="B5" s="2989">
        <v>1.5</v>
      </c>
      <c r="C5" s="2989">
        <v>1.5</v>
      </c>
      <c r="D5" s="2989">
        <v>1.5</v>
      </c>
      <c r="E5" s="2989">
        <v>1.5</v>
      </c>
      <c r="F5" s="2989">
        <v>1.5</v>
      </c>
      <c r="G5" s="2989">
        <v>1.2</v>
      </c>
      <c r="H5" s="2989">
        <v>1.2</v>
      </c>
      <c r="I5" s="2989">
        <v>1</v>
      </c>
      <c r="J5" s="2989">
        <v>1</v>
      </c>
      <c r="K5" s="2989">
        <v>1</v>
      </c>
      <c r="L5" s="2989">
        <v>1</v>
      </c>
      <c r="M5" s="2991">
        <v>1</v>
      </c>
    </row>
    <row r="6" spans="1:13">
      <c r="A6" s="2993" t="s">
        <v>2760</v>
      </c>
      <c r="B6" s="2994">
        <v>2.5</v>
      </c>
      <c r="C6" s="2994">
        <v>2.5</v>
      </c>
      <c r="D6" s="2994">
        <v>2</v>
      </c>
      <c r="E6" s="2994">
        <v>2</v>
      </c>
      <c r="F6" s="2994">
        <v>2</v>
      </c>
      <c r="G6" s="2994">
        <v>2</v>
      </c>
      <c r="H6" s="2994">
        <v>2</v>
      </c>
      <c r="I6" s="2995">
        <v>1.5</v>
      </c>
      <c r="J6" s="2995">
        <v>1.5</v>
      </c>
      <c r="K6" s="2995">
        <v>1.5</v>
      </c>
      <c r="L6" s="2995">
        <v>1.5</v>
      </c>
      <c r="M6" s="2996">
        <v>1.5</v>
      </c>
    </row>
    <row r="7" spans="1:13" ht="14.25" thickBot="1">
      <c r="A7" s="2997" t="s">
        <v>2733</v>
      </c>
      <c r="B7" s="2998">
        <v>2.5</v>
      </c>
      <c r="C7" s="2998">
        <v>2.5</v>
      </c>
      <c r="D7" s="2998">
        <v>2</v>
      </c>
      <c r="E7" s="2998">
        <v>2</v>
      </c>
      <c r="F7" s="2998">
        <v>2</v>
      </c>
      <c r="G7" s="2998">
        <v>2</v>
      </c>
      <c r="H7" s="2998">
        <v>2</v>
      </c>
      <c r="I7" s="2999">
        <v>1.5</v>
      </c>
      <c r="J7" s="2999">
        <v>1.5</v>
      </c>
      <c r="K7" s="2999">
        <v>1.5</v>
      </c>
      <c r="L7" s="2999">
        <v>1.5</v>
      </c>
      <c r="M7" s="3000">
        <v>1.5</v>
      </c>
    </row>
    <row r="8" spans="1:13">
      <c r="A8" s="974" t="s">
        <v>2761</v>
      </c>
      <c r="B8" s="3001">
        <v>80</v>
      </c>
      <c r="C8" s="3001">
        <v>80</v>
      </c>
      <c r="D8" s="3001">
        <v>70</v>
      </c>
      <c r="E8" s="3001">
        <v>70</v>
      </c>
      <c r="F8" s="3001">
        <v>70</v>
      </c>
      <c r="G8" s="3001">
        <v>70</v>
      </c>
      <c r="H8" s="3001">
        <v>70</v>
      </c>
      <c r="I8" s="3001">
        <v>60</v>
      </c>
      <c r="J8" s="3001">
        <v>60</v>
      </c>
      <c r="K8" s="3001">
        <v>60</v>
      </c>
      <c r="L8" s="3001">
        <v>60</v>
      </c>
      <c r="M8" s="3002">
        <v>60</v>
      </c>
    </row>
    <row r="9" spans="1:13">
      <c r="A9" s="957" t="s">
        <v>2762</v>
      </c>
      <c r="B9" s="3003">
        <v>70</v>
      </c>
      <c r="C9" s="3003">
        <v>70</v>
      </c>
      <c r="D9" s="3003">
        <v>60</v>
      </c>
      <c r="E9" s="3003">
        <v>60</v>
      </c>
      <c r="F9" s="3003">
        <v>60</v>
      </c>
      <c r="G9" s="3003">
        <v>60</v>
      </c>
      <c r="H9" s="3003">
        <v>60</v>
      </c>
      <c r="I9" s="3003">
        <v>50</v>
      </c>
      <c r="J9" s="3003">
        <v>50</v>
      </c>
      <c r="K9" s="3003">
        <v>50</v>
      </c>
      <c r="L9" s="3003">
        <v>50</v>
      </c>
      <c r="M9" s="3004">
        <v>50</v>
      </c>
    </row>
    <row r="10" spans="1:13">
      <c r="A10" s="957" t="s">
        <v>2763</v>
      </c>
      <c r="B10" s="3003">
        <v>20</v>
      </c>
      <c r="C10" s="3003">
        <v>20</v>
      </c>
      <c r="D10" s="3003">
        <v>15</v>
      </c>
      <c r="E10" s="3003">
        <v>15</v>
      </c>
      <c r="F10" s="3003">
        <v>15</v>
      </c>
      <c r="G10" s="3003">
        <v>15</v>
      </c>
      <c r="H10" s="3003">
        <v>15</v>
      </c>
      <c r="I10" s="3003">
        <v>10</v>
      </c>
      <c r="J10" s="3003">
        <v>10</v>
      </c>
      <c r="K10" s="3003">
        <v>10</v>
      </c>
      <c r="L10" s="3003">
        <v>10</v>
      </c>
      <c r="M10" s="3004">
        <v>10</v>
      </c>
    </row>
    <row r="11" spans="1:13">
      <c r="A11" s="957" t="s">
        <v>2764</v>
      </c>
      <c r="B11" s="3003">
        <v>30</v>
      </c>
      <c r="C11" s="3003">
        <v>30</v>
      </c>
      <c r="D11" s="3003">
        <v>25</v>
      </c>
      <c r="E11" s="3003">
        <v>25</v>
      </c>
      <c r="F11" s="3003">
        <v>25</v>
      </c>
      <c r="G11" s="3003">
        <v>25</v>
      </c>
      <c r="H11" s="3003">
        <v>25</v>
      </c>
      <c r="I11" s="3003">
        <v>20</v>
      </c>
      <c r="J11" s="3003">
        <v>20</v>
      </c>
      <c r="K11" s="3003">
        <v>20</v>
      </c>
      <c r="L11" s="3003">
        <v>20</v>
      </c>
      <c r="M11" s="3004">
        <v>20</v>
      </c>
    </row>
    <row r="12" spans="1:13">
      <c r="A12" s="957" t="s">
        <v>2765</v>
      </c>
      <c r="B12" s="3003">
        <v>45</v>
      </c>
      <c r="C12" s="3003">
        <v>45</v>
      </c>
      <c r="D12" s="3003">
        <v>40</v>
      </c>
      <c r="E12" s="3003">
        <v>40</v>
      </c>
      <c r="F12" s="3003">
        <v>40</v>
      </c>
      <c r="G12" s="3003">
        <v>40</v>
      </c>
      <c r="H12" s="3003">
        <v>40</v>
      </c>
      <c r="I12" s="3003">
        <v>35</v>
      </c>
      <c r="J12" s="3003">
        <v>35</v>
      </c>
      <c r="K12" s="3003">
        <v>35</v>
      </c>
      <c r="L12" s="3003">
        <v>35</v>
      </c>
      <c r="M12" s="3004">
        <v>35</v>
      </c>
    </row>
    <row r="13" spans="1:13">
      <c r="A13" s="957" t="s">
        <v>2766</v>
      </c>
      <c r="B13" s="3003">
        <v>60</v>
      </c>
      <c r="C13" s="3003">
        <v>60</v>
      </c>
      <c r="D13" s="3003">
        <v>50</v>
      </c>
      <c r="E13" s="3003">
        <v>50</v>
      </c>
      <c r="F13" s="3003">
        <v>50</v>
      </c>
      <c r="G13" s="3003">
        <v>50</v>
      </c>
      <c r="H13" s="3003">
        <v>50</v>
      </c>
      <c r="I13" s="3003">
        <v>40</v>
      </c>
      <c r="J13" s="3003">
        <v>40</v>
      </c>
      <c r="K13" s="3003">
        <v>40</v>
      </c>
      <c r="L13" s="3003">
        <v>40</v>
      </c>
      <c r="M13" s="3004">
        <v>40</v>
      </c>
    </row>
    <row r="14" spans="1:13">
      <c r="A14" s="957" t="s">
        <v>2767</v>
      </c>
      <c r="B14" s="3003">
        <v>50</v>
      </c>
      <c r="C14" s="3003">
        <v>50</v>
      </c>
      <c r="D14" s="3003">
        <v>40</v>
      </c>
      <c r="E14" s="3003">
        <v>40</v>
      </c>
      <c r="F14" s="3003">
        <v>40</v>
      </c>
      <c r="G14" s="3003">
        <v>40</v>
      </c>
      <c r="H14" s="3003">
        <v>40</v>
      </c>
      <c r="I14" s="3003">
        <v>30</v>
      </c>
      <c r="J14" s="3003">
        <v>30</v>
      </c>
      <c r="K14" s="3003">
        <v>30</v>
      </c>
      <c r="L14" s="3003">
        <v>30</v>
      </c>
      <c r="M14" s="3004">
        <v>30</v>
      </c>
    </row>
    <row r="15" spans="1:13">
      <c r="A15" s="975" t="s">
        <v>2768</v>
      </c>
      <c r="B15" s="3005">
        <v>20</v>
      </c>
      <c r="C15" s="3005">
        <v>20</v>
      </c>
      <c r="D15" s="3005">
        <v>15</v>
      </c>
      <c r="E15" s="3005">
        <v>15</v>
      </c>
      <c r="F15" s="3005">
        <v>15</v>
      </c>
      <c r="G15" s="3005">
        <v>15</v>
      </c>
      <c r="H15" s="3005">
        <v>15</v>
      </c>
      <c r="I15" s="3005">
        <v>10</v>
      </c>
      <c r="J15" s="3005">
        <v>10</v>
      </c>
      <c r="K15" s="3005">
        <v>10</v>
      </c>
      <c r="L15" s="3005">
        <v>10</v>
      </c>
      <c r="M15" s="3006">
        <v>10</v>
      </c>
    </row>
    <row r="16" spans="1:13">
      <c r="A16" s="958" t="s">
        <v>877</v>
      </c>
      <c r="B16" s="976">
        <v>0</v>
      </c>
      <c r="C16" s="976">
        <v>0</v>
      </c>
      <c r="D16" s="976">
        <v>0</v>
      </c>
      <c r="E16" s="976">
        <v>0</v>
      </c>
      <c r="F16" s="976">
        <v>0</v>
      </c>
      <c r="G16" s="976">
        <v>0</v>
      </c>
      <c r="H16" s="976">
        <v>0</v>
      </c>
      <c r="I16" s="976">
        <v>0</v>
      </c>
      <c r="J16" s="976">
        <v>0</v>
      </c>
      <c r="K16" s="976">
        <v>0</v>
      </c>
      <c r="L16" s="976">
        <v>0</v>
      </c>
      <c r="M16" s="976">
        <v>0</v>
      </c>
    </row>
    <row r="17" spans="1:13">
      <c r="A17" s="2402" t="s">
        <v>2769</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7" t="s">
        <v>1160</v>
      </c>
      <c r="B18" s="977"/>
      <c r="C18" s="978"/>
      <c r="D18" s="978"/>
      <c r="E18" s="977"/>
      <c r="F18" s="978"/>
      <c r="G18" s="978"/>
    </row>
    <row r="19" spans="1:13" ht="14.25" thickBot="1">
      <c r="A19" s="3005" t="s">
        <v>2452</v>
      </c>
      <c r="B19" s="3007" t="s">
        <v>2453</v>
      </c>
      <c r="C19" s="3008" t="s">
        <v>2454</v>
      </c>
      <c r="D19" s="3009"/>
      <c r="E19" s="3003" t="s">
        <v>2455</v>
      </c>
      <c r="F19" s="980"/>
      <c r="G19" s="980"/>
    </row>
    <row r="20" spans="1:13">
      <c r="A20" s="3779" t="s">
        <v>2446</v>
      </c>
      <c r="B20" s="3782" t="s">
        <v>2456</v>
      </c>
      <c r="C20" s="3010" t="s">
        <v>2457</v>
      </c>
      <c r="D20" s="3011"/>
      <c r="E20" s="3012">
        <v>1</v>
      </c>
      <c r="F20" s="3013" t="s">
        <v>2458</v>
      </c>
      <c r="G20" s="982"/>
    </row>
    <row r="21" spans="1:13">
      <c r="A21" s="3780"/>
      <c r="B21" s="3778"/>
      <c r="C21" s="3014" t="s">
        <v>2459</v>
      </c>
      <c r="D21" s="3015"/>
      <c r="E21" s="3016">
        <v>1</v>
      </c>
      <c r="F21" s="3013" t="s">
        <v>2460</v>
      </c>
      <c r="G21" s="982"/>
    </row>
    <row r="22" spans="1:13">
      <c r="A22" s="3780"/>
      <c r="B22" s="3778"/>
      <c r="C22" s="3014" t="s">
        <v>2461</v>
      </c>
      <c r="D22" s="3015"/>
      <c r="E22" s="3016">
        <v>0.9</v>
      </c>
      <c r="F22" s="3013" t="s">
        <v>2462</v>
      </c>
      <c r="G22" s="982"/>
    </row>
    <row r="23" spans="1:13">
      <c r="A23" s="3780"/>
      <c r="B23" s="3778"/>
      <c r="C23" s="3014" t="s">
        <v>2463</v>
      </c>
      <c r="D23" s="3015"/>
      <c r="E23" s="3016">
        <v>0.9</v>
      </c>
      <c r="F23" s="3013" t="s">
        <v>2464</v>
      </c>
      <c r="G23" s="982"/>
    </row>
    <row r="24" spans="1:13">
      <c r="A24" s="3780"/>
      <c r="B24" s="3778"/>
      <c r="C24" s="3014" t="s">
        <v>2465</v>
      </c>
      <c r="D24" s="3015"/>
      <c r="E24" s="3016">
        <v>0.8</v>
      </c>
      <c r="F24" s="3013" t="s">
        <v>2466</v>
      </c>
      <c r="G24" s="982"/>
    </row>
    <row r="25" spans="1:13" ht="14.25" thickBot="1">
      <c r="A25" s="3781"/>
      <c r="B25" s="3783"/>
      <c r="C25" s="3017" t="s">
        <v>2467</v>
      </c>
      <c r="D25" s="3018"/>
      <c r="E25" s="3019">
        <v>0.8</v>
      </c>
      <c r="F25" s="3013" t="s">
        <v>2468</v>
      </c>
      <c r="G25" s="982"/>
    </row>
    <row r="26" spans="1:13" ht="14.25" thickBot="1">
      <c r="A26" s="3020" t="s">
        <v>2447</v>
      </c>
      <c r="B26" s="3021" t="s">
        <v>2456</v>
      </c>
      <c r="C26" s="3022" t="s">
        <v>2469</v>
      </c>
      <c r="D26" s="3023"/>
      <c r="E26" s="3024">
        <v>1</v>
      </c>
      <c r="F26" s="3013" t="s">
        <v>2470</v>
      </c>
      <c r="G26" s="982"/>
    </row>
    <row r="27" spans="1:13">
      <c r="A27" s="3784" t="s">
        <v>2451</v>
      </c>
      <c r="B27" s="3782" t="s">
        <v>2451</v>
      </c>
      <c r="C27" s="3010" t="s">
        <v>2471</v>
      </c>
      <c r="D27" s="3011"/>
      <c r="E27" s="3012">
        <v>1</v>
      </c>
      <c r="F27" s="3013" t="s">
        <v>2472</v>
      </c>
      <c r="G27" s="982"/>
    </row>
    <row r="28" spans="1:13">
      <c r="A28" s="3785"/>
      <c r="B28" s="3778"/>
      <c r="C28" s="3014" t="s">
        <v>2473</v>
      </c>
      <c r="D28" s="3015"/>
      <c r="E28" s="3016">
        <v>1</v>
      </c>
      <c r="F28" s="3013" t="s">
        <v>2474</v>
      </c>
      <c r="G28" s="982"/>
    </row>
    <row r="29" spans="1:13">
      <c r="A29" s="3785"/>
      <c r="B29" s="3778"/>
      <c r="C29" s="3014" t="s">
        <v>2475</v>
      </c>
      <c r="D29" s="3015"/>
      <c r="E29" s="3016">
        <v>0.8</v>
      </c>
      <c r="F29" s="3013" t="s">
        <v>2476</v>
      </c>
      <c r="G29" s="982"/>
    </row>
    <row r="30" spans="1:13">
      <c r="A30" s="3785"/>
      <c r="B30" s="3778"/>
      <c r="C30" s="3014" t="s">
        <v>2477</v>
      </c>
      <c r="D30" s="3015"/>
      <c r="E30" s="3016">
        <v>0.8</v>
      </c>
      <c r="F30" s="3013" t="s">
        <v>2478</v>
      </c>
      <c r="G30" s="982"/>
    </row>
    <row r="31" spans="1:13">
      <c r="A31" s="3785"/>
      <c r="B31" s="3778"/>
      <c r="C31" s="3014" t="s">
        <v>2479</v>
      </c>
      <c r="D31" s="3015"/>
      <c r="E31" s="3016">
        <v>0.8</v>
      </c>
      <c r="F31" s="3013" t="s">
        <v>2480</v>
      </c>
      <c r="G31" s="982"/>
    </row>
    <row r="32" spans="1:13">
      <c r="A32" s="3785"/>
      <c r="B32" s="3778"/>
      <c r="C32" s="3014" t="s">
        <v>2481</v>
      </c>
      <c r="D32" s="3015"/>
      <c r="E32" s="3016">
        <v>0.7</v>
      </c>
      <c r="F32" s="3013" t="s">
        <v>2482</v>
      </c>
      <c r="G32" s="982"/>
    </row>
    <row r="33" spans="1:7">
      <c r="A33" s="3785"/>
      <c r="B33" s="3778"/>
      <c r="C33" s="3014" t="s">
        <v>2483</v>
      </c>
      <c r="D33" s="3015"/>
      <c r="E33" s="3016">
        <v>0.8</v>
      </c>
      <c r="F33" s="3013" t="s">
        <v>2484</v>
      </c>
      <c r="G33" s="982"/>
    </row>
    <row r="34" spans="1:7">
      <c r="A34" s="3785"/>
      <c r="B34" s="3778"/>
      <c r="C34" s="3014" t="s">
        <v>2485</v>
      </c>
      <c r="D34" s="3015"/>
      <c r="E34" s="3016">
        <v>0.6</v>
      </c>
      <c r="F34" s="3013" t="s">
        <v>2486</v>
      </c>
      <c r="G34" s="982"/>
    </row>
    <row r="35" spans="1:7">
      <c r="A35" s="3785"/>
      <c r="B35" s="3778"/>
      <c r="C35" s="3014" t="s">
        <v>2487</v>
      </c>
      <c r="D35" s="3015"/>
      <c r="E35" s="3016">
        <v>0.2</v>
      </c>
      <c r="F35" s="3013" t="s">
        <v>2488</v>
      </c>
      <c r="G35" s="982"/>
    </row>
    <row r="36" spans="1:7">
      <c r="A36" s="3785"/>
      <c r="B36" s="3778"/>
      <c r="C36" s="3014" t="s">
        <v>2489</v>
      </c>
      <c r="D36" s="3015"/>
      <c r="E36" s="3016">
        <v>0.2</v>
      </c>
      <c r="F36" s="3013" t="s">
        <v>2490</v>
      </c>
      <c r="G36" s="982"/>
    </row>
    <row r="37" spans="1:7">
      <c r="A37" s="3785"/>
      <c r="B37" s="3776" t="s">
        <v>2491</v>
      </c>
      <c r="C37" s="3014" t="s">
        <v>2492</v>
      </c>
      <c r="D37" s="3015"/>
      <c r="E37" s="3016">
        <v>0.6</v>
      </c>
      <c r="F37" s="3013" t="s">
        <v>2493</v>
      </c>
      <c r="G37" s="982"/>
    </row>
    <row r="38" spans="1:7">
      <c r="A38" s="3785"/>
      <c r="B38" s="3778"/>
      <c r="C38" s="3014" t="s">
        <v>2494</v>
      </c>
      <c r="D38" s="3015"/>
      <c r="E38" s="3016">
        <v>0.6</v>
      </c>
      <c r="F38" s="3013" t="s">
        <v>2495</v>
      </c>
      <c r="G38" s="982"/>
    </row>
    <row r="39" spans="1:7" ht="14.25" thickBot="1">
      <c r="A39" s="3786"/>
      <c r="B39" s="3783"/>
      <c r="C39" s="3017" t="s">
        <v>2496</v>
      </c>
      <c r="D39" s="3018"/>
      <c r="E39" s="3019">
        <v>0.6</v>
      </c>
      <c r="F39" s="3013" t="s">
        <v>2497</v>
      </c>
      <c r="G39" s="982"/>
    </row>
    <row r="40" spans="1:7" ht="14.25" thickBot="1">
      <c r="A40" s="3020" t="s">
        <v>2448</v>
      </c>
      <c r="B40" s="3021" t="s">
        <v>2448</v>
      </c>
      <c r="C40" s="3022" t="s">
        <v>2498</v>
      </c>
      <c r="D40" s="3023"/>
      <c r="E40" s="3024">
        <v>1</v>
      </c>
      <c r="F40" s="3013" t="s">
        <v>2499</v>
      </c>
      <c r="G40" s="982"/>
    </row>
    <row r="41" spans="1:7">
      <c r="A41" s="3779" t="s">
        <v>2449</v>
      </c>
      <c r="B41" s="3782" t="s">
        <v>2500</v>
      </c>
      <c r="C41" s="3010" t="s">
        <v>2501</v>
      </c>
      <c r="D41" s="3011"/>
      <c r="E41" s="3012">
        <v>1</v>
      </c>
      <c r="F41" s="3013" t="s">
        <v>2502</v>
      </c>
      <c r="G41" s="982"/>
    </row>
    <row r="42" spans="1:7">
      <c r="A42" s="3780"/>
      <c r="B42" s="3778"/>
      <c r="C42" s="3014" t="s">
        <v>2503</v>
      </c>
      <c r="D42" s="3015"/>
      <c r="E42" s="3016">
        <v>1</v>
      </c>
      <c r="F42" s="3013" t="s">
        <v>2504</v>
      </c>
      <c r="G42" s="982"/>
    </row>
    <row r="43" spans="1:7">
      <c r="A43" s="3780"/>
      <c r="B43" s="3777"/>
      <c r="C43" s="3014" t="s">
        <v>2505</v>
      </c>
      <c r="D43" s="3015"/>
      <c r="E43" s="3016">
        <v>1.5</v>
      </c>
      <c r="F43" s="3013" t="s">
        <v>2506</v>
      </c>
      <c r="G43" s="982"/>
    </row>
    <row r="44" spans="1:7">
      <c r="A44" s="3780"/>
      <c r="B44" s="3025" t="s">
        <v>2451</v>
      </c>
      <c r="C44" s="3014" t="s">
        <v>2450</v>
      </c>
      <c r="D44" s="3015"/>
      <c r="E44" s="3016">
        <v>2</v>
      </c>
      <c r="F44" s="3013" t="s">
        <v>2507</v>
      </c>
      <c r="G44" s="982"/>
    </row>
    <row r="45" spans="1:7">
      <c r="A45" s="3780"/>
      <c r="B45" s="3776" t="s">
        <v>2508</v>
      </c>
      <c r="C45" s="3014" t="s">
        <v>2509</v>
      </c>
      <c r="D45" s="3015"/>
      <c r="E45" s="3016">
        <v>1</v>
      </c>
      <c r="F45" s="3013" t="s">
        <v>2510</v>
      </c>
      <c r="G45" s="982"/>
    </row>
    <row r="46" spans="1:7">
      <c r="A46" s="3780"/>
      <c r="B46" s="3778"/>
      <c r="C46" s="3014" t="s">
        <v>2511</v>
      </c>
      <c r="D46" s="3015"/>
      <c r="E46" s="3016">
        <v>1</v>
      </c>
      <c r="F46" s="3013" t="s">
        <v>2512</v>
      </c>
      <c r="G46" s="982"/>
    </row>
    <row r="47" spans="1:7">
      <c r="A47" s="3780"/>
      <c r="B47" s="3778"/>
      <c r="C47" s="3014" t="s">
        <v>2513</v>
      </c>
      <c r="D47" s="3015"/>
      <c r="E47" s="3016">
        <v>1</v>
      </c>
      <c r="F47" s="3013" t="s">
        <v>2514</v>
      </c>
      <c r="G47" s="982"/>
    </row>
    <row r="48" spans="1:7">
      <c r="A48" s="3780"/>
      <c r="B48" s="3778"/>
      <c r="C48" s="3014" t="s">
        <v>2515</v>
      </c>
      <c r="D48" s="3015"/>
      <c r="E48" s="3016">
        <v>1</v>
      </c>
      <c r="F48" s="3013" t="s">
        <v>2516</v>
      </c>
      <c r="G48" s="982"/>
    </row>
    <row r="49" spans="1:9">
      <c r="A49" s="3780"/>
      <c r="B49" s="3778"/>
      <c r="C49" s="3014" t="s">
        <v>2517</v>
      </c>
      <c r="D49" s="3015"/>
      <c r="E49" s="3016">
        <v>1</v>
      </c>
      <c r="F49" s="3013" t="s">
        <v>2518</v>
      </c>
      <c r="G49" s="982"/>
    </row>
    <row r="50" spans="1:9">
      <c r="A50" s="3780"/>
      <c r="B50" s="3778"/>
      <c r="C50" s="3014" t="s">
        <v>2519</v>
      </c>
      <c r="D50" s="3015"/>
      <c r="E50" s="3016">
        <v>1</v>
      </c>
      <c r="F50" s="3013" t="s">
        <v>2520</v>
      </c>
      <c r="G50" s="982"/>
    </row>
    <row r="51" spans="1:9" ht="14.25" thickBot="1">
      <c r="A51" s="3781"/>
      <c r="B51" s="3783"/>
      <c r="C51" s="3017" t="s">
        <v>2521</v>
      </c>
      <c r="D51" s="3018"/>
      <c r="E51" s="3019">
        <v>1</v>
      </c>
      <c r="F51" s="3013" t="s">
        <v>2522</v>
      </c>
      <c r="G51" s="982"/>
    </row>
    <row r="52" spans="1:9">
      <c r="A52" s="1326"/>
      <c r="B52" s="1326"/>
      <c r="C52" s="1326"/>
      <c r="D52" s="1326"/>
      <c r="E52" s="1326"/>
      <c r="F52" s="981"/>
      <c r="G52" s="981"/>
    </row>
    <row r="54" spans="1:9">
      <c r="A54" s="983"/>
      <c r="B54" s="958" t="s">
        <v>1162</v>
      </c>
      <c r="C54" s="958" t="s">
        <v>1162</v>
      </c>
      <c r="D54" s="958" t="s">
        <v>1162</v>
      </c>
      <c r="E54" s="997" t="s">
        <v>1162</v>
      </c>
      <c r="F54" s="997" t="s">
        <v>1163</v>
      </c>
      <c r="G54" s="997" t="s">
        <v>1162</v>
      </c>
      <c r="I54" s="956"/>
    </row>
    <row r="55" spans="1:9">
      <c r="A55" s="984"/>
      <c r="B55" s="997" t="s">
        <v>929</v>
      </c>
      <c r="C55" s="997" t="s">
        <v>929</v>
      </c>
      <c r="D55" s="997" t="s">
        <v>929</v>
      </c>
      <c r="E55" s="958" t="s">
        <v>951</v>
      </c>
      <c r="F55" s="958" t="s">
        <v>1158</v>
      </c>
      <c r="G55" s="958" t="s">
        <v>1164</v>
      </c>
      <c r="I55" s="956"/>
    </row>
    <row r="56" spans="1:9">
      <c r="A56" s="985"/>
      <c r="B56" s="958">
        <v>1</v>
      </c>
      <c r="C56" s="958">
        <v>2</v>
      </c>
      <c r="D56" s="958">
        <v>3</v>
      </c>
      <c r="E56" s="979" t="s">
        <v>2770</v>
      </c>
      <c r="F56" s="979" t="s">
        <v>2770</v>
      </c>
      <c r="G56" s="979" t="s">
        <v>2770</v>
      </c>
      <c r="I56" s="956"/>
    </row>
    <row r="57" spans="1:9">
      <c r="A57" s="996" t="s">
        <v>836</v>
      </c>
      <c r="B57" s="3003">
        <v>0.7</v>
      </c>
      <c r="C57" s="3003">
        <v>0.4</v>
      </c>
      <c r="D57" s="3003">
        <v>0.3</v>
      </c>
      <c r="E57" s="3009">
        <v>0.3</v>
      </c>
      <c r="F57" s="3003">
        <v>0.3</v>
      </c>
      <c r="G57" s="3003">
        <v>0.2</v>
      </c>
      <c r="I57" s="956"/>
    </row>
    <row r="58" spans="1:9">
      <c r="A58" s="996" t="s">
        <v>837</v>
      </c>
      <c r="B58" s="3003">
        <v>0.7</v>
      </c>
      <c r="C58" s="3003">
        <v>0.4</v>
      </c>
      <c r="D58" s="3003">
        <v>0.3</v>
      </c>
      <c r="E58" s="3003">
        <v>0.3</v>
      </c>
      <c r="F58" s="3003">
        <v>0.3</v>
      </c>
      <c r="G58" s="3003">
        <v>0.2</v>
      </c>
      <c r="I58" s="956"/>
    </row>
    <row r="59" spans="1:9">
      <c r="A59" s="996" t="s">
        <v>838</v>
      </c>
      <c r="B59" s="3003">
        <v>0.6</v>
      </c>
      <c r="C59" s="3003">
        <v>0.3</v>
      </c>
      <c r="D59" s="3003">
        <v>0.25</v>
      </c>
      <c r="E59" s="3003">
        <v>0.25</v>
      </c>
      <c r="F59" s="3003">
        <v>0.25</v>
      </c>
      <c r="G59" s="3003">
        <v>0.15</v>
      </c>
      <c r="I59" s="956"/>
    </row>
    <row r="60" spans="1:9">
      <c r="A60" s="996" t="s">
        <v>839</v>
      </c>
      <c r="B60" s="3003">
        <v>0.6</v>
      </c>
      <c r="C60" s="3003">
        <v>0.3</v>
      </c>
      <c r="D60" s="3003">
        <v>0.25</v>
      </c>
      <c r="E60" s="3003">
        <v>0.25</v>
      </c>
      <c r="F60" s="3003">
        <v>0.25</v>
      </c>
      <c r="G60" s="3003">
        <v>0.15</v>
      </c>
      <c r="I60" s="956"/>
    </row>
    <row r="61" spans="1:9" s="972" customFormat="1">
      <c r="A61" s="996" t="s">
        <v>840</v>
      </c>
      <c r="B61" s="3003">
        <v>0.6</v>
      </c>
      <c r="C61" s="3003">
        <v>0.3</v>
      </c>
      <c r="D61" s="3003">
        <v>0.25</v>
      </c>
      <c r="E61" s="3003">
        <v>0.25</v>
      </c>
      <c r="F61" s="3003">
        <v>0.25</v>
      </c>
      <c r="G61" s="3003">
        <v>0.15</v>
      </c>
    </row>
    <row r="62" spans="1:9" s="972" customFormat="1">
      <c r="A62" s="996" t="s">
        <v>841</v>
      </c>
      <c r="B62" s="3003">
        <v>0.6</v>
      </c>
      <c r="C62" s="3003">
        <v>0.3</v>
      </c>
      <c r="D62" s="3003">
        <v>0.25</v>
      </c>
      <c r="E62" s="3003">
        <v>0.25</v>
      </c>
      <c r="F62" s="3003">
        <v>0.25</v>
      </c>
      <c r="G62" s="3003">
        <v>0.15</v>
      </c>
    </row>
    <row r="63" spans="1:9" s="972" customFormat="1">
      <c r="A63" s="996" t="s">
        <v>842</v>
      </c>
      <c r="B63" s="3003">
        <v>0.6</v>
      </c>
      <c r="C63" s="3003">
        <v>0.3</v>
      </c>
      <c r="D63" s="3003">
        <v>0.25</v>
      </c>
      <c r="E63" s="3003">
        <v>0.25</v>
      </c>
      <c r="F63" s="3003">
        <v>0.25</v>
      </c>
      <c r="G63" s="3003">
        <v>0.15</v>
      </c>
    </row>
    <row r="64" spans="1:9" s="972" customFormat="1">
      <c r="A64" s="996" t="s">
        <v>843</v>
      </c>
      <c r="B64" s="3003">
        <v>0.5</v>
      </c>
      <c r="C64" s="3003">
        <v>0.2</v>
      </c>
      <c r="D64" s="3003">
        <v>0.2</v>
      </c>
      <c r="E64" s="3003">
        <v>0.2</v>
      </c>
      <c r="F64" s="3003">
        <v>0.2</v>
      </c>
      <c r="G64" s="3003">
        <v>0.1</v>
      </c>
    </row>
    <row r="65" spans="1:8" s="972" customFormat="1">
      <c r="A65" s="996" t="s">
        <v>844</v>
      </c>
      <c r="B65" s="3003">
        <v>0.5</v>
      </c>
      <c r="C65" s="3003">
        <v>0.2</v>
      </c>
      <c r="D65" s="3003">
        <v>0.2</v>
      </c>
      <c r="E65" s="3003">
        <v>0.2</v>
      </c>
      <c r="F65" s="3003">
        <v>0.2</v>
      </c>
      <c r="G65" s="3003">
        <v>0.1</v>
      </c>
    </row>
    <row r="66" spans="1:8" s="972" customFormat="1">
      <c r="A66" s="996" t="s">
        <v>845</v>
      </c>
      <c r="B66" s="3003">
        <v>0.5</v>
      </c>
      <c r="C66" s="3003">
        <v>0.2</v>
      </c>
      <c r="D66" s="3003">
        <v>0.2</v>
      </c>
      <c r="E66" s="3003">
        <v>0.2</v>
      </c>
      <c r="F66" s="3003">
        <v>0.2</v>
      </c>
      <c r="G66" s="3003">
        <v>0.1</v>
      </c>
    </row>
    <row r="67" spans="1:8" s="972" customFormat="1">
      <c r="A67" s="996" t="s">
        <v>846</v>
      </c>
      <c r="B67" s="3003">
        <v>0.5</v>
      </c>
      <c r="C67" s="3003">
        <v>0.2</v>
      </c>
      <c r="D67" s="3003">
        <v>0.2</v>
      </c>
      <c r="E67" s="3003">
        <v>0.2</v>
      </c>
      <c r="F67" s="3003">
        <v>0.2</v>
      </c>
      <c r="G67" s="3003">
        <v>0.1</v>
      </c>
    </row>
    <row r="68" spans="1:8" s="972" customFormat="1">
      <c r="A68" s="996" t="s">
        <v>847</v>
      </c>
      <c r="B68" s="3003">
        <v>0.5</v>
      </c>
      <c r="C68" s="3003">
        <v>0.2</v>
      </c>
      <c r="D68" s="3003">
        <v>0.2</v>
      </c>
      <c r="E68" s="3003">
        <v>0.2</v>
      </c>
      <c r="F68" s="3003">
        <v>0.2</v>
      </c>
      <c r="G68" s="3003">
        <v>0.1</v>
      </c>
    </row>
    <row r="70" spans="1:8" s="972" customFormat="1">
      <c r="A70" s="982"/>
      <c r="B70" s="977"/>
      <c r="C70" s="977"/>
      <c r="D70" s="977" t="s">
        <v>1165</v>
      </c>
      <c r="E70" s="977"/>
      <c r="F70" s="977"/>
    </row>
    <row r="71" spans="1:8" s="972" customFormat="1">
      <c r="A71" s="998" t="s">
        <v>1166</v>
      </c>
      <c r="B71" s="998" t="s">
        <v>1167</v>
      </c>
      <c r="C71" s="998" t="s">
        <v>1168</v>
      </c>
      <c r="D71" s="998" t="s">
        <v>1169</v>
      </c>
      <c r="E71" s="998" t="s">
        <v>1170</v>
      </c>
      <c r="F71" s="998" t="s">
        <v>1171</v>
      </c>
    </row>
    <row r="72" spans="1:8" s="972" customFormat="1">
      <c r="A72" s="998"/>
      <c r="B72" s="998"/>
      <c r="C72" s="998" t="s">
        <v>2523</v>
      </c>
      <c r="D72" s="998"/>
      <c r="E72" s="986" t="s">
        <v>1159</v>
      </c>
      <c r="F72" s="998" t="s">
        <v>1159</v>
      </c>
    </row>
    <row r="73" spans="1:8" s="972" customFormat="1">
      <c r="A73" s="3025">
        <v>1</v>
      </c>
      <c r="B73" s="3776" t="s">
        <v>2524</v>
      </c>
      <c r="C73" s="3003" t="s">
        <v>2525</v>
      </c>
      <c r="D73" s="3003" t="s">
        <v>2526</v>
      </c>
      <c r="E73" s="3026">
        <v>0.2</v>
      </c>
      <c r="F73" s="3025">
        <v>25</v>
      </c>
      <c r="H73" s="972">
        <f>SUMIF(C71:C139,基准地价!C8,E71:E139)</f>
        <v>0</v>
      </c>
    </row>
    <row r="74" spans="1:8" s="972" customFormat="1" ht="24">
      <c r="A74" s="3025">
        <v>2</v>
      </c>
      <c r="B74" s="3778"/>
      <c r="C74" s="3003" t="s">
        <v>2527</v>
      </c>
      <c r="D74" s="3003" t="s">
        <v>2528</v>
      </c>
      <c r="E74" s="3026">
        <v>0.2</v>
      </c>
      <c r="F74" s="3025">
        <v>25</v>
      </c>
    </row>
    <row r="75" spans="1:8" s="972" customFormat="1" ht="24">
      <c r="A75" s="3025">
        <v>3</v>
      </c>
      <c r="B75" s="3778"/>
      <c r="C75" s="3003" t="s">
        <v>2529</v>
      </c>
      <c r="D75" s="3003" t="s">
        <v>2530</v>
      </c>
      <c r="E75" s="3026">
        <v>0.2</v>
      </c>
      <c r="F75" s="3025">
        <v>25</v>
      </c>
    </row>
    <row r="76" spans="1:8" s="972" customFormat="1">
      <c r="A76" s="3025">
        <v>4</v>
      </c>
      <c r="B76" s="3778"/>
      <c r="C76" s="3003" t="s">
        <v>2531</v>
      </c>
      <c r="D76" s="3003" t="s">
        <v>2532</v>
      </c>
      <c r="E76" s="3026">
        <v>0.15</v>
      </c>
      <c r="F76" s="3025">
        <v>20</v>
      </c>
    </row>
    <row r="77" spans="1:8" s="972" customFormat="1" ht="24">
      <c r="A77" s="3025">
        <v>5</v>
      </c>
      <c r="B77" s="3778"/>
      <c r="C77" s="3003" t="s">
        <v>2533</v>
      </c>
      <c r="D77" s="3003" t="s">
        <v>2534</v>
      </c>
      <c r="E77" s="3026">
        <v>0.15</v>
      </c>
      <c r="F77" s="3025">
        <v>20</v>
      </c>
    </row>
    <row r="78" spans="1:8" s="972" customFormat="1" ht="24">
      <c r="A78" s="3025">
        <v>6</v>
      </c>
      <c r="B78" s="3778"/>
      <c r="C78" s="3003" t="s">
        <v>2535</v>
      </c>
      <c r="D78" s="3003" t="s">
        <v>2536</v>
      </c>
      <c r="E78" s="3026">
        <v>0.15</v>
      </c>
      <c r="F78" s="3025">
        <v>20</v>
      </c>
    </row>
    <row r="79" spans="1:8" s="972" customFormat="1" ht="24">
      <c r="A79" s="3025">
        <v>7</v>
      </c>
      <c r="B79" s="3778"/>
      <c r="C79" s="3003" t="s">
        <v>2537</v>
      </c>
      <c r="D79" s="3003" t="s">
        <v>2538</v>
      </c>
      <c r="E79" s="3026">
        <v>0.15</v>
      </c>
      <c r="F79" s="3025">
        <v>20</v>
      </c>
    </row>
    <row r="80" spans="1:8" s="972" customFormat="1" ht="24">
      <c r="A80" s="3025">
        <v>8</v>
      </c>
      <c r="B80" s="3778"/>
      <c r="C80" s="3003" t="s">
        <v>2539</v>
      </c>
      <c r="D80" s="3003" t="s">
        <v>2540</v>
      </c>
      <c r="E80" s="3026">
        <v>0.1</v>
      </c>
      <c r="F80" s="3025">
        <v>15</v>
      </c>
    </row>
    <row r="81" spans="1:6" s="972" customFormat="1" ht="24">
      <c r="A81" s="3025">
        <v>9</v>
      </c>
      <c r="B81" s="3778"/>
      <c r="C81" s="3003" t="s">
        <v>2541</v>
      </c>
      <c r="D81" s="3003" t="s">
        <v>2542</v>
      </c>
      <c r="E81" s="3026">
        <v>0.1</v>
      </c>
      <c r="F81" s="3025">
        <v>15</v>
      </c>
    </row>
    <row r="82" spans="1:6" s="972" customFormat="1" ht="24">
      <c r="A82" s="3025">
        <v>10</v>
      </c>
      <c r="B82" s="3778"/>
      <c r="C82" s="3003" t="s">
        <v>2543</v>
      </c>
      <c r="D82" s="3003" t="s">
        <v>2544</v>
      </c>
      <c r="E82" s="3026">
        <v>0.1</v>
      </c>
      <c r="F82" s="3025">
        <v>15</v>
      </c>
    </row>
    <row r="83" spans="1:6" s="972" customFormat="1" ht="24">
      <c r="A83" s="3025">
        <v>11</v>
      </c>
      <c r="B83" s="3778"/>
      <c r="C83" s="3003" t="s">
        <v>2545</v>
      </c>
      <c r="D83" s="3003" t="s">
        <v>2546</v>
      </c>
      <c r="E83" s="3026">
        <v>0.1</v>
      </c>
      <c r="F83" s="3025">
        <v>15</v>
      </c>
    </row>
    <row r="84" spans="1:6" s="972" customFormat="1" ht="24">
      <c r="A84" s="3025">
        <v>12</v>
      </c>
      <c r="B84" s="3778"/>
      <c r="C84" s="3003" t="s">
        <v>2547</v>
      </c>
      <c r="D84" s="3003" t="s">
        <v>2548</v>
      </c>
      <c r="E84" s="3026">
        <v>0.1</v>
      </c>
      <c r="F84" s="3025">
        <v>15</v>
      </c>
    </row>
    <row r="85" spans="1:6" s="972" customFormat="1">
      <c r="A85" s="3025">
        <v>13</v>
      </c>
      <c r="B85" s="3778"/>
      <c r="C85" s="3003" t="s">
        <v>2549</v>
      </c>
      <c r="D85" s="3003" t="s">
        <v>2550</v>
      </c>
      <c r="E85" s="3026">
        <v>0.1</v>
      </c>
      <c r="F85" s="3025">
        <v>15</v>
      </c>
    </row>
    <row r="86" spans="1:6" s="972" customFormat="1">
      <c r="A86" s="3025">
        <v>14</v>
      </c>
      <c r="B86" s="3778"/>
      <c r="C86" s="3003" t="s">
        <v>2551</v>
      </c>
      <c r="D86" s="3003" t="s">
        <v>2552</v>
      </c>
      <c r="E86" s="3026">
        <v>0.1</v>
      </c>
      <c r="F86" s="3025">
        <v>15</v>
      </c>
    </row>
    <row r="87" spans="1:6" s="972" customFormat="1">
      <c r="A87" s="3025">
        <v>15</v>
      </c>
      <c r="B87" s="3778"/>
      <c r="C87" s="3003" t="s">
        <v>2553</v>
      </c>
      <c r="D87" s="3003" t="s">
        <v>2554</v>
      </c>
      <c r="E87" s="3026">
        <v>0.1</v>
      </c>
      <c r="F87" s="3025">
        <v>15</v>
      </c>
    </row>
    <row r="88" spans="1:6" s="972" customFormat="1" ht="24">
      <c r="A88" s="3025">
        <v>16</v>
      </c>
      <c r="B88" s="3778"/>
      <c r="C88" s="3003" t="s">
        <v>2555</v>
      </c>
      <c r="D88" s="3003" t="s">
        <v>2556</v>
      </c>
      <c r="E88" s="3026">
        <v>0.1</v>
      </c>
      <c r="F88" s="3025">
        <v>15</v>
      </c>
    </row>
    <row r="89" spans="1:6" s="972" customFormat="1" ht="24">
      <c r="A89" s="3025">
        <v>17</v>
      </c>
      <c r="B89" s="3777"/>
      <c r="C89" s="3003" t="s">
        <v>2557</v>
      </c>
      <c r="D89" s="3003" t="s">
        <v>2558</v>
      </c>
      <c r="E89" s="3026">
        <v>0.1</v>
      </c>
      <c r="F89" s="3025">
        <v>15</v>
      </c>
    </row>
    <row r="90" spans="1:6" s="972" customFormat="1">
      <c r="A90" s="3025">
        <v>18</v>
      </c>
      <c r="B90" s="3776" t="s">
        <v>2559</v>
      </c>
      <c r="C90" s="3003" t="s">
        <v>2560</v>
      </c>
      <c r="D90" s="3003" t="s">
        <v>2561</v>
      </c>
      <c r="E90" s="3026">
        <v>0.2</v>
      </c>
      <c r="F90" s="3025">
        <v>25</v>
      </c>
    </row>
    <row r="91" spans="1:6" s="972" customFormat="1" ht="24">
      <c r="A91" s="3025">
        <v>19</v>
      </c>
      <c r="B91" s="3778"/>
      <c r="C91" s="3003" t="s">
        <v>2562</v>
      </c>
      <c r="D91" s="3003" t="s">
        <v>2563</v>
      </c>
      <c r="E91" s="3026">
        <v>0.2</v>
      </c>
      <c r="F91" s="3025">
        <v>25</v>
      </c>
    </row>
    <row r="92" spans="1:6" s="972" customFormat="1">
      <c r="A92" s="3025">
        <v>20</v>
      </c>
      <c r="B92" s="3778"/>
      <c r="C92" s="3003" t="s">
        <v>2564</v>
      </c>
      <c r="D92" s="3003" t="s">
        <v>2565</v>
      </c>
      <c r="E92" s="3026">
        <v>0.15</v>
      </c>
      <c r="F92" s="3025">
        <v>20</v>
      </c>
    </row>
    <row r="93" spans="1:6" s="972" customFormat="1" ht="24">
      <c r="A93" s="3025">
        <v>21</v>
      </c>
      <c r="B93" s="3778"/>
      <c r="C93" s="3003" t="s">
        <v>2566</v>
      </c>
      <c r="D93" s="3003" t="s">
        <v>2567</v>
      </c>
      <c r="E93" s="3026">
        <v>0.15</v>
      </c>
      <c r="F93" s="3025">
        <v>20</v>
      </c>
    </row>
    <row r="94" spans="1:6" s="972" customFormat="1" ht="24">
      <c r="A94" s="3025">
        <v>22</v>
      </c>
      <c r="B94" s="3778"/>
      <c r="C94" s="3003" t="s">
        <v>2568</v>
      </c>
      <c r="D94" s="3003" t="s">
        <v>2569</v>
      </c>
      <c r="E94" s="3026">
        <v>0.15</v>
      </c>
      <c r="F94" s="3025">
        <v>20</v>
      </c>
    </row>
    <row r="95" spans="1:6" s="972" customFormat="1" ht="36">
      <c r="A95" s="3025">
        <v>23</v>
      </c>
      <c r="B95" s="3778"/>
      <c r="C95" s="3003" t="s">
        <v>2570</v>
      </c>
      <c r="D95" s="3003" t="s">
        <v>2571</v>
      </c>
      <c r="E95" s="3026">
        <v>0.15</v>
      </c>
      <c r="F95" s="3025">
        <v>20</v>
      </c>
    </row>
    <row r="96" spans="1:6" s="972" customFormat="1">
      <c r="A96" s="3025">
        <v>24</v>
      </c>
      <c r="B96" s="3778"/>
      <c r="C96" s="3003" t="s">
        <v>2572</v>
      </c>
      <c r="D96" s="3003" t="s">
        <v>2573</v>
      </c>
      <c r="E96" s="3026">
        <v>0.1</v>
      </c>
      <c r="F96" s="3025">
        <v>15</v>
      </c>
    </row>
    <row r="97" spans="1:6" s="972" customFormat="1" ht="24">
      <c r="A97" s="3025">
        <v>25</v>
      </c>
      <c r="B97" s="3778"/>
      <c r="C97" s="3003" t="s">
        <v>2574</v>
      </c>
      <c r="D97" s="3003" t="s">
        <v>2575</v>
      </c>
      <c r="E97" s="3026">
        <v>0.1</v>
      </c>
      <c r="F97" s="3025">
        <v>15</v>
      </c>
    </row>
    <row r="98" spans="1:6" s="972" customFormat="1" ht="24">
      <c r="A98" s="3025">
        <v>26</v>
      </c>
      <c r="B98" s="3778"/>
      <c r="C98" s="3003" t="s">
        <v>2576</v>
      </c>
      <c r="D98" s="3003" t="s">
        <v>2577</v>
      </c>
      <c r="E98" s="3026">
        <v>0.1</v>
      </c>
      <c r="F98" s="3025">
        <v>15</v>
      </c>
    </row>
    <row r="99" spans="1:6" s="972" customFormat="1" ht="24">
      <c r="A99" s="3025">
        <v>27</v>
      </c>
      <c r="B99" s="3778"/>
      <c r="C99" s="3003" t="s">
        <v>2578</v>
      </c>
      <c r="D99" s="3003" t="s">
        <v>2579</v>
      </c>
      <c r="E99" s="3026">
        <v>0.1</v>
      </c>
      <c r="F99" s="3025">
        <v>15</v>
      </c>
    </row>
    <row r="100" spans="1:6" s="972" customFormat="1" ht="24">
      <c r="A100" s="3025">
        <v>28</v>
      </c>
      <c r="B100" s="3778"/>
      <c r="C100" s="3003" t="s">
        <v>2580</v>
      </c>
      <c r="D100" s="3003" t="s">
        <v>2581</v>
      </c>
      <c r="E100" s="3026">
        <v>0.1</v>
      </c>
      <c r="F100" s="3025">
        <v>15</v>
      </c>
    </row>
    <row r="101" spans="1:6" s="972" customFormat="1" ht="24">
      <c r="A101" s="3025">
        <v>29</v>
      </c>
      <c r="B101" s="3778"/>
      <c r="C101" s="3003" t="s">
        <v>2582</v>
      </c>
      <c r="D101" s="3003" t="s">
        <v>2583</v>
      </c>
      <c r="E101" s="3026">
        <v>0.1</v>
      </c>
      <c r="F101" s="3025">
        <v>15</v>
      </c>
    </row>
    <row r="102" spans="1:6" s="972" customFormat="1" ht="24">
      <c r="A102" s="3025">
        <v>30</v>
      </c>
      <c r="B102" s="3778"/>
      <c r="C102" s="3003" t="s">
        <v>2584</v>
      </c>
      <c r="D102" s="3003" t="s">
        <v>2585</v>
      </c>
      <c r="E102" s="3026">
        <v>0.1</v>
      </c>
      <c r="F102" s="3025">
        <v>15</v>
      </c>
    </row>
    <row r="103" spans="1:6" s="972" customFormat="1" ht="24">
      <c r="A103" s="3025">
        <v>31</v>
      </c>
      <c r="B103" s="3778"/>
      <c r="C103" s="3003" t="s">
        <v>2586</v>
      </c>
      <c r="D103" s="3003" t="s">
        <v>2587</v>
      </c>
      <c r="E103" s="3026">
        <v>0.1</v>
      </c>
      <c r="F103" s="3025">
        <v>15</v>
      </c>
    </row>
    <row r="104" spans="1:6" s="972" customFormat="1" ht="24">
      <c r="A104" s="3025">
        <v>32</v>
      </c>
      <c r="B104" s="3778"/>
      <c r="C104" s="3003" t="s">
        <v>2588</v>
      </c>
      <c r="D104" s="3003" t="s">
        <v>2589</v>
      </c>
      <c r="E104" s="3026">
        <v>0.1</v>
      </c>
      <c r="F104" s="3025">
        <v>15</v>
      </c>
    </row>
    <row r="105" spans="1:6" s="972" customFormat="1" ht="24">
      <c r="A105" s="3025">
        <v>33</v>
      </c>
      <c r="B105" s="3778"/>
      <c r="C105" s="3003" t="s">
        <v>2590</v>
      </c>
      <c r="D105" s="3003" t="s">
        <v>2591</v>
      </c>
      <c r="E105" s="3026">
        <v>0.1</v>
      </c>
      <c r="F105" s="3025">
        <v>15</v>
      </c>
    </row>
    <row r="106" spans="1:6" s="972" customFormat="1" ht="24">
      <c r="A106" s="3025">
        <v>34</v>
      </c>
      <c r="B106" s="3777"/>
      <c r="C106" s="3003" t="s">
        <v>2592</v>
      </c>
      <c r="D106" s="3003" t="s">
        <v>2593</v>
      </c>
      <c r="E106" s="3026">
        <v>0.1</v>
      </c>
      <c r="F106" s="3025">
        <v>15</v>
      </c>
    </row>
    <row r="107" spans="1:6" s="972" customFormat="1" ht="24">
      <c r="A107" s="3025">
        <v>35</v>
      </c>
      <c r="B107" s="3776" t="s">
        <v>2594</v>
      </c>
      <c r="C107" s="3025" t="s">
        <v>2595</v>
      </c>
      <c r="D107" s="3003" t="s">
        <v>2596</v>
      </c>
      <c r="E107" s="3026">
        <v>0.15</v>
      </c>
      <c r="F107" s="3025">
        <v>20</v>
      </c>
    </row>
    <row r="108" spans="1:6" s="972" customFormat="1" ht="24">
      <c r="A108" s="3025">
        <v>36</v>
      </c>
      <c r="B108" s="3778"/>
      <c r="C108" s="3025" t="s">
        <v>2597</v>
      </c>
      <c r="D108" s="3003" t="s">
        <v>2598</v>
      </c>
      <c r="E108" s="3026">
        <v>0.15</v>
      </c>
      <c r="F108" s="3025">
        <v>20</v>
      </c>
    </row>
    <row r="109" spans="1:6" s="972" customFormat="1" ht="24">
      <c r="A109" s="3025">
        <v>37</v>
      </c>
      <c r="B109" s="3778"/>
      <c r="C109" s="3025" t="s">
        <v>2599</v>
      </c>
      <c r="D109" s="3003" t="s">
        <v>2600</v>
      </c>
      <c r="E109" s="3026">
        <v>0.15</v>
      </c>
      <c r="F109" s="3025">
        <v>20</v>
      </c>
    </row>
    <row r="110" spans="1:6" s="972" customFormat="1">
      <c r="A110" s="3025">
        <v>38</v>
      </c>
      <c r="B110" s="3778"/>
      <c r="C110" s="3025" t="s">
        <v>2601</v>
      </c>
      <c r="D110" s="3003" t="s">
        <v>2602</v>
      </c>
      <c r="E110" s="3026">
        <v>0.1</v>
      </c>
      <c r="F110" s="3025">
        <v>15</v>
      </c>
    </row>
    <row r="111" spans="1:6" s="972" customFormat="1" ht="24">
      <c r="A111" s="3025">
        <v>39</v>
      </c>
      <c r="B111" s="3778"/>
      <c r="C111" s="3025" t="s">
        <v>2603</v>
      </c>
      <c r="D111" s="3003" t="s">
        <v>2604</v>
      </c>
      <c r="E111" s="3026">
        <v>0.1</v>
      </c>
      <c r="F111" s="3025">
        <v>15</v>
      </c>
    </row>
    <row r="112" spans="1:6" s="972" customFormat="1" ht="24">
      <c r="A112" s="3025">
        <v>40</v>
      </c>
      <c r="B112" s="3777"/>
      <c r="C112" s="3025" t="s">
        <v>2605</v>
      </c>
      <c r="D112" s="3003" t="s">
        <v>2606</v>
      </c>
      <c r="E112" s="3026">
        <v>0.1</v>
      </c>
      <c r="F112" s="3025">
        <v>15</v>
      </c>
    </row>
    <row r="113" spans="1:6" s="972" customFormat="1" ht="24">
      <c r="A113" s="3025">
        <v>41</v>
      </c>
      <c r="B113" s="3775" t="s">
        <v>2607</v>
      </c>
      <c r="C113" s="3025" t="s">
        <v>2608</v>
      </c>
      <c r="D113" s="3003" t="s">
        <v>2609</v>
      </c>
      <c r="E113" s="3026">
        <v>0.1</v>
      </c>
      <c r="F113" s="3025">
        <v>15</v>
      </c>
    </row>
    <row r="114" spans="1:6" s="972" customFormat="1">
      <c r="A114" s="3025">
        <v>42</v>
      </c>
      <c r="B114" s="3775"/>
      <c r="C114" s="3025" t="s">
        <v>2610</v>
      </c>
      <c r="D114" s="3003" t="s">
        <v>2611</v>
      </c>
      <c r="E114" s="3026">
        <v>0.1</v>
      </c>
      <c r="F114" s="3025">
        <v>15</v>
      </c>
    </row>
    <row r="115" spans="1:6" s="972" customFormat="1" ht="24">
      <c r="A115" s="3025">
        <v>43</v>
      </c>
      <c r="B115" s="3775"/>
      <c r="C115" s="3025" t="s">
        <v>2612</v>
      </c>
      <c r="D115" s="3003" t="s">
        <v>2613</v>
      </c>
      <c r="E115" s="3026">
        <v>0.1</v>
      </c>
      <c r="F115" s="3025">
        <v>15</v>
      </c>
    </row>
    <row r="116" spans="1:6" s="972" customFormat="1" ht="24">
      <c r="A116" s="3025">
        <v>44</v>
      </c>
      <c r="B116" s="3776" t="s">
        <v>2614</v>
      </c>
      <c r="C116" s="3025" t="s">
        <v>2615</v>
      </c>
      <c r="D116" s="3003" t="s">
        <v>2616</v>
      </c>
      <c r="E116" s="3026">
        <v>0.1</v>
      </c>
      <c r="F116" s="3025">
        <v>15</v>
      </c>
    </row>
    <row r="117" spans="1:6" s="972" customFormat="1" ht="24">
      <c r="A117" s="3025">
        <v>45</v>
      </c>
      <c r="B117" s="3777"/>
      <c r="C117" s="3003" t="s">
        <v>2617</v>
      </c>
      <c r="D117" s="3003" t="s">
        <v>2618</v>
      </c>
      <c r="E117" s="3026">
        <v>0.1</v>
      </c>
      <c r="F117" s="3025">
        <v>15</v>
      </c>
    </row>
    <row r="118" spans="1:6" s="972" customFormat="1" ht="24">
      <c r="A118" s="3025">
        <v>46</v>
      </c>
      <c r="B118" s="3776" t="s">
        <v>2619</v>
      </c>
      <c r="C118" s="3025" t="s">
        <v>2620</v>
      </c>
      <c r="D118" s="3003" t="s">
        <v>2621</v>
      </c>
      <c r="E118" s="3026">
        <v>0.1</v>
      </c>
      <c r="F118" s="3025">
        <v>15</v>
      </c>
    </row>
    <row r="119" spans="1:6" s="972" customFormat="1" ht="24">
      <c r="A119" s="3025">
        <v>47</v>
      </c>
      <c r="B119" s="3777"/>
      <c r="C119" s="3025" t="s">
        <v>2622</v>
      </c>
      <c r="D119" s="3003" t="s">
        <v>2623</v>
      </c>
      <c r="E119" s="3026">
        <v>0.1</v>
      </c>
      <c r="F119" s="3025">
        <v>15</v>
      </c>
    </row>
    <row r="120" spans="1:6" s="972" customFormat="1" ht="24">
      <c r="A120" s="3025">
        <v>48</v>
      </c>
      <c r="B120" s="3776" t="s">
        <v>2624</v>
      </c>
      <c r="C120" s="3025" t="s">
        <v>2625</v>
      </c>
      <c r="D120" s="3003" t="s">
        <v>2626</v>
      </c>
      <c r="E120" s="3026">
        <v>0.1</v>
      </c>
      <c r="F120" s="3025">
        <v>15</v>
      </c>
    </row>
    <row r="121" spans="1:6" s="972" customFormat="1">
      <c r="A121" s="3025">
        <v>49</v>
      </c>
      <c r="B121" s="3777"/>
      <c r="C121" s="3025" t="s">
        <v>2627</v>
      </c>
      <c r="D121" s="3003" t="s">
        <v>2628</v>
      </c>
      <c r="E121" s="3026">
        <v>0.1</v>
      </c>
      <c r="F121" s="3025">
        <v>15</v>
      </c>
    </row>
    <row r="122" spans="1:6" s="972" customFormat="1" ht="24">
      <c r="A122" s="3025">
        <v>50</v>
      </c>
      <c r="B122" s="3775" t="s">
        <v>2629</v>
      </c>
      <c r="C122" s="3025" t="s">
        <v>2630</v>
      </c>
      <c r="D122" s="3003" t="s">
        <v>2631</v>
      </c>
      <c r="E122" s="3026">
        <v>0.1</v>
      </c>
      <c r="F122" s="3025">
        <v>15</v>
      </c>
    </row>
    <row r="123" spans="1:6" s="972" customFormat="1" ht="24">
      <c r="A123" s="3025">
        <v>51</v>
      </c>
      <c r="B123" s="3775"/>
      <c r="C123" s="3025" t="s">
        <v>2632</v>
      </c>
      <c r="D123" s="3003" t="s">
        <v>2633</v>
      </c>
      <c r="E123" s="3026">
        <v>0.1</v>
      </c>
      <c r="F123" s="3025">
        <v>15</v>
      </c>
    </row>
    <row r="124" spans="1:6" s="972" customFormat="1" ht="24">
      <c r="A124" s="3025">
        <v>52</v>
      </c>
      <c r="B124" s="3775" t="s">
        <v>2634</v>
      </c>
      <c r="C124" s="3025" t="s">
        <v>2635</v>
      </c>
      <c r="D124" s="3003" t="s">
        <v>2636</v>
      </c>
      <c r="E124" s="3026">
        <v>0.1</v>
      </c>
      <c r="F124" s="3025">
        <v>15</v>
      </c>
    </row>
    <row r="125" spans="1:6" s="972" customFormat="1" ht="24">
      <c r="A125" s="3025">
        <v>53</v>
      </c>
      <c r="B125" s="3775"/>
      <c r="C125" s="3025" t="s">
        <v>2637</v>
      </c>
      <c r="D125" s="3003" t="s">
        <v>2638</v>
      </c>
      <c r="E125" s="3026">
        <v>0.1</v>
      </c>
      <c r="F125" s="3025">
        <v>15</v>
      </c>
    </row>
    <row r="126" spans="1:6" ht="24">
      <c r="A126" s="3025">
        <v>54</v>
      </c>
      <c r="B126" s="3025" t="s">
        <v>2639</v>
      </c>
      <c r="C126" s="3025" t="s">
        <v>2640</v>
      </c>
      <c r="D126" s="3003" t="s">
        <v>2641</v>
      </c>
      <c r="E126" s="3026">
        <v>0.1</v>
      </c>
      <c r="F126" s="3025">
        <v>15</v>
      </c>
    </row>
    <row r="127" spans="1:6">
      <c r="A127" s="3025">
        <v>55</v>
      </c>
      <c r="B127" s="3775" t="s">
        <v>2642</v>
      </c>
      <c r="C127" s="3025" t="s">
        <v>2643</v>
      </c>
      <c r="D127" s="3003" t="s">
        <v>2644</v>
      </c>
      <c r="E127" s="3026">
        <v>0.1</v>
      </c>
      <c r="F127" s="3025">
        <v>15</v>
      </c>
    </row>
    <row r="128" spans="1:6">
      <c r="A128" s="3025">
        <v>56</v>
      </c>
      <c r="B128" s="3775"/>
      <c r="C128" s="3025" t="s">
        <v>2645</v>
      </c>
      <c r="D128" s="3003" t="s">
        <v>2646</v>
      </c>
      <c r="E128" s="3026">
        <v>0.1</v>
      </c>
      <c r="F128" s="3025">
        <v>15</v>
      </c>
    </row>
    <row r="129" spans="1:14" ht="24">
      <c r="A129" s="3025">
        <v>57</v>
      </c>
      <c r="B129" s="3775"/>
      <c r="C129" s="3025" t="s">
        <v>2647</v>
      </c>
      <c r="D129" s="3003" t="s">
        <v>2648</v>
      </c>
      <c r="E129" s="3026">
        <v>0.1</v>
      </c>
      <c r="F129" s="3025">
        <v>15</v>
      </c>
    </row>
    <row r="130" spans="1:14" ht="24">
      <c r="A130" s="3025">
        <v>58</v>
      </c>
      <c r="B130" s="3775" t="s">
        <v>2649</v>
      </c>
      <c r="C130" s="3025" t="s">
        <v>2650</v>
      </c>
      <c r="D130" s="3003" t="s">
        <v>2651</v>
      </c>
      <c r="E130" s="3026">
        <v>0.1</v>
      </c>
      <c r="F130" s="3025">
        <v>15</v>
      </c>
    </row>
    <row r="131" spans="1:14" ht="24">
      <c r="A131" s="3025">
        <v>59</v>
      </c>
      <c r="B131" s="3775"/>
      <c r="C131" s="3025" t="s">
        <v>2652</v>
      </c>
      <c r="D131" s="3003" t="s">
        <v>2653</v>
      </c>
      <c r="E131" s="3026">
        <v>0.1</v>
      </c>
      <c r="F131" s="3025">
        <v>15</v>
      </c>
    </row>
    <row r="132" spans="1:14" ht="24">
      <c r="A132" s="3025">
        <v>60</v>
      </c>
      <c r="B132" s="3776" t="s">
        <v>2654</v>
      </c>
      <c r="C132" s="3025" t="s">
        <v>2655</v>
      </c>
      <c r="D132" s="3003" t="s">
        <v>2656</v>
      </c>
      <c r="E132" s="3026">
        <v>0.1</v>
      </c>
      <c r="F132" s="3025">
        <v>15</v>
      </c>
    </row>
    <row r="133" spans="1:14" ht="24">
      <c r="A133" s="3025">
        <v>61</v>
      </c>
      <c r="B133" s="3777"/>
      <c r="C133" s="3025" t="s">
        <v>2657</v>
      </c>
      <c r="D133" s="3003" t="s">
        <v>2658</v>
      </c>
      <c r="E133" s="3026">
        <v>0.1</v>
      </c>
      <c r="F133" s="3025">
        <v>15</v>
      </c>
    </row>
    <row r="134" spans="1:14" ht="24">
      <c r="A134" s="3025">
        <v>62</v>
      </c>
      <c r="B134" s="3025" t="s">
        <v>2659</v>
      </c>
      <c r="C134" s="3025" t="s">
        <v>2660</v>
      </c>
      <c r="D134" s="3003" t="s">
        <v>2661</v>
      </c>
      <c r="E134" s="3026">
        <v>0.1</v>
      </c>
      <c r="F134" s="3025">
        <v>15</v>
      </c>
    </row>
    <row r="135" spans="1:14" ht="24">
      <c r="A135" s="3025">
        <v>63</v>
      </c>
      <c r="B135" s="3775" t="s">
        <v>2662</v>
      </c>
      <c r="C135" s="3025" t="s">
        <v>2663</v>
      </c>
      <c r="D135" s="3003" t="s">
        <v>2664</v>
      </c>
      <c r="E135" s="3026">
        <v>0.1</v>
      </c>
      <c r="F135" s="3025">
        <v>15</v>
      </c>
    </row>
    <row r="136" spans="1:14">
      <c r="A136" s="3025">
        <v>64</v>
      </c>
      <c r="B136" s="3775"/>
      <c r="C136" s="3025" t="s">
        <v>2665</v>
      </c>
      <c r="D136" s="3003" t="s">
        <v>2666</v>
      </c>
      <c r="E136" s="3026">
        <v>0.1</v>
      </c>
      <c r="F136" s="3025">
        <v>15</v>
      </c>
    </row>
    <row r="137" spans="1:14" ht="24">
      <c r="A137" s="3025">
        <v>65</v>
      </c>
      <c r="B137" s="3025" t="s">
        <v>2667</v>
      </c>
      <c r="C137" s="3025" t="s">
        <v>2668</v>
      </c>
      <c r="D137" s="3003" t="s">
        <v>2669</v>
      </c>
      <c r="E137" s="3026">
        <v>0.1</v>
      </c>
      <c r="F137" s="3025">
        <v>15</v>
      </c>
    </row>
    <row r="138" spans="1:14">
      <c r="A138" s="998"/>
      <c r="B138" s="998"/>
      <c r="C138" s="998"/>
      <c r="D138" s="958"/>
      <c r="E138" s="986"/>
      <c r="F138" s="998"/>
    </row>
    <row r="139" spans="1:14">
      <c r="A139" s="998"/>
      <c r="B139" s="998"/>
      <c r="C139" s="998"/>
      <c r="D139" s="998"/>
      <c r="E139" s="986"/>
      <c r="F139" s="998"/>
    </row>
    <row r="141" spans="1:14">
      <c r="A141" s="978"/>
      <c r="B141" s="978"/>
      <c r="C141" s="978"/>
      <c r="D141" s="978"/>
      <c r="E141" s="978"/>
      <c r="F141" s="978"/>
      <c r="G141" s="978"/>
      <c r="H141" s="978"/>
      <c r="I141" s="978"/>
      <c r="J141" s="978"/>
      <c r="K141" s="999"/>
      <c r="L141" s="999"/>
      <c r="M141" s="999"/>
      <c r="N141" s="999"/>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U384"/>
  <sheetViews>
    <sheetView zoomScale="70" zoomScaleNormal="70" workbookViewId="0">
      <selection activeCell="I16" sqref="I16"/>
    </sheetView>
  </sheetViews>
  <sheetFormatPr defaultColWidth="9" defaultRowHeight="13.5"/>
  <cols>
    <col min="1" max="1" width="12.625" style="3167" customWidth="1"/>
    <col min="2" max="2" width="15" style="3167" customWidth="1"/>
    <col min="3" max="6" width="10.125" style="3167" customWidth="1"/>
    <col min="7" max="7" width="9" style="3167"/>
    <col min="8" max="8" width="9" style="959"/>
    <col min="9" max="9" width="9" style="956"/>
    <col min="10" max="10" width="17.375" style="3192" customWidth="1"/>
    <col min="11" max="21" width="17.375" style="3167" customWidth="1"/>
    <col min="22" max="16384" width="9" style="956"/>
  </cols>
  <sheetData>
    <row r="1" spans="1:21">
      <c r="A1" s="3787" t="s">
        <v>2809</v>
      </c>
      <c r="B1" s="3787"/>
      <c r="C1" s="3787"/>
      <c r="D1" s="3787"/>
      <c r="E1" s="3787"/>
      <c r="F1" s="3787"/>
      <c r="G1" s="3788"/>
      <c r="I1" s="960"/>
      <c r="J1" s="3189" t="s">
        <v>961</v>
      </c>
      <c r="K1" s="3190" t="s">
        <v>962</v>
      </c>
      <c r="L1" s="3190" t="s">
        <v>963</v>
      </c>
      <c r="M1" s="3190" t="s">
        <v>964</v>
      </c>
      <c r="N1" s="3190" t="s">
        <v>965</v>
      </c>
      <c r="O1" s="3190" t="s">
        <v>966</v>
      </c>
      <c r="P1" s="3190" t="s">
        <v>967</v>
      </c>
      <c r="Q1" s="3190" t="s">
        <v>968</v>
      </c>
      <c r="R1" s="3190" t="s">
        <v>969</v>
      </c>
      <c r="S1" s="3190" t="s">
        <v>970</v>
      </c>
      <c r="T1" s="3190" t="s">
        <v>971</v>
      </c>
      <c r="U1" s="3191" t="s">
        <v>972</v>
      </c>
    </row>
    <row r="2" spans="1:21" ht="14.25" thickBot="1">
      <c r="A2" s="3153" t="s">
        <v>2810</v>
      </c>
      <c r="B2" s="3153"/>
      <c r="C2" s="3153"/>
      <c r="D2" s="3153"/>
      <c r="E2" s="3153"/>
      <c r="F2" s="3153"/>
      <c r="G2" s="3148" t="s">
        <v>2811</v>
      </c>
      <c r="J2" s="3177" t="s">
        <v>2817</v>
      </c>
      <c r="K2" s="3157" t="s">
        <v>2819</v>
      </c>
      <c r="L2" s="3157" t="s">
        <v>2821</v>
      </c>
      <c r="M2" s="3157" t="s">
        <v>2827</v>
      </c>
      <c r="N2" s="3157" t="s">
        <v>2837</v>
      </c>
      <c r="O2" s="3157" t="s">
        <v>2852</v>
      </c>
      <c r="P2" s="3157" t="s">
        <v>2889</v>
      </c>
      <c r="Q2" s="3157" t="s">
        <v>2920</v>
      </c>
      <c r="R2" s="3157" t="s">
        <v>2948</v>
      </c>
      <c r="S2" s="3157" t="s">
        <v>2983</v>
      </c>
      <c r="T2" s="3157" t="s">
        <v>3003</v>
      </c>
      <c r="U2" s="3157" t="s">
        <v>3015</v>
      </c>
    </row>
    <row r="3" spans="1:21" s="960" customFormat="1" ht="19.5" customHeight="1">
      <c r="A3" s="3789" t="s">
        <v>2812</v>
      </c>
      <c r="B3" s="3149"/>
      <c r="C3" s="3150" t="s">
        <v>2789</v>
      </c>
      <c r="D3" s="3150" t="s">
        <v>2813</v>
      </c>
      <c r="E3" s="3150" t="s">
        <v>2791</v>
      </c>
      <c r="F3" s="3150" t="s">
        <v>2814</v>
      </c>
      <c r="G3" s="3150" t="s">
        <v>2734</v>
      </c>
      <c r="H3" s="963"/>
      <c r="J3" s="3177" t="s">
        <v>2818</v>
      </c>
      <c r="K3" s="3157" t="s">
        <v>973</v>
      </c>
      <c r="L3" s="3157" t="s">
        <v>974</v>
      </c>
      <c r="M3" s="3157" t="s">
        <v>975</v>
      </c>
      <c r="N3" s="3157" t="s">
        <v>976</v>
      </c>
      <c r="O3" s="3157" t="s">
        <v>977</v>
      </c>
      <c r="P3" s="3157" t="s">
        <v>978</v>
      </c>
      <c r="Q3" s="3157" t="s">
        <v>979</v>
      </c>
      <c r="R3" s="3157" t="s">
        <v>980</v>
      </c>
      <c r="S3" s="3157" t="s">
        <v>981</v>
      </c>
      <c r="T3" s="3157" t="s">
        <v>3004</v>
      </c>
      <c r="U3" s="3157" t="s">
        <v>3016</v>
      </c>
    </row>
    <row r="4" spans="1:21" s="960" customFormat="1" ht="19.5" customHeight="1" thickBot="1">
      <c r="A4" s="3790"/>
      <c r="B4" s="3151" t="s">
        <v>2815</v>
      </c>
      <c r="C4" s="3151" t="s">
        <v>2816</v>
      </c>
      <c r="D4" s="3151" t="s">
        <v>2816</v>
      </c>
      <c r="E4" s="3151" t="s">
        <v>2816</v>
      </c>
      <c r="F4" s="3152" t="s">
        <v>2816</v>
      </c>
      <c r="G4" s="3152" t="s">
        <v>2816</v>
      </c>
      <c r="H4" s="963"/>
      <c r="J4" s="3177" t="s">
        <v>982</v>
      </c>
      <c r="K4" s="3157" t="s">
        <v>983</v>
      </c>
      <c r="L4" s="3157" t="s">
        <v>984</v>
      </c>
      <c r="M4" s="3157" t="s">
        <v>985</v>
      </c>
      <c r="N4" s="3157" t="s">
        <v>986</v>
      </c>
      <c r="O4" s="3157" t="s">
        <v>987</v>
      </c>
      <c r="P4" s="3157" t="s">
        <v>988</v>
      </c>
      <c r="Q4" s="3157" t="s">
        <v>989</v>
      </c>
      <c r="R4" s="3157" t="s">
        <v>2949</v>
      </c>
      <c r="S4" s="3157" t="s">
        <v>2984</v>
      </c>
      <c r="T4" s="3157" t="s">
        <v>3005</v>
      </c>
      <c r="U4" s="3157" t="s">
        <v>3017</v>
      </c>
    </row>
    <row r="5" spans="1:21" ht="14.25" customHeight="1">
      <c r="A5" s="3154" t="s">
        <v>990</v>
      </c>
      <c r="B5" s="3155" t="s">
        <v>2817</v>
      </c>
      <c r="C5" s="3155">
        <v>34550</v>
      </c>
      <c r="D5" s="3155">
        <v>34470</v>
      </c>
      <c r="E5" s="3155">
        <v>34330</v>
      </c>
      <c r="F5" s="3156">
        <v>13400</v>
      </c>
      <c r="G5" s="3156">
        <v>25450</v>
      </c>
      <c r="H5" s="964" t="s">
        <v>961</v>
      </c>
      <c r="I5" s="965">
        <f>SUMPRODUCT((B5:B9=基准地价!I2)*(C3:G3=基准地价!E2)*(C5:G9))</f>
        <v>0</v>
      </c>
      <c r="J5" s="3177" t="s">
        <v>991</v>
      </c>
      <c r="K5" s="3157" t="s">
        <v>992</v>
      </c>
      <c r="L5" s="3157" t="s">
        <v>993</v>
      </c>
      <c r="M5" s="3157" t="s">
        <v>994</v>
      </c>
      <c r="N5" s="3157" t="s">
        <v>995</v>
      </c>
      <c r="O5" s="3157" t="s">
        <v>996</v>
      </c>
      <c r="P5" s="3157" t="s">
        <v>997</v>
      </c>
      <c r="Q5" s="3157" t="s">
        <v>998</v>
      </c>
      <c r="R5" s="3157" t="s">
        <v>2950</v>
      </c>
      <c r="S5" s="3157" t="s">
        <v>2985</v>
      </c>
      <c r="T5" s="3157" t="s">
        <v>999</v>
      </c>
      <c r="U5" s="3157" t="s">
        <v>3018</v>
      </c>
    </row>
    <row r="6" spans="1:21" ht="14.25" customHeight="1">
      <c r="A6" s="3157" t="s">
        <v>990</v>
      </c>
      <c r="B6" s="3157" t="s">
        <v>2818</v>
      </c>
      <c r="C6" s="3157">
        <v>36990</v>
      </c>
      <c r="D6" s="3157">
        <v>36850</v>
      </c>
      <c r="E6" s="3157">
        <v>36700</v>
      </c>
      <c r="F6" s="3158">
        <v>14590</v>
      </c>
      <c r="G6" s="3158">
        <v>27450</v>
      </c>
      <c r="H6" s="966" t="s">
        <v>1000</v>
      </c>
      <c r="I6" s="967">
        <f>SUMPRODUCT((B10:B29=基准地价!I2)*(C3:G3=基准地价!E2)*(C10:G29))</f>
        <v>0</v>
      </c>
      <c r="J6" s="3177" t="s">
        <v>1001</v>
      </c>
      <c r="K6" s="3157" t="s">
        <v>1002</v>
      </c>
      <c r="L6" s="3157" t="s">
        <v>1003</v>
      </c>
      <c r="M6" s="3157" t="s">
        <v>1004</v>
      </c>
      <c r="N6" s="3157" t="s">
        <v>1005</v>
      </c>
      <c r="O6" s="3157" t="s">
        <v>1006</v>
      </c>
      <c r="P6" s="3157" t="s">
        <v>1007</v>
      </c>
      <c r="Q6" s="3157" t="s">
        <v>2921</v>
      </c>
      <c r="R6" s="3157" t="s">
        <v>2951</v>
      </c>
      <c r="S6" s="3157" t="s">
        <v>1008</v>
      </c>
      <c r="T6" s="3157" t="s">
        <v>3006</v>
      </c>
      <c r="U6" s="3157" t="s">
        <v>3019</v>
      </c>
    </row>
    <row r="7" spans="1:21" ht="14.25" customHeight="1">
      <c r="A7" s="3157" t="s">
        <v>990</v>
      </c>
      <c r="B7" s="1215" t="s">
        <v>982</v>
      </c>
      <c r="C7" s="3157">
        <v>34850</v>
      </c>
      <c r="D7" s="3157">
        <v>34690</v>
      </c>
      <c r="E7" s="3157">
        <v>34550</v>
      </c>
      <c r="F7" s="3158">
        <v>14360</v>
      </c>
      <c r="G7" s="3158">
        <v>25620</v>
      </c>
      <c r="H7" s="966" t="s">
        <v>838</v>
      </c>
      <c r="I7" s="967">
        <f>SUMPRODUCT((B30:B54=基准地价!I2)*(C3:G3=基准地价!E2)*(C30:G54))</f>
        <v>0</v>
      </c>
      <c r="K7" s="3157" t="s">
        <v>1009</v>
      </c>
      <c r="L7" s="3157" t="s">
        <v>1010</v>
      </c>
      <c r="M7" s="3157" t="s">
        <v>1011</v>
      </c>
      <c r="N7" s="3157" t="s">
        <v>1012</v>
      </c>
      <c r="O7" s="3157" t="s">
        <v>1013</v>
      </c>
      <c r="P7" s="3157" t="s">
        <v>1014</v>
      </c>
      <c r="Q7" s="3157" t="s">
        <v>2922</v>
      </c>
      <c r="R7" s="3157" t="s">
        <v>2952</v>
      </c>
      <c r="S7" s="3157" t="s">
        <v>2986</v>
      </c>
      <c r="T7" s="3157" t="s">
        <v>3007</v>
      </c>
      <c r="U7" s="1215" t="s">
        <v>3020</v>
      </c>
    </row>
    <row r="8" spans="1:21" ht="14.25" customHeight="1">
      <c r="A8" s="3157" t="s">
        <v>990</v>
      </c>
      <c r="B8" s="3157" t="s">
        <v>991</v>
      </c>
      <c r="C8" s="3157">
        <v>32630</v>
      </c>
      <c r="D8" s="3157">
        <v>32510</v>
      </c>
      <c r="E8" s="3157">
        <v>32420</v>
      </c>
      <c r="F8" s="3158">
        <v>13300</v>
      </c>
      <c r="G8" s="3158">
        <v>24010</v>
      </c>
      <c r="H8" s="966" t="s">
        <v>839</v>
      </c>
      <c r="I8" s="967">
        <f>SUMPRODUCT((B55:B86=基准地价!I2)*(C3:G3=基准地价!E2)*(C55:G86))</f>
        <v>4390</v>
      </c>
      <c r="K8" s="3157" t="s">
        <v>1015</v>
      </c>
      <c r="L8" s="3157" t="s">
        <v>1016</v>
      </c>
      <c r="M8" s="3157" t="s">
        <v>1017</v>
      </c>
      <c r="N8" s="3157" t="s">
        <v>1018</v>
      </c>
      <c r="O8" s="3157" t="s">
        <v>1019</v>
      </c>
      <c r="P8" s="3157" t="s">
        <v>1020</v>
      </c>
      <c r="Q8" s="3157" t="s">
        <v>2923</v>
      </c>
      <c r="R8" s="3157" t="s">
        <v>1021</v>
      </c>
      <c r="S8" s="3157" t="s">
        <v>2987</v>
      </c>
      <c r="T8" s="3157" t="s">
        <v>3008</v>
      </c>
      <c r="U8" s="3157" t="s">
        <v>3021</v>
      </c>
    </row>
    <row r="9" spans="1:21" ht="14.25" customHeight="1" thickBot="1">
      <c r="A9" s="3171" t="s">
        <v>990</v>
      </c>
      <c r="B9" s="3159" t="s">
        <v>1001</v>
      </c>
      <c r="C9" s="3160">
        <v>36370</v>
      </c>
      <c r="D9" s="3160">
        <v>36210</v>
      </c>
      <c r="E9" s="3160">
        <v>36050</v>
      </c>
      <c r="F9" s="3161"/>
      <c r="G9" s="3162">
        <v>26740</v>
      </c>
      <c r="H9" s="966" t="s">
        <v>840</v>
      </c>
      <c r="I9" s="967">
        <f>SUMPRODUCT((B87:B126=基准地价!I2)*(C3:G3=基准地价!E2)*(C87:G126))</f>
        <v>0</v>
      </c>
      <c r="K9" s="3157" t="s">
        <v>1022</v>
      </c>
      <c r="L9" s="3157" t="s">
        <v>1023</v>
      </c>
      <c r="M9" s="3157" t="s">
        <v>1024</v>
      </c>
      <c r="N9" s="3157" t="s">
        <v>1025</v>
      </c>
      <c r="O9" s="3157" t="s">
        <v>1026</v>
      </c>
      <c r="P9" s="3157" t="s">
        <v>1027</v>
      </c>
      <c r="Q9" s="3157" t="s">
        <v>2924</v>
      </c>
      <c r="R9" s="3157" t="s">
        <v>1029</v>
      </c>
      <c r="S9" s="3157" t="s">
        <v>1030</v>
      </c>
      <c r="T9" s="3157" t="s">
        <v>1047</v>
      </c>
    </row>
    <row r="10" spans="1:21" ht="14.25" customHeight="1">
      <c r="A10" s="3154" t="s">
        <v>1031</v>
      </c>
      <c r="B10" s="3155" t="s">
        <v>2819</v>
      </c>
      <c r="C10" s="3155">
        <v>32350</v>
      </c>
      <c r="D10" s="3155">
        <v>31430</v>
      </c>
      <c r="E10" s="3155">
        <v>31320</v>
      </c>
      <c r="F10" s="3156">
        <v>10850</v>
      </c>
      <c r="G10" s="3156">
        <v>22860</v>
      </c>
      <c r="H10" s="966" t="s">
        <v>841</v>
      </c>
      <c r="I10" s="967">
        <f>SUMPRODUCT((B127:B189=基准地价!I2)*(C3:G3=基准地价!E2)*(C127:G189))</f>
        <v>0</v>
      </c>
      <c r="K10" s="3157" t="s">
        <v>1032</v>
      </c>
      <c r="L10" s="3157" t="s">
        <v>1033</v>
      </c>
      <c r="M10" s="3157" t="s">
        <v>1034</v>
      </c>
      <c r="N10" s="3157" t="s">
        <v>1035</v>
      </c>
      <c r="O10" s="3157" t="s">
        <v>1036</v>
      </c>
      <c r="P10" s="3157" t="s">
        <v>1037</v>
      </c>
      <c r="Q10" s="3157" t="s">
        <v>1028</v>
      </c>
      <c r="R10" s="3157" t="s">
        <v>1039</v>
      </c>
      <c r="S10" s="3157" t="s">
        <v>1040</v>
      </c>
      <c r="T10" s="3157" t="s">
        <v>3009</v>
      </c>
    </row>
    <row r="11" spans="1:21" ht="14.25" customHeight="1">
      <c r="A11" s="3157" t="s">
        <v>1031</v>
      </c>
      <c r="B11" s="1215" t="s">
        <v>973</v>
      </c>
      <c r="C11" s="3157">
        <v>31590</v>
      </c>
      <c r="D11" s="3157">
        <v>29490</v>
      </c>
      <c r="E11" s="3157">
        <v>28700</v>
      </c>
      <c r="F11" s="3163">
        <v>10410</v>
      </c>
      <c r="G11" s="3163">
        <v>21460</v>
      </c>
      <c r="H11" s="966" t="s">
        <v>842</v>
      </c>
      <c r="I11" s="967">
        <f>SUMPRODUCT((B190:B233=基准地价!I2)*(C3:G3=基准地价!E2)*(C190:G233))</f>
        <v>0</v>
      </c>
      <c r="K11" s="3157" t="s">
        <v>1041</v>
      </c>
      <c r="L11" s="3157" t="s">
        <v>1042</v>
      </c>
      <c r="M11" s="3157" t="s">
        <v>1043</v>
      </c>
      <c r="N11" s="3157" t="s">
        <v>1044</v>
      </c>
      <c r="O11" s="3157" t="s">
        <v>1045</v>
      </c>
      <c r="P11" s="3157" t="s">
        <v>2890</v>
      </c>
      <c r="Q11" s="3157" t="s">
        <v>1038</v>
      </c>
      <c r="R11" s="3157" t="s">
        <v>1046</v>
      </c>
      <c r="S11" s="3157" t="s">
        <v>2988</v>
      </c>
      <c r="T11" s="3157" t="s">
        <v>3010</v>
      </c>
    </row>
    <row r="12" spans="1:21" ht="14.25" customHeight="1">
      <c r="A12" s="3157" t="s">
        <v>1031</v>
      </c>
      <c r="B12" s="1215" t="s">
        <v>983</v>
      </c>
      <c r="C12" s="3157">
        <v>29640</v>
      </c>
      <c r="D12" s="3157">
        <v>27550</v>
      </c>
      <c r="E12" s="3157">
        <v>28010</v>
      </c>
      <c r="F12" s="3163">
        <v>8730</v>
      </c>
      <c r="G12" s="3163">
        <v>20050</v>
      </c>
      <c r="H12" s="966" t="s">
        <v>843</v>
      </c>
      <c r="I12" s="967">
        <f>SUMPRODUCT((B234:B276=基准地价!I2)*(C3:G3=基准地价!E2)*(C234:G276))</f>
        <v>0</v>
      </c>
      <c r="K12" s="3157" t="s">
        <v>1048</v>
      </c>
      <c r="L12" s="3157" t="s">
        <v>1049</v>
      </c>
      <c r="M12" s="3157" t="s">
        <v>1050</v>
      </c>
      <c r="N12" s="3157" t="s">
        <v>1051</v>
      </c>
      <c r="O12" s="3157" t="s">
        <v>1052</v>
      </c>
      <c r="P12" s="3157" t="s">
        <v>2891</v>
      </c>
      <c r="Q12" s="3157" t="s">
        <v>2925</v>
      </c>
      <c r="R12" s="3157" t="s">
        <v>2953</v>
      </c>
      <c r="S12" s="3157" t="s">
        <v>2989</v>
      </c>
      <c r="T12" s="3157" t="s">
        <v>3011</v>
      </c>
    </row>
    <row r="13" spans="1:21" ht="14.25" customHeight="1">
      <c r="A13" s="3157" t="s">
        <v>1031</v>
      </c>
      <c r="B13" s="1215" t="s">
        <v>992</v>
      </c>
      <c r="C13" s="3157">
        <v>29680</v>
      </c>
      <c r="D13" s="3157">
        <v>27660</v>
      </c>
      <c r="E13" s="3157">
        <v>28210</v>
      </c>
      <c r="F13" s="3163">
        <v>9590</v>
      </c>
      <c r="G13" s="3163">
        <v>20120</v>
      </c>
      <c r="H13" s="966" t="s">
        <v>844</v>
      </c>
      <c r="I13" s="967">
        <f>SUMPRODUCT((B277:B326=基准地价!I2)*(C3:G3=基准地价!E2)*(C277:G326))</f>
        <v>0</v>
      </c>
      <c r="K13" s="3157" t="s">
        <v>1055</v>
      </c>
      <c r="L13" s="3157" t="s">
        <v>1056</v>
      </c>
      <c r="M13" s="3157" t="s">
        <v>1057</v>
      </c>
      <c r="N13" s="3157" t="s">
        <v>1058</v>
      </c>
      <c r="O13" s="3157" t="s">
        <v>1059</v>
      </c>
      <c r="P13" s="3157" t="s">
        <v>2892</v>
      </c>
      <c r="Q13" s="3157" t="s">
        <v>1053</v>
      </c>
      <c r="R13" s="3157" t="s">
        <v>1067</v>
      </c>
      <c r="S13" s="3157" t="s">
        <v>1068</v>
      </c>
      <c r="T13" s="3157" t="s">
        <v>1061</v>
      </c>
    </row>
    <row r="14" spans="1:21" ht="14.25" customHeight="1">
      <c r="A14" s="3157" t="s">
        <v>1031</v>
      </c>
      <c r="B14" s="1215" t="s">
        <v>1002</v>
      </c>
      <c r="C14" s="3157">
        <v>30520</v>
      </c>
      <c r="D14" s="3157">
        <v>29510</v>
      </c>
      <c r="E14" s="3157">
        <v>29400</v>
      </c>
      <c r="F14" s="3163">
        <v>9630</v>
      </c>
      <c r="G14" s="3163">
        <v>21480</v>
      </c>
      <c r="H14" s="966" t="s">
        <v>845</v>
      </c>
      <c r="I14" s="967">
        <f>SUMPRODUCT((B327:B357=基准地价!I2)*(C3:G3=基准地价!E2)*(C327:G357))</f>
        <v>0</v>
      </c>
      <c r="K14" s="3157" t="s">
        <v>1062</v>
      </c>
      <c r="L14" s="3157" t="s">
        <v>1063</v>
      </c>
      <c r="M14" s="3157" t="s">
        <v>1064</v>
      </c>
      <c r="N14" s="3157" t="s">
        <v>1065</v>
      </c>
      <c r="O14" s="3157" t="s">
        <v>1066</v>
      </c>
      <c r="P14" s="3157" t="s">
        <v>1088</v>
      </c>
      <c r="Q14" s="3157" t="s">
        <v>1060</v>
      </c>
      <c r="R14" s="3157" t="s">
        <v>2954</v>
      </c>
      <c r="S14" s="3157" t="s">
        <v>1076</v>
      </c>
      <c r="T14" s="3157" t="s">
        <v>1069</v>
      </c>
    </row>
    <row r="15" spans="1:21" ht="14.25" customHeight="1">
      <c r="A15" s="3157" t="s">
        <v>1031</v>
      </c>
      <c r="B15" s="1215" t="s">
        <v>1009</v>
      </c>
      <c r="C15" s="3157">
        <v>29090</v>
      </c>
      <c r="D15" s="3157">
        <v>27590</v>
      </c>
      <c r="E15" s="3157">
        <v>28120</v>
      </c>
      <c r="F15" s="3163">
        <v>9110</v>
      </c>
      <c r="G15" s="3163">
        <v>20070</v>
      </c>
      <c r="H15" s="966" t="s">
        <v>846</v>
      </c>
      <c r="I15" s="967">
        <f>SUMPRODUCT((B358:B377=基准地价!I2)*(C3:G3=基准地价!E2)*(C358:G377))</f>
        <v>0</v>
      </c>
      <c r="K15" s="3157" t="s">
        <v>1070</v>
      </c>
      <c r="L15" s="3157" t="s">
        <v>1071</v>
      </c>
      <c r="M15" s="3157" t="s">
        <v>1072</v>
      </c>
      <c r="N15" s="3157" t="s">
        <v>1073</v>
      </c>
      <c r="O15" s="3157" t="s">
        <v>1074</v>
      </c>
      <c r="P15" s="3157" t="s">
        <v>2893</v>
      </c>
      <c r="Q15" s="3157" t="s">
        <v>2926</v>
      </c>
      <c r="R15" s="3157" t="s">
        <v>1090</v>
      </c>
      <c r="S15" s="3157" t="s">
        <v>2990</v>
      </c>
      <c r="T15" s="3157" t="s">
        <v>1077</v>
      </c>
    </row>
    <row r="16" spans="1:21" ht="14.25" customHeight="1" thickBot="1">
      <c r="A16" s="3157" t="s">
        <v>1031</v>
      </c>
      <c r="B16" s="1215" t="s">
        <v>1015</v>
      </c>
      <c r="C16" s="3157">
        <v>26790</v>
      </c>
      <c r="D16" s="3157">
        <v>30370</v>
      </c>
      <c r="E16" s="3157">
        <v>30240</v>
      </c>
      <c r="F16" s="3163">
        <v>11590</v>
      </c>
      <c r="G16" s="3163">
        <v>22090</v>
      </c>
      <c r="H16" s="968" t="s">
        <v>847</v>
      </c>
      <c r="I16" s="969">
        <f>SUMPRODUCT((B378:B384=基准地价!I2)*(C3:G3=基准地价!E2)*(C378:G384))</f>
        <v>0</v>
      </c>
      <c r="K16" s="3157" t="s">
        <v>1078</v>
      </c>
      <c r="L16" s="3157" t="s">
        <v>1079</v>
      </c>
      <c r="M16" s="3157" t="s">
        <v>1080</v>
      </c>
      <c r="N16" s="3157" t="s">
        <v>1081</v>
      </c>
      <c r="O16" s="3157" t="s">
        <v>1082</v>
      </c>
      <c r="P16" s="3157" t="s">
        <v>2894</v>
      </c>
      <c r="Q16" s="3157" t="s">
        <v>1075</v>
      </c>
      <c r="R16" s="3157" t="s">
        <v>1098</v>
      </c>
      <c r="S16" s="3157" t="s">
        <v>1054</v>
      </c>
      <c r="T16" s="3157" t="s">
        <v>3012</v>
      </c>
    </row>
    <row r="17" spans="1:20" ht="14.25" customHeight="1">
      <c r="A17" s="3157" t="s">
        <v>1031</v>
      </c>
      <c r="B17" s="1215" t="s">
        <v>1022</v>
      </c>
      <c r="C17" s="3157">
        <v>29180</v>
      </c>
      <c r="D17" s="3157">
        <v>27620</v>
      </c>
      <c r="E17" s="3157">
        <v>28180</v>
      </c>
      <c r="F17" s="3163">
        <v>10790</v>
      </c>
      <c r="G17" s="3164">
        <v>20090</v>
      </c>
      <c r="I17" s="970"/>
      <c r="K17" s="3157" t="s">
        <v>1083</v>
      </c>
      <c r="L17" s="3157" t="s">
        <v>1084</v>
      </c>
      <c r="M17" s="3157" t="s">
        <v>1085</v>
      </c>
      <c r="N17" s="3157" t="s">
        <v>1086</v>
      </c>
      <c r="O17" s="3157" t="s">
        <v>1087</v>
      </c>
      <c r="P17" s="3157" t="s">
        <v>2895</v>
      </c>
      <c r="Q17" s="3157" t="s">
        <v>2927</v>
      </c>
      <c r="R17" s="3157" t="s">
        <v>1104</v>
      </c>
      <c r="S17" s="3157" t="s">
        <v>2991</v>
      </c>
      <c r="T17" s="3157" t="s">
        <v>1106</v>
      </c>
    </row>
    <row r="18" spans="1:20" ht="14.25" customHeight="1">
      <c r="A18" s="3157" t="s">
        <v>1031</v>
      </c>
      <c r="B18" s="1215" t="s">
        <v>1032</v>
      </c>
      <c r="C18" s="3157">
        <v>26840</v>
      </c>
      <c r="D18" s="3157">
        <v>28930</v>
      </c>
      <c r="E18" s="3157">
        <v>28820</v>
      </c>
      <c r="F18" s="3163"/>
      <c r="G18" s="3164">
        <v>21050</v>
      </c>
      <c r="I18" s="970"/>
      <c r="K18" s="3157" t="s">
        <v>1092</v>
      </c>
      <c r="L18" s="3157" t="s">
        <v>1093</v>
      </c>
      <c r="M18" s="3157" t="s">
        <v>1094</v>
      </c>
      <c r="N18" s="3157" t="s">
        <v>1095</v>
      </c>
      <c r="O18" s="3157" t="s">
        <v>1096</v>
      </c>
      <c r="P18" s="3157" t="s">
        <v>2896</v>
      </c>
      <c r="Q18" s="3157" t="s">
        <v>1089</v>
      </c>
      <c r="R18" s="3157" t="s">
        <v>2955</v>
      </c>
      <c r="S18" s="3157" t="s">
        <v>1105</v>
      </c>
      <c r="T18" s="3157" t="s">
        <v>1114</v>
      </c>
    </row>
    <row r="19" spans="1:20" ht="14.25" customHeight="1">
      <c r="A19" s="3157" t="s">
        <v>1031</v>
      </c>
      <c r="B19" s="1215" t="s">
        <v>1041</v>
      </c>
      <c r="C19" s="3157">
        <v>27750</v>
      </c>
      <c r="D19" s="3157">
        <v>26680</v>
      </c>
      <c r="E19" s="3157">
        <v>26590</v>
      </c>
      <c r="F19" s="3163"/>
      <c r="G19" s="3164">
        <v>19420</v>
      </c>
      <c r="I19" s="970"/>
      <c r="K19" s="3157" t="s">
        <v>1099</v>
      </c>
      <c r="L19" s="3157" t="s">
        <v>1100</v>
      </c>
      <c r="M19" s="3157" t="s">
        <v>1101</v>
      </c>
      <c r="N19" s="3157" t="s">
        <v>1102</v>
      </c>
      <c r="O19" s="3157" t="s">
        <v>1103</v>
      </c>
      <c r="P19" s="3157" t="s">
        <v>2897</v>
      </c>
      <c r="Q19" s="3157" t="s">
        <v>1097</v>
      </c>
      <c r="R19" s="3157" t="s">
        <v>2956</v>
      </c>
      <c r="S19" s="3157" t="s">
        <v>1113</v>
      </c>
      <c r="T19" s="3157" t="s">
        <v>3013</v>
      </c>
    </row>
    <row r="20" spans="1:20" ht="14.25" customHeight="1">
      <c r="A20" s="3157" t="s">
        <v>1031</v>
      </c>
      <c r="B20" s="1215" t="s">
        <v>1048</v>
      </c>
      <c r="C20" s="3157">
        <v>27050</v>
      </c>
      <c r="D20" s="3157">
        <v>29010</v>
      </c>
      <c r="E20" s="3157">
        <v>28910</v>
      </c>
      <c r="F20" s="3163"/>
      <c r="G20" s="3164">
        <v>21110</v>
      </c>
      <c r="K20" s="3157" t="s">
        <v>1107</v>
      </c>
      <c r="L20" s="3157" t="s">
        <v>1108</v>
      </c>
      <c r="M20" s="3157" t="s">
        <v>1109</v>
      </c>
      <c r="N20" s="3157" t="s">
        <v>1110</v>
      </c>
      <c r="O20" s="3157" t="s">
        <v>1111</v>
      </c>
      <c r="P20" s="3157" t="s">
        <v>2898</v>
      </c>
      <c r="Q20" s="3157" t="s">
        <v>2928</v>
      </c>
      <c r="R20" s="3157" t="s">
        <v>1139</v>
      </c>
      <c r="S20" s="3157" t="s">
        <v>2992</v>
      </c>
      <c r="T20" s="3157" t="s">
        <v>1126</v>
      </c>
    </row>
    <row r="21" spans="1:20" ht="14.25" customHeight="1">
      <c r="A21" s="3157" t="s">
        <v>1031</v>
      </c>
      <c r="B21" s="1215" t="s">
        <v>1055</v>
      </c>
      <c r="C21" s="3157">
        <v>32370</v>
      </c>
      <c r="D21" s="3157">
        <v>26730</v>
      </c>
      <c r="E21" s="3157">
        <v>26640</v>
      </c>
      <c r="F21" s="3163"/>
      <c r="G21" s="3164">
        <v>19440</v>
      </c>
      <c r="K21" s="3166" t="s">
        <v>2820</v>
      </c>
      <c r="L21" s="3157" t="s">
        <v>1115</v>
      </c>
      <c r="M21" s="3157" t="s">
        <v>1116</v>
      </c>
      <c r="N21" s="3157" t="s">
        <v>1117</v>
      </c>
      <c r="O21" s="3157" t="s">
        <v>1118</v>
      </c>
      <c r="P21" s="3157" t="s">
        <v>1112</v>
      </c>
      <c r="Q21" s="3157" t="s">
        <v>1132</v>
      </c>
      <c r="R21" s="3157" t="s">
        <v>1142</v>
      </c>
      <c r="S21" s="3157" t="s">
        <v>2993</v>
      </c>
      <c r="T21" s="3157" t="s">
        <v>3014</v>
      </c>
    </row>
    <row r="22" spans="1:20" ht="14.25" customHeight="1">
      <c r="A22" s="3157" t="s">
        <v>1031</v>
      </c>
      <c r="B22" s="1215" t="s">
        <v>1062</v>
      </c>
      <c r="C22" s="3157">
        <v>29830</v>
      </c>
      <c r="D22" s="3157">
        <v>27600</v>
      </c>
      <c r="E22" s="3157">
        <v>28150</v>
      </c>
      <c r="F22" s="3163"/>
      <c r="G22" s="3164">
        <v>20080</v>
      </c>
      <c r="L22" s="3166" t="s">
        <v>2822</v>
      </c>
      <c r="M22" s="3157" t="s">
        <v>1120</v>
      </c>
      <c r="N22" s="3157" t="s">
        <v>1121</v>
      </c>
      <c r="O22" s="3157" t="s">
        <v>1122</v>
      </c>
      <c r="P22" s="3157" t="s">
        <v>2899</v>
      </c>
      <c r="Q22" s="3157" t="s">
        <v>1135</v>
      </c>
      <c r="R22" s="3157" t="s">
        <v>1144</v>
      </c>
      <c r="S22" s="3157" t="s">
        <v>1091</v>
      </c>
      <c r="T22" s="1215"/>
    </row>
    <row r="23" spans="1:20" ht="14.25" customHeight="1">
      <c r="A23" s="3157" t="s">
        <v>1031</v>
      </c>
      <c r="B23" s="1215" t="s">
        <v>1070</v>
      </c>
      <c r="C23" s="3157">
        <v>27800</v>
      </c>
      <c r="D23" s="3157">
        <v>26900</v>
      </c>
      <c r="E23" s="3157">
        <v>27170</v>
      </c>
      <c r="F23" s="3163"/>
      <c r="G23" s="3164">
        <v>19570</v>
      </c>
      <c r="L23" s="3166" t="s">
        <v>2823</v>
      </c>
      <c r="M23" s="3157" t="s">
        <v>1127</v>
      </c>
      <c r="N23" s="3157" t="s">
        <v>1128</v>
      </c>
      <c r="O23" s="3157" t="s">
        <v>2853</v>
      </c>
      <c r="P23" s="3157" t="s">
        <v>2900</v>
      </c>
      <c r="Q23" s="3157" t="s">
        <v>1138</v>
      </c>
      <c r="R23" s="3157" t="s">
        <v>1147</v>
      </c>
      <c r="S23" s="3157" t="s">
        <v>2994</v>
      </c>
    </row>
    <row r="24" spans="1:20" ht="14.25" customHeight="1">
      <c r="A24" s="3157" t="s">
        <v>1031</v>
      </c>
      <c r="B24" s="1215" t="s">
        <v>1078</v>
      </c>
      <c r="C24" s="3157">
        <v>27930</v>
      </c>
      <c r="D24" s="3157">
        <v>32260</v>
      </c>
      <c r="E24" s="3157">
        <v>32120</v>
      </c>
      <c r="F24" s="3163"/>
      <c r="G24" s="3164">
        <v>23470</v>
      </c>
      <c r="L24" s="3166" t="s">
        <v>2824</v>
      </c>
      <c r="M24" s="3157" t="s">
        <v>1130</v>
      </c>
      <c r="N24" s="3157" t="s">
        <v>1131</v>
      </c>
      <c r="O24" s="3157" t="s">
        <v>2854</v>
      </c>
      <c r="P24" s="3157" t="s">
        <v>1134</v>
      </c>
      <c r="Q24" s="3157" t="s">
        <v>2929</v>
      </c>
      <c r="R24" s="3157" t="s">
        <v>2957</v>
      </c>
      <c r="S24" s="3157" t="s">
        <v>2995</v>
      </c>
    </row>
    <row r="25" spans="1:20" ht="14.25" customHeight="1">
      <c r="A25" s="3157" t="s">
        <v>1031</v>
      </c>
      <c r="B25" s="1215" t="s">
        <v>1083</v>
      </c>
      <c r="C25" s="3157">
        <v>32230</v>
      </c>
      <c r="D25" s="3157">
        <v>29640</v>
      </c>
      <c r="E25" s="3157">
        <v>29510</v>
      </c>
      <c r="F25" s="3163"/>
      <c r="G25" s="3164">
        <v>21560</v>
      </c>
      <c r="L25" s="3166" t="s">
        <v>2825</v>
      </c>
      <c r="M25" s="3157" t="s">
        <v>2828</v>
      </c>
      <c r="N25" s="3157" t="s">
        <v>1133</v>
      </c>
      <c r="O25" s="3157" t="s">
        <v>1141</v>
      </c>
      <c r="P25" s="3157" t="s">
        <v>1137</v>
      </c>
      <c r="Q25" s="3157" t="s">
        <v>1124</v>
      </c>
      <c r="R25" s="3157" t="s">
        <v>1119</v>
      </c>
      <c r="S25" s="3157" t="s">
        <v>2996</v>
      </c>
    </row>
    <row r="26" spans="1:20" ht="14.25" customHeight="1">
      <c r="A26" s="3157" t="s">
        <v>1031</v>
      </c>
      <c r="B26" s="1215" t="s">
        <v>1092</v>
      </c>
      <c r="C26" s="3157">
        <v>31690</v>
      </c>
      <c r="D26" s="3157">
        <v>27650</v>
      </c>
      <c r="E26" s="3157">
        <v>28200</v>
      </c>
      <c r="F26" s="3163"/>
      <c r="G26" s="3164">
        <v>20110</v>
      </c>
      <c r="L26" s="3166" t="s">
        <v>2826</v>
      </c>
      <c r="M26" s="3157" t="s">
        <v>2829</v>
      </c>
      <c r="N26" s="3157" t="s">
        <v>1136</v>
      </c>
      <c r="O26" s="3157" t="s">
        <v>1143</v>
      </c>
      <c r="P26" s="3157" t="s">
        <v>2901</v>
      </c>
      <c r="Q26" s="3157" t="s">
        <v>2930</v>
      </c>
      <c r="R26" s="3157" t="s">
        <v>1125</v>
      </c>
      <c r="S26" s="3157" t="s">
        <v>2997</v>
      </c>
    </row>
    <row r="27" spans="1:20" ht="14.25" customHeight="1">
      <c r="A27" s="3157" t="s">
        <v>1031</v>
      </c>
      <c r="B27" s="1215" t="s">
        <v>1099</v>
      </c>
      <c r="C27" s="3157">
        <v>29610</v>
      </c>
      <c r="D27" s="3157">
        <v>27770</v>
      </c>
      <c r="E27" s="3157">
        <v>28300</v>
      </c>
      <c r="F27" s="3163"/>
      <c r="G27" s="3164">
        <v>20210</v>
      </c>
      <c r="M27" s="3157" t="s">
        <v>2830</v>
      </c>
      <c r="N27" s="3157" t="s">
        <v>1140</v>
      </c>
      <c r="O27" s="3157" t="s">
        <v>1146</v>
      </c>
      <c r="P27" s="3157" t="s">
        <v>1123</v>
      </c>
      <c r="Q27" s="3157" t="s">
        <v>2931</v>
      </c>
      <c r="R27" s="3157" t="s">
        <v>2958</v>
      </c>
      <c r="S27" s="3157" t="s">
        <v>2998</v>
      </c>
    </row>
    <row r="28" spans="1:20" ht="14.25" customHeight="1">
      <c r="A28" s="3171" t="s">
        <v>1031</v>
      </c>
      <c r="B28" s="2405" t="s">
        <v>1107</v>
      </c>
      <c r="C28" s="1213"/>
      <c r="D28" s="1213">
        <v>31520</v>
      </c>
      <c r="E28" s="1213">
        <v>31410</v>
      </c>
      <c r="F28" s="3168"/>
      <c r="G28" s="3169">
        <v>22940</v>
      </c>
      <c r="M28" s="3157" t="s">
        <v>2831</v>
      </c>
      <c r="N28" s="3157" t="s">
        <v>2838</v>
      </c>
      <c r="O28" s="3157" t="s">
        <v>2855</v>
      </c>
      <c r="P28" s="3157" t="s">
        <v>2902</v>
      </c>
      <c r="Q28" s="3157" t="s">
        <v>2932</v>
      </c>
      <c r="R28" s="3157" t="s">
        <v>2959</v>
      </c>
      <c r="S28" s="3166" t="s">
        <v>2999</v>
      </c>
    </row>
    <row r="29" spans="1:20" ht="14.25" customHeight="1" thickBot="1">
      <c r="A29" s="3172" t="s">
        <v>1031</v>
      </c>
      <c r="B29" s="3160" t="s">
        <v>2820</v>
      </c>
      <c r="C29" s="3160"/>
      <c r="D29" s="3160">
        <v>29460</v>
      </c>
      <c r="E29" s="3160">
        <v>28640</v>
      </c>
      <c r="F29" s="3161"/>
      <c r="G29" s="3173">
        <v>21430</v>
      </c>
      <c r="M29" s="3166" t="s">
        <v>2832</v>
      </c>
      <c r="N29" s="3157" t="s">
        <v>2839</v>
      </c>
      <c r="O29" s="3157" t="s">
        <v>2856</v>
      </c>
      <c r="P29" s="3157" t="s">
        <v>2903</v>
      </c>
      <c r="Q29" s="3157" t="s">
        <v>2933</v>
      </c>
      <c r="R29" s="3157" t="s">
        <v>2960</v>
      </c>
      <c r="S29" s="3166" t="s">
        <v>1129</v>
      </c>
    </row>
    <row r="30" spans="1:20" ht="14.25" customHeight="1">
      <c r="A30" s="3171" t="s">
        <v>1145</v>
      </c>
      <c r="B30" s="1215" t="s">
        <v>2821</v>
      </c>
      <c r="C30" s="1215">
        <v>26890</v>
      </c>
      <c r="D30" s="1215">
        <v>26770</v>
      </c>
      <c r="E30" s="1215">
        <v>25700</v>
      </c>
      <c r="F30" s="3158">
        <v>8180</v>
      </c>
      <c r="G30" s="3158">
        <v>18740</v>
      </c>
      <c r="I30" s="970"/>
      <c r="M30" s="3166" t="s">
        <v>2833</v>
      </c>
      <c r="N30" s="3157" t="s">
        <v>2840</v>
      </c>
      <c r="O30" s="3157" t="s">
        <v>2857</v>
      </c>
      <c r="P30" s="3157" t="s">
        <v>2904</v>
      </c>
      <c r="Q30" s="3157" t="s">
        <v>2934</v>
      </c>
      <c r="R30" s="3157" t="s">
        <v>2961</v>
      </c>
      <c r="S30" s="3166" t="s">
        <v>3000</v>
      </c>
    </row>
    <row r="31" spans="1:20" ht="14.25" customHeight="1">
      <c r="A31" s="3157" t="s">
        <v>1145</v>
      </c>
      <c r="B31" s="1215" t="s">
        <v>974</v>
      </c>
      <c r="C31" s="3157">
        <v>24550</v>
      </c>
      <c r="D31" s="3157">
        <v>23990</v>
      </c>
      <c r="E31" s="3157">
        <v>22930</v>
      </c>
      <c r="F31" s="3163">
        <v>7470</v>
      </c>
      <c r="G31" s="3163">
        <v>16790</v>
      </c>
      <c r="I31" s="970"/>
      <c r="M31" s="3166" t="s">
        <v>2834</v>
      </c>
      <c r="N31" s="3157" t="s">
        <v>2841</v>
      </c>
      <c r="O31" s="3157" t="s">
        <v>2858</v>
      </c>
      <c r="P31" s="3157" t="s">
        <v>2905</v>
      </c>
      <c r="Q31" s="3157" t="s">
        <v>2935</v>
      </c>
      <c r="R31" s="3157" t="s">
        <v>2962</v>
      </c>
      <c r="S31" s="3166" t="s">
        <v>3001</v>
      </c>
    </row>
    <row r="32" spans="1:20" ht="14.25" customHeight="1">
      <c r="A32" s="3157" t="s">
        <v>1145</v>
      </c>
      <c r="B32" s="1215" t="s">
        <v>984</v>
      </c>
      <c r="C32" s="3157">
        <v>27210</v>
      </c>
      <c r="D32" s="3157">
        <v>23240</v>
      </c>
      <c r="E32" s="3157">
        <v>23260</v>
      </c>
      <c r="F32" s="3163">
        <v>7130</v>
      </c>
      <c r="G32" s="3163">
        <v>16270</v>
      </c>
      <c r="I32" s="970"/>
      <c r="M32" s="3166" t="s">
        <v>2835</v>
      </c>
      <c r="N32" s="3157" t="s">
        <v>2842</v>
      </c>
      <c r="O32" s="3157" t="s">
        <v>1149</v>
      </c>
      <c r="P32" s="3157" t="s">
        <v>2906</v>
      </c>
      <c r="Q32" s="3157" t="s">
        <v>1148</v>
      </c>
      <c r="R32" s="3157" t="s">
        <v>2963</v>
      </c>
      <c r="S32" s="3166" t="s">
        <v>3002</v>
      </c>
    </row>
    <row r="33" spans="1:18" ht="14.25" customHeight="1">
      <c r="A33" s="3157" t="s">
        <v>1145</v>
      </c>
      <c r="B33" s="1215" t="s">
        <v>993</v>
      </c>
      <c r="C33" s="3157">
        <v>27300</v>
      </c>
      <c r="D33" s="3157">
        <v>22980</v>
      </c>
      <c r="E33" s="3157">
        <v>24260</v>
      </c>
      <c r="F33" s="3163">
        <v>5860</v>
      </c>
      <c r="G33" s="3163">
        <v>16090</v>
      </c>
      <c r="I33" s="970"/>
      <c r="M33" s="3166" t="s">
        <v>2836</v>
      </c>
      <c r="N33" s="3157" t="s">
        <v>2843</v>
      </c>
      <c r="O33" s="3157" t="s">
        <v>1150</v>
      </c>
      <c r="P33" s="3157" t="s">
        <v>2907</v>
      </c>
      <c r="Q33" s="3157" t="s">
        <v>2936</v>
      </c>
      <c r="R33" s="3157" t="s">
        <v>2964</v>
      </c>
    </row>
    <row r="34" spans="1:18" ht="14.25" customHeight="1">
      <c r="A34" s="3157" t="s">
        <v>1145</v>
      </c>
      <c r="B34" s="1215" t="s">
        <v>1003</v>
      </c>
      <c r="C34" s="3157">
        <v>23090</v>
      </c>
      <c r="D34" s="3157">
        <v>23390</v>
      </c>
      <c r="E34" s="3157">
        <v>23510</v>
      </c>
      <c r="F34" s="3163">
        <v>6700</v>
      </c>
      <c r="G34" s="3163">
        <v>16370</v>
      </c>
      <c r="I34" s="970"/>
      <c r="N34" s="3157" t="s">
        <v>2844</v>
      </c>
      <c r="O34" s="3157" t="s">
        <v>1151</v>
      </c>
      <c r="P34" s="3157" t="s">
        <v>2908</v>
      </c>
      <c r="Q34" s="3157" t="s">
        <v>2937</v>
      </c>
      <c r="R34" s="3157" t="s">
        <v>2965</v>
      </c>
    </row>
    <row r="35" spans="1:18" ht="14.25" customHeight="1">
      <c r="A35" s="3157" t="s">
        <v>1145</v>
      </c>
      <c r="B35" s="1215" t="s">
        <v>1010</v>
      </c>
      <c r="C35" s="3157">
        <v>27270</v>
      </c>
      <c r="D35" s="3157">
        <v>24270</v>
      </c>
      <c r="E35" s="3157">
        <v>24950</v>
      </c>
      <c r="F35" s="3163">
        <v>6600</v>
      </c>
      <c r="G35" s="3163">
        <v>16990</v>
      </c>
      <c r="I35" s="970"/>
      <c r="N35" s="3157" t="s">
        <v>2845</v>
      </c>
      <c r="O35" s="3157" t="s">
        <v>2859</v>
      </c>
      <c r="P35" s="3157" t="s">
        <v>2909</v>
      </c>
      <c r="Q35" s="3157" t="s">
        <v>2938</v>
      </c>
      <c r="R35" s="3157" t="s">
        <v>2966</v>
      </c>
    </row>
    <row r="36" spans="1:18" ht="14.25" customHeight="1">
      <c r="A36" s="3157" t="s">
        <v>1145</v>
      </c>
      <c r="B36" s="1215" t="s">
        <v>1016</v>
      </c>
      <c r="C36" s="3157">
        <v>23490</v>
      </c>
      <c r="D36" s="3157">
        <v>23020</v>
      </c>
      <c r="E36" s="3157">
        <v>25230</v>
      </c>
      <c r="F36" s="3163">
        <v>6780</v>
      </c>
      <c r="G36" s="3163">
        <v>16120</v>
      </c>
      <c r="I36" s="970"/>
      <c r="N36" s="3166" t="s">
        <v>2846</v>
      </c>
      <c r="O36" s="3193" t="s">
        <v>2860</v>
      </c>
      <c r="P36" s="3157" t="s">
        <v>2910</v>
      </c>
      <c r="Q36" s="3157" t="s">
        <v>2939</v>
      </c>
      <c r="R36" s="3157" t="s">
        <v>2967</v>
      </c>
    </row>
    <row r="37" spans="1:18" ht="14.25" customHeight="1">
      <c r="A37" s="3157" t="s">
        <v>1145</v>
      </c>
      <c r="B37" s="1215" t="s">
        <v>1023</v>
      </c>
      <c r="C37" s="3157">
        <v>24380</v>
      </c>
      <c r="D37" s="3157">
        <v>22240</v>
      </c>
      <c r="E37" s="3157">
        <v>25980</v>
      </c>
      <c r="F37" s="3163">
        <v>8160</v>
      </c>
      <c r="G37" s="3163">
        <v>15570</v>
      </c>
      <c r="I37" s="971"/>
      <c r="N37" s="3166" t="s">
        <v>2847</v>
      </c>
      <c r="O37" s="3193" t="s">
        <v>2861</v>
      </c>
      <c r="P37" s="3157" t="s">
        <v>2911</v>
      </c>
      <c r="Q37" s="3157" t="s">
        <v>2940</v>
      </c>
      <c r="R37" s="3157" t="s">
        <v>2968</v>
      </c>
    </row>
    <row r="38" spans="1:18" ht="14.25" customHeight="1">
      <c r="A38" s="3157" t="s">
        <v>1145</v>
      </c>
      <c r="B38" s="1215" t="s">
        <v>1033</v>
      </c>
      <c r="C38" s="3157">
        <v>23120</v>
      </c>
      <c r="D38" s="3157">
        <v>24630</v>
      </c>
      <c r="E38" s="3157">
        <v>25030</v>
      </c>
      <c r="F38" s="3163">
        <v>7710</v>
      </c>
      <c r="G38" s="3163">
        <v>17240</v>
      </c>
      <c r="I38" s="970"/>
      <c r="N38" s="3166" t="s">
        <v>2848</v>
      </c>
      <c r="O38" s="3193" t="s">
        <v>2862</v>
      </c>
      <c r="P38" s="3157" t="s">
        <v>2912</v>
      </c>
      <c r="Q38" s="3157" t="s">
        <v>2941</v>
      </c>
      <c r="R38" s="3157" t="s">
        <v>2969</v>
      </c>
    </row>
    <row r="39" spans="1:18" ht="14.25" customHeight="1">
      <c r="A39" s="3157" t="s">
        <v>1145</v>
      </c>
      <c r="B39" s="1215" t="s">
        <v>1042</v>
      </c>
      <c r="C39" s="3157">
        <v>22330</v>
      </c>
      <c r="D39" s="3157">
        <v>21140</v>
      </c>
      <c r="E39" s="3157">
        <v>23970</v>
      </c>
      <c r="F39" s="3163">
        <v>7940</v>
      </c>
      <c r="G39" s="3163">
        <v>14790</v>
      </c>
      <c r="I39" s="970"/>
      <c r="N39" s="3166" t="s">
        <v>2849</v>
      </c>
      <c r="O39" s="3193" t="s">
        <v>2863</v>
      </c>
      <c r="P39" s="3157" t="s">
        <v>2913</v>
      </c>
      <c r="Q39" s="3157" t="s">
        <v>2942</v>
      </c>
      <c r="R39" s="3157" t="s">
        <v>2970</v>
      </c>
    </row>
    <row r="40" spans="1:18" ht="14.25" customHeight="1">
      <c r="A40" s="3157" t="s">
        <v>1145</v>
      </c>
      <c r="B40" s="1215" t="s">
        <v>1049</v>
      </c>
      <c r="C40" s="3157">
        <v>24740</v>
      </c>
      <c r="D40" s="3157">
        <v>24690</v>
      </c>
      <c r="E40" s="3157">
        <v>22610</v>
      </c>
      <c r="F40" s="3163"/>
      <c r="G40" s="3163">
        <v>17280</v>
      </c>
      <c r="I40" s="970"/>
      <c r="N40" s="3166" t="s">
        <v>2850</v>
      </c>
      <c r="O40" s="3193" t="s">
        <v>2864</v>
      </c>
      <c r="P40" s="3157" t="s">
        <v>2914</v>
      </c>
      <c r="Q40" s="3157" t="s">
        <v>2943</v>
      </c>
      <c r="R40" s="3157" t="s">
        <v>2971</v>
      </c>
    </row>
    <row r="41" spans="1:18" ht="14.25" customHeight="1">
      <c r="A41" s="3157" t="s">
        <v>1145</v>
      </c>
      <c r="B41" s="1215" t="s">
        <v>1056</v>
      </c>
      <c r="C41" s="3157">
        <v>21220</v>
      </c>
      <c r="D41" s="3157">
        <v>21120</v>
      </c>
      <c r="E41" s="3157">
        <v>22590</v>
      </c>
      <c r="F41" s="3163"/>
      <c r="G41" s="3163">
        <v>14780</v>
      </c>
      <c r="I41" s="970"/>
      <c r="N41" s="3166" t="s">
        <v>2851</v>
      </c>
      <c r="O41" s="3194" t="s">
        <v>2865</v>
      </c>
      <c r="P41" s="1215" t="s">
        <v>2915</v>
      </c>
      <c r="Q41" s="3166" t="s">
        <v>2944</v>
      </c>
      <c r="R41" s="1215" t="s">
        <v>2972</v>
      </c>
    </row>
    <row r="42" spans="1:18" ht="14.25" customHeight="1">
      <c r="A42" s="3157" t="s">
        <v>1145</v>
      </c>
      <c r="B42" s="1215" t="s">
        <v>1063</v>
      </c>
      <c r="C42" s="3157">
        <v>24800</v>
      </c>
      <c r="D42" s="3157">
        <v>22280</v>
      </c>
      <c r="E42" s="3157">
        <v>24350</v>
      </c>
      <c r="F42" s="3163"/>
      <c r="G42" s="3163">
        <v>15590</v>
      </c>
      <c r="I42" s="970"/>
      <c r="O42" s="3157" t="s">
        <v>2866</v>
      </c>
      <c r="P42" s="3157" t="s">
        <v>2916</v>
      </c>
      <c r="Q42" s="3166" t="s">
        <v>2945</v>
      </c>
      <c r="R42" s="3157" t="s">
        <v>2973</v>
      </c>
    </row>
    <row r="43" spans="1:18" ht="14.25" customHeight="1">
      <c r="A43" s="3157" t="s">
        <v>1145</v>
      </c>
      <c r="B43" s="1215" t="s">
        <v>1071</v>
      </c>
      <c r="C43" s="3157">
        <v>21210</v>
      </c>
      <c r="D43" s="3157">
        <v>21160</v>
      </c>
      <c r="E43" s="3157">
        <v>22650</v>
      </c>
      <c r="F43" s="3163"/>
      <c r="G43" s="3163">
        <v>14800</v>
      </c>
      <c r="I43" s="970"/>
      <c r="O43" s="3157" t="s">
        <v>2867</v>
      </c>
      <c r="P43" s="3157" t="s">
        <v>2917</v>
      </c>
      <c r="Q43" s="3166" t="s">
        <v>2946</v>
      </c>
      <c r="R43" s="3157" t="s">
        <v>2974</v>
      </c>
    </row>
    <row r="44" spans="1:18" ht="14.25" customHeight="1">
      <c r="A44" s="3157" t="s">
        <v>1145</v>
      </c>
      <c r="B44" s="1215" t="s">
        <v>1079</v>
      </c>
      <c r="C44" s="3157">
        <v>22370</v>
      </c>
      <c r="D44" s="3157">
        <v>23140</v>
      </c>
      <c r="E44" s="3157">
        <v>25090</v>
      </c>
      <c r="F44" s="3163"/>
      <c r="G44" s="3163">
        <v>16190</v>
      </c>
      <c r="I44" s="970"/>
      <c r="O44" s="3157" t="s">
        <v>2868</v>
      </c>
      <c r="P44" s="3157" t="s">
        <v>2918</v>
      </c>
      <c r="Q44" s="3166" t="s">
        <v>2947</v>
      </c>
      <c r="R44" s="3157" t="s">
        <v>2975</v>
      </c>
    </row>
    <row r="45" spans="1:18" ht="14.25" customHeight="1">
      <c r="A45" s="3157" t="s">
        <v>1145</v>
      </c>
      <c r="B45" s="1215" t="s">
        <v>1084</v>
      </c>
      <c r="C45" s="3157">
        <v>21240</v>
      </c>
      <c r="D45" s="3157">
        <v>27050</v>
      </c>
      <c r="E45" s="3157">
        <v>28000</v>
      </c>
      <c r="F45" s="3163"/>
      <c r="G45" s="3163">
        <v>18940</v>
      </c>
      <c r="I45" s="970"/>
      <c r="O45" s="3157" t="s">
        <v>2869</v>
      </c>
      <c r="P45" s="3157" t="s">
        <v>2919</v>
      </c>
      <c r="R45" s="3157" t="s">
        <v>2976</v>
      </c>
    </row>
    <row r="46" spans="1:18" ht="14.25" customHeight="1">
      <c r="A46" s="3157" t="s">
        <v>1145</v>
      </c>
      <c r="B46" s="1215" t="s">
        <v>1093</v>
      </c>
      <c r="C46" s="3157">
        <v>23240</v>
      </c>
      <c r="D46" s="3157">
        <v>23000</v>
      </c>
      <c r="E46" s="3157">
        <v>24980</v>
      </c>
      <c r="F46" s="3163"/>
      <c r="G46" s="3163">
        <v>16100</v>
      </c>
      <c r="I46" s="970"/>
      <c r="O46" s="3157" t="s">
        <v>2870</v>
      </c>
      <c r="P46" s="3157"/>
      <c r="R46" s="3157" t="s">
        <v>2977</v>
      </c>
    </row>
    <row r="47" spans="1:18" ht="14.25" customHeight="1">
      <c r="A47" s="3157" t="s">
        <v>1145</v>
      </c>
      <c r="B47" s="2405" t="s">
        <v>1100</v>
      </c>
      <c r="C47" s="1213">
        <v>27150</v>
      </c>
      <c r="D47" s="1213">
        <v>23310</v>
      </c>
      <c r="E47" s="1213">
        <v>25150</v>
      </c>
      <c r="F47" s="3168"/>
      <c r="G47" s="3168">
        <v>16310</v>
      </c>
      <c r="I47" s="970"/>
      <c r="O47" s="3157" t="s">
        <v>2871</v>
      </c>
      <c r="P47" s="3157"/>
      <c r="R47" s="3166" t="s">
        <v>2978</v>
      </c>
    </row>
    <row r="48" spans="1:18" ht="14.25" customHeight="1">
      <c r="A48" s="3157" t="s">
        <v>1145</v>
      </c>
      <c r="B48" s="3157" t="s">
        <v>1108</v>
      </c>
      <c r="C48" s="3157">
        <v>23100</v>
      </c>
      <c r="D48" s="3157">
        <v>21110</v>
      </c>
      <c r="E48" s="3157">
        <v>23080</v>
      </c>
      <c r="F48" s="3163"/>
      <c r="G48" s="3170">
        <v>14780</v>
      </c>
      <c r="I48" s="970"/>
      <c r="O48" s="3157" t="s">
        <v>2872</v>
      </c>
      <c r="P48" s="3157"/>
      <c r="R48" s="3166" t="s">
        <v>2979</v>
      </c>
    </row>
    <row r="49" spans="1:18" ht="14.25" customHeight="1">
      <c r="A49" s="3157" t="s">
        <v>1145</v>
      </c>
      <c r="B49" s="1215" t="s">
        <v>1115</v>
      </c>
      <c r="C49" s="1215">
        <v>23400</v>
      </c>
      <c r="D49" s="1215">
        <v>22920</v>
      </c>
      <c r="E49" s="1215">
        <v>24900</v>
      </c>
      <c r="F49" s="3158"/>
      <c r="G49" s="3158">
        <v>16040</v>
      </c>
      <c r="I49" s="970"/>
      <c r="O49" s="3157" t="s">
        <v>2873</v>
      </c>
      <c r="P49" s="3157"/>
      <c r="R49" s="3166" t="s">
        <v>2980</v>
      </c>
    </row>
    <row r="50" spans="1:18" ht="14.25" customHeight="1">
      <c r="A50" s="3157" t="s">
        <v>1145</v>
      </c>
      <c r="B50" s="3157" t="s">
        <v>2822</v>
      </c>
      <c r="C50" s="3157">
        <v>21200</v>
      </c>
      <c r="D50" s="3157">
        <v>26540</v>
      </c>
      <c r="E50" s="3157">
        <v>23200</v>
      </c>
      <c r="F50" s="3163"/>
      <c r="G50" s="3163">
        <v>18580</v>
      </c>
      <c r="I50" s="970"/>
      <c r="O50" s="3166" t="s">
        <v>2874</v>
      </c>
      <c r="R50" s="3166" t="s">
        <v>2981</v>
      </c>
    </row>
    <row r="51" spans="1:18" ht="14.25" customHeight="1">
      <c r="A51" s="3157" t="s">
        <v>1145</v>
      </c>
      <c r="B51" s="3157" t="s">
        <v>2823</v>
      </c>
      <c r="C51" s="3157">
        <v>23000</v>
      </c>
      <c r="D51" s="3157">
        <v>23460</v>
      </c>
      <c r="E51" s="3157">
        <v>25290</v>
      </c>
      <c r="F51" s="3163"/>
      <c r="G51" s="3163">
        <v>16420</v>
      </c>
      <c r="I51" s="970"/>
      <c r="O51" s="3166" t="s">
        <v>2875</v>
      </c>
      <c r="R51" s="3166" t="s">
        <v>2982</v>
      </c>
    </row>
    <row r="52" spans="1:18" ht="14.25" customHeight="1">
      <c r="A52" s="3157" t="s">
        <v>1145</v>
      </c>
      <c r="B52" s="3157" t="s">
        <v>2824</v>
      </c>
      <c r="C52" s="3157">
        <v>26660</v>
      </c>
      <c r="D52" s="3157">
        <v>22350</v>
      </c>
      <c r="E52" s="3157">
        <v>22920</v>
      </c>
      <c r="F52" s="3163"/>
      <c r="G52" s="3163">
        <v>15640</v>
      </c>
      <c r="I52" s="970"/>
      <c r="O52" s="3166" t="s">
        <v>2876</v>
      </c>
    </row>
    <row r="53" spans="1:18" ht="14.25" customHeight="1">
      <c r="A53" s="3157" t="s">
        <v>1145</v>
      </c>
      <c r="B53" s="3157" t="s">
        <v>2825</v>
      </c>
      <c r="C53" s="3157">
        <v>23580</v>
      </c>
      <c r="D53" s="3157"/>
      <c r="E53" s="3157">
        <v>24280</v>
      </c>
      <c r="F53" s="3163"/>
      <c r="G53" s="3163"/>
      <c r="I53" s="970"/>
      <c r="O53" s="3166" t="s">
        <v>2877</v>
      </c>
    </row>
    <row r="54" spans="1:18" ht="14.25" customHeight="1" thickBot="1">
      <c r="A54" s="3172" t="s">
        <v>1145</v>
      </c>
      <c r="B54" s="3160" t="s">
        <v>2826</v>
      </c>
      <c r="C54" s="3160">
        <v>22460</v>
      </c>
      <c r="D54" s="3160"/>
      <c r="E54" s="3160"/>
      <c r="F54" s="3161"/>
      <c r="G54" s="3173"/>
      <c r="I54" s="970"/>
      <c r="O54" s="3166" t="s">
        <v>2878</v>
      </c>
    </row>
    <row r="55" spans="1:18" ht="14.25" customHeight="1">
      <c r="A55" s="3171" t="s">
        <v>853</v>
      </c>
      <c r="B55" s="1215" t="s">
        <v>2827</v>
      </c>
      <c r="C55" s="1215">
        <v>21970</v>
      </c>
      <c r="D55" s="1215">
        <v>20370</v>
      </c>
      <c r="E55" s="1215">
        <v>20180</v>
      </c>
      <c r="F55" s="3158">
        <v>5730</v>
      </c>
      <c r="G55" s="3158">
        <v>13820</v>
      </c>
      <c r="I55" s="970"/>
      <c r="O55" s="3166" t="s">
        <v>2879</v>
      </c>
    </row>
    <row r="56" spans="1:18" ht="14.25" customHeight="1">
      <c r="A56" s="3157" t="s">
        <v>853</v>
      </c>
      <c r="B56" s="3157" t="s">
        <v>975</v>
      </c>
      <c r="C56" s="3157">
        <v>20470</v>
      </c>
      <c r="D56" s="3157">
        <v>20700</v>
      </c>
      <c r="E56" s="3157">
        <v>20380</v>
      </c>
      <c r="F56" s="3163">
        <v>4760</v>
      </c>
      <c r="G56" s="3163">
        <v>14050</v>
      </c>
      <c r="I56" s="970"/>
      <c r="O56" s="3166" t="s">
        <v>2880</v>
      </c>
    </row>
    <row r="57" spans="1:18" ht="14.25" customHeight="1">
      <c r="A57" s="3157" t="s">
        <v>853</v>
      </c>
      <c r="B57" s="3157" t="s">
        <v>985</v>
      </c>
      <c r="C57" s="3157">
        <v>20790</v>
      </c>
      <c r="D57" s="3157">
        <v>21370</v>
      </c>
      <c r="E57" s="3157">
        <v>20890</v>
      </c>
      <c r="F57" s="3163">
        <v>4910</v>
      </c>
      <c r="G57" s="3163">
        <v>14510</v>
      </c>
      <c r="I57" s="970"/>
      <c r="O57" s="3166" t="s">
        <v>2881</v>
      </c>
    </row>
    <row r="58" spans="1:18" ht="14.25" customHeight="1">
      <c r="A58" s="3157" t="s">
        <v>853</v>
      </c>
      <c r="B58" s="3157" t="s">
        <v>994</v>
      </c>
      <c r="C58" s="3157">
        <v>21460</v>
      </c>
      <c r="D58" s="3157">
        <v>20920</v>
      </c>
      <c r="E58" s="3157">
        <v>23410</v>
      </c>
      <c r="F58" s="3163">
        <v>5100</v>
      </c>
      <c r="G58" s="3163">
        <v>14200</v>
      </c>
      <c r="I58" s="970"/>
      <c r="O58" s="3166" t="s">
        <v>2882</v>
      </c>
    </row>
    <row r="59" spans="1:18" ht="14.25" customHeight="1">
      <c r="A59" s="3157" t="s">
        <v>853</v>
      </c>
      <c r="B59" s="3157" t="s">
        <v>1004</v>
      </c>
      <c r="C59" s="3157">
        <v>21000</v>
      </c>
      <c r="D59" s="3157">
        <v>21550</v>
      </c>
      <c r="E59" s="3157">
        <v>21150</v>
      </c>
      <c r="F59" s="3163">
        <v>5250</v>
      </c>
      <c r="G59" s="3163">
        <v>14630</v>
      </c>
      <c r="I59" s="970"/>
      <c r="O59" s="3166" t="s">
        <v>2883</v>
      </c>
    </row>
    <row r="60" spans="1:18" ht="14.25" customHeight="1">
      <c r="A60" s="3157" t="s">
        <v>853</v>
      </c>
      <c r="B60" s="3157" t="s">
        <v>1011</v>
      </c>
      <c r="C60" s="3157">
        <v>21640</v>
      </c>
      <c r="D60" s="3157">
        <v>21260</v>
      </c>
      <c r="E60" s="3157">
        <v>24040</v>
      </c>
      <c r="F60" s="3163">
        <v>4470</v>
      </c>
      <c r="G60" s="3163">
        <v>14430</v>
      </c>
      <c r="I60" s="970"/>
      <c r="O60" s="3166" t="s">
        <v>2884</v>
      </c>
    </row>
    <row r="61" spans="1:18" ht="14.25" customHeight="1">
      <c r="A61" s="3157" t="s">
        <v>853</v>
      </c>
      <c r="B61" s="3157" t="s">
        <v>1017</v>
      </c>
      <c r="C61" s="3157">
        <v>21330</v>
      </c>
      <c r="D61" s="3157">
        <v>18640</v>
      </c>
      <c r="E61" s="3157">
        <v>21190</v>
      </c>
      <c r="F61" s="3163">
        <v>4180</v>
      </c>
      <c r="G61" s="3165">
        <v>12650</v>
      </c>
      <c r="I61" s="970"/>
      <c r="O61" s="3166" t="s">
        <v>2885</v>
      </c>
    </row>
    <row r="62" spans="1:18" ht="14.25" customHeight="1">
      <c r="A62" s="3157" t="s">
        <v>853</v>
      </c>
      <c r="B62" s="3157" t="s">
        <v>1024</v>
      </c>
      <c r="C62" s="3157">
        <v>18710</v>
      </c>
      <c r="D62" s="3157">
        <v>19400</v>
      </c>
      <c r="E62" s="3157">
        <v>23750</v>
      </c>
      <c r="F62" s="3163">
        <v>4860</v>
      </c>
      <c r="G62" s="3165">
        <v>13170</v>
      </c>
      <c r="I62" s="970"/>
      <c r="O62" s="3166" t="s">
        <v>2886</v>
      </c>
    </row>
    <row r="63" spans="1:18" ht="14.25" customHeight="1">
      <c r="A63" s="3157" t="s">
        <v>853</v>
      </c>
      <c r="B63" s="3157" t="s">
        <v>1034</v>
      </c>
      <c r="C63" s="3157">
        <v>19480</v>
      </c>
      <c r="D63" s="3157">
        <v>16830</v>
      </c>
      <c r="E63" s="3157">
        <v>21590</v>
      </c>
      <c r="F63" s="3163">
        <v>4560</v>
      </c>
      <c r="G63" s="3165">
        <v>11420</v>
      </c>
      <c r="I63" s="970"/>
      <c r="O63" s="3166" t="s">
        <v>2887</v>
      </c>
    </row>
    <row r="64" spans="1:18" ht="14.25" customHeight="1">
      <c r="A64" s="3157" t="s">
        <v>853</v>
      </c>
      <c r="B64" s="3157" t="s">
        <v>1043</v>
      </c>
      <c r="C64" s="3157">
        <v>16920</v>
      </c>
      <c r="D64" s="3157">
        <v>19190</v>
      </c>
      <c r="E64" s="3157">
        <v>22200</v>
      </c>
      <c r="F64" s="3163">
        <v>4390</v>
      </c>
      <c r="G64" s="3165">
        <v>13030</v>
      </c>
      <c r="I64" s="970"/>
      <c r="O64" s="3166" t="s">
        <v>2888</v>
      </c>
    </row>
    <row r="65" spans="1:21" s="959" customFormat="1" ht="14.25" customHeight="1">
      <c r="A65" s="3157" t="s">
        <v>853</v>
      </c>
      <c r="B65" s="3157" t="s">
        <v>1050</v>
      </c>
      <c r="C65" s="3157">
        <v>19290</v>
      </c>
      <c r="D65" s="3157">
        <v>17020</v>
      </c>
      <c r="E65" s="3157">
        <v>19880</v>
      </c>
      <c r="F65" s="3163">
        <v>4070</v>
      </c>
      <c r="G65" s="3163">
        <v>11550</v>
      </c>
      <c r="I65" s="970"/>
      <c r="J65" s="3192"/>
      <c r="K65" s="3192"/>
      <c r="L65" s="3192"/>
      <c r="M65" s="3192"/>
      <c r="N65" s="3192"/>
      <c r="O65" s="3192"/>
      <c r="P65" s="3192"/>
      <c r="Q65" s="3192"/>
      <c r="R65" s="3192"/>
      <c r="S65" s="3192"/>
      <c r="T65" s="3192"/>
      <c r="U65" s="3192"/>
    </row>
    <row r="66" spans="1:21" s="959" customFormat="1" ht="14.25" customHeight="1">
      <c r="A66" s="3157" t="s">
        <v>853</v>
      </c>
      <c r="B66" s="3157" t="s">
        <v>1057</v>
      </c>
      <c r="C66" s="3157">
        <v>17090</v>
      </c>
      <c r="D66" s="3157">
        <v>18340</v>
      </c>
      <c r="E66" s="3157">
        <v>21830</v>
      </c>
      <c r="F66" s="3163">
        <v>4690</v>
      </c>
      <c r="G66" s="3163">
        <v>12450</v>
      </c>
      <c r="I66" s="970"/>
      <c r="J66" s="3192"/>
      <c r="K66" s="3192"/>
      <c r="L66" s="3192"/>
      <c r="M66" s="3192"/>
      <c r="N66" s="3192"/>
      <c r="O66" s="3192"/>
      <c r="P66" s="3192"/>
      <c r="Q66" s="3192"/>
      <c r="R66" s="3192"/>
      <c r="S66" s="3192"/>
      <c r="T66" s="3192"/>
      <c r="U66" s="3192"/>
    </row>
    <row r="67" spans="1:21" s="959" customFormat="1" ht="14.25" customHeight="1">
      <c r="A67" s="3157" t="s">
        <v>853</v>
      </c>
      <c r="B67" s="3157" t="s">
        <v>1064</v>
      </c>
      <c r="C67" s="3157">
        <v>18420</v>
      </c>
      <c r="D67" s="3157">
        <v>16360</v>
      </c>
      <c r="E67" s="3157">
        <v>20020</v>
      </c>
      <c r="F67" s="3163">
        <v>5150</v>
      </c>
      <c r="G67" s="3163">
        <v>11110</v>
      </c>
      <c r="I67" s="970"/>
      <c r="J67" s="3192"/>
      <c r="K67" s="3192"/>
      <c r="L67" s="3192"/>
      <c r="M67" s="3192"/>
      <c r="N67" s="3192"/>
      <c r="O67" s="3192"/>
      <c r="P67" s="3192"/>
      <c r="Q67" s="3192"/>
      <c r="R67" s="3192"/>
      <c r="S67" s="3192"/>
      <c r="T67" s="3192"/>
      <c r="U67" s="3192"/>
    </row>
    <row r="68" spans="1:21" s="959" customFormat="1" ht="14.25" customHeight="1">
      <c r="A68" s="3157" t="s">
        <v>853</v>
      </c>
      <c r="B68" s="3157" t="s">
        <v>1072</v>
      </c>
      <c r="C68" s="3157">
        <v>16450</v>
      </c>
      <c r="D68" s="3157">
        <v>18430</v>
      </c>
      <c r="E68" s="3157">
        <v>21010</v>
      </c>
      <c r="F68" s="3163">
        <v>4720</v>
      </c>
      <c r="G68" s="3163">
        <v>12510</v>
      </c>
      <c r="I68" s="970"/>
      <c r="J68" s="3192"/>
      <c r="K68" s="3192"/>
      <c r="L68" s="3192"/>
      <c r="M68" s="3192"/>
      <c r="N68" s="3192"/>
      <c r="O68" s="3192"/>
      <c r="P68" s="3192"/>
      <c r="Q68" s="3192"/>
      <c r="R68" s="3192"/>
      <c r="S68" s="3192"/>
      <c r="T68" s="3192"/>
      <c r="U68" s="3192"/>
    </row>
    <row r="69" spans="1:21" s="959" customFormat="1" ht="14.25" customHeight="1">
      <c r="A69" s="3157" t="s">
        <v>853</v>
      </c>
      <c r="B69" s="3157" t="s">
        <v>1080</v>
      </c>
      <c r="C69" s="3157">
        <v>18510</v>
      </c>
      <c r="D69" s="3157">
        <v>16300</v>
      </c>
      <c r="E69" s="3157">
        <v>18830</v>
      </c>
      <c r="F69" s="3163">
        <v>5400</v>
      </c>
      <c r="G69" s="3163">
        <v>11070</v>
      </c>
      <c r="I69" s="970"/>
      <c r="J69" s="3192"/>
      <c r="K69" s="3192"/>
      <c r="L69" s="3192"/>
      <c r="M69" s="3192"/>
      <c r="N69" s="3192"/>
      <c r="O69" s="3192"/>
      <c r="P69" s="3192"/>
      <c r="Q69" s="3192"/>
      <c r="R69" s="3192"/>
      <c r="S69" s="3192"/>
      <c r="T69" s="3192"/>
      <c r="U69" s="3192"/>
    </row>
    <row r="70" spans="1:21" s="959" customFormat="1" ht="14.25" customHeight="1">
      <c r="A70" s="3157" t="s">
        <v>853</v>
      </c>
      <c r="B70" s="3157" t="s">
        <v>1085</v>
      </c>
      <c r="C70" s="3157">
        <v>16370</v>
      </c>
      <c r="D70" s="3157">
        <v>18620</v>
      </c>
      <c r="E70" s="3157">
        <v>21100</v>
      </c>
      <c r="F70" s="3163">
        <v>5700</v>
      </c>
      <c r="G70" s="3163">
        <v>12640</v>
      </c>
      <c r="I70" s="970"/>
      <c r="J70" s="3192"/>
      <c r="K70" s="3192"/>
      <c r="L70" s="3192"/>
      <c r="M70" s="3192"/>
      <c r="N70" s="3192"/>
      <c r="O70" s="3192"/>
      <c r="P70" s="3192"/>
      <c r="Q70" s="3192"/>
      <c r="R70" s="3192"/>
      <c r="S70" s="3192"/>
      <c r="T70" s="3192"/>
      <c r="U70" s="3192"/>
    </row>
    <row r="71" spans="1:21" s="959" customFormat="1" ht="14.25" customHeight="1">
      <c r="A71" s="3157" t="s">
        <v>853</v>
      </c>
      <c r="B71" s="3157" t="s">
        <v>1094</v>
      </c>
      <c r="C71" s="3157">
        <v>18700</v>
      </c>
      <c r="D71" s="3157">
        <v>16290</v>
      </c>
      <c r="E71" s="3157">
        <v>18760</v>
      </c>
      <c r="F71" s="3163">
        <v>4780</v>
      </c>
      <c r="G71" s="3163">
        <v>11050</v>
      </c>
      <c r="I71" s="970"/>
      <c r="J71" s="3192"/>
      <c r="K71" s="3192"/>
      <c r="L71" s="3192"/>
      <c r="M71" s="3192"/>
      <c r="N71" s="3192"/>
      <c r="O71" s="3192"/>
      <c r="P71" s="3192"/>
      <c r="Q71" s="3192"/>
      <c r="R71" s="3192"/>
      <c r="S71" s="3192"/>
      <c r="T71" s="3192"/>
      <c r="U71" s="3192"/>
    </row>
    <row r="72" spans="1:21" s="959" customFormat="1" ht="14.25" customHeight="1">
      <c r="A72" s="3157" t="s">
        <v>853</v>
      </c>
      <c r="B72" s="3157" t="s">
        <v>1101</v>
      </c>
      <c r="C72" s="3157">
        <v>16340</v>
      </c>
      <c r="D72" s="3157">
        <v>17520</v>
      </c>
      <c r="E72" s="3157">
        <v>21170</v>
      </c>
      <c r="F72" s="3163"/>
      <c r="G72" s="3163">
        <v>11900</v>
      </c>
      <c r="I72" s="970"/>
      <c r="J72" s="3192"/>
      <c r="K72" s="3192"/>
      <c r="L72" s="3192"/>
      <c r="M72" s="3192"/>
      <c r="N72" s="3192"/>
      <c r="O72" s="3192"/>
      <c r="P72" s="3192"/>
      <c r="Q72" s="3192"/>
      <c r="R72" s="3192"/>
      <c r="S72" s="3192"/>
      <c r="T72" s="3192"/>
      <c r="U72" s="3192"/>
    </row>
    <row r="73" spans="1:21" s="959" customFormat="1" ht="14.25" customHeight="1">
      <c r="A73" s="3157" t="s">
        <v>853</v>
      </c>
      <c r="B73" s="3157" t="s">
        <v>1109</v>
      </c>
      <c r="C73" s="3157">
        <v>17610</v>
      </c>
      <c r="D73" s="3157">
        <v>18520</v>
      </c>
      <c r="E73" s="3157">
        <v>18720</v>
      </c>
      <c r="F73" s="3163"/>
      <c r="G73" s="3163">
        <v>12570</v>
      </c>
      <c r="I73" s="970"/>
      <c r="J73" s="3192"/>
      <c r="K73" s="3192"/>
      <c r="L73" s="3192"/>
      <c r="M73" s="3192"/>
      <c r="N73" s="3192"/>
      <c r="O73" s="3192"/>
      <c r="P73" s="3192"/>
      <c r="Q73" s="3192"/>
      <c r="R73" s="3192"/>
      <c r="S73" s="3192"/>
      <c r="T73" s="3192"/>
      <c r="U73" s="3192"/>
    </row>
    <row r="74" spans="1:21" s="959" customFormat="1" ht="14.25" customHeight="1">
      <c r="A74" s="3157" t="s">
        <v>853</v>
      </c>
      <c r="B74" s="3157" t="s">
        <v>1116</v>
      </c>
      <c r="C74" s="3157">
        <v>18600</v>
      </c>
      <c r="D74" s="3157">
        <v>16480</v>
      </c>
      <c r="E74" s="3157">
        <v>20100</v>
      </c>
      <c r="F74" s="3163"/>
      <c r="G74" s="3163">
        <v>11190</v>
      </c>
      <c r="I74" s="970"/>
      <c r="J74" s="3192"/>
      <c r="K74" s="3192"/>
      <c r="L74" s="3192"/>
      <c r="M74" s="3192"/>
      <c r="N74" s="3192"/>
      <c r="O74" s="3192"/>
      <c r="P74" s="3192"/>
      <c r="Q74" s="3192"/>
      <c r="R74" s="3192"/>
      <c r="S74" s="3192"/>
      <c r="T74" s="3192"/>
      <c r="U74" s="3192"/>
    </row>
    <row r="75" spans="1:21" s="959" customFormat="1" ht="14.25" customHeight="1">
      <c r="A75" s="3157" t="s">
        <v>853</v>
      </c>
      <c r="B75" s="3157" t="s">
        <v>1120</v>
      </c>
      <c r="C75" s="3157">
        <v>16570</v>
      </c>
      <c r="D75" s="3157">
        <v>17530</v>
      </c>
      <c r="E75" s="3157">
        <v>21030</v>
      </c>
      <c r="F75" s="3163"/>
      <c r="G75" s="3170">
        <v>11900</v>
      </c>
      <c r="I75" s="970"/>
      <c r="J75" s="3192"/>
      <c r="K75" s="3192"/>
      <c r="L75" s="3192"/>
      <c r="M75" s="3192"/>
      <c r="N75" s="3192"/>
      <c r="O75" s="3192"/>
      <c r="P75" s="3192"/>
      <c r="Q75" s="3192"/>
      <c r="R75" s="3192"/>
      <c r="S75" s="3192"/>
      <c r="T75" s="3192"/>
      <c r="U75" s="3192"/>
    </row>
    <row r="76" spans="1:21" s="959" customFormat="1" ht="14.25" customHeight="1">
      <c r="A76" s="3157" t="s">
        <v>853</v>
      </c>
      <c r="B76" s="1215" t="s">
        <v>1127</v>
      </c>
      <c r="C76" s="1215">
        <v>17610</v>
      </c>
      <c r="D76" s="1215">
        <v>20800</v>
      </c>
      <c r="E76" s="1215">
        <v>18920</v>
      </c>
      <c r="F76" s="3158"/>
      <c r="G76" s="3158">
        <v>14120</v>
      </c>
      <c r="I76" s="970"/>
      <c r="J76" s="3192"/>
      <c r="K76" s="3192"/>
      <c r="L76" s="3192"/>
      <c r="M76" s="3192"/>
      <c r="N76" s="3192"/>
      <c r="O76" s="3192"/>
      <c r="P76" s="3192"/>
      <c r="Q76" s="3192"/>
      <c r="R76" s="3192"/>
      <c r="S76" s="3192"/>
      <c r="T76" s="3192"/>
      <c r="U76" s="3192"/>
    </row>
    <row r="77" spans="1:21" s="959" customFormat="1" ht="14.25" customHeight="1">
      <c r="A77" s="3157" t="s">
        <v>853</v>
      </c>
      <c r="B77" s="3157" t="s">
        <v>1130</v>
      </c>
      <c r="C77" s="3157">
        <v>20890</v>
      </c>
      <c r="D77" s="3157">
        <v>19740</v>
      </c>
      <c r="E77" s="3157">
        <v>20110</v>
      </c>
      <c r="F77" s="3163"/>
      <c r="G77" s="3163">
        <v>13400</v>
      </c>
      <c r="I77" s="970"/>
      <c r="J77" s="3192"/>
      <c r="K77" s="3192"/>
      <c r="L77" s="3192"/>
      <c r="M77" s="3192"/>
      <c r="N77" s="3192"/>
      <c r="O77" s="3192"/>
      <c r="P77" s="3192"/>
      <c r="Q77" s="3192"/>
      <c r="R77" s="3192"/>
      <c r="S77" s="3192"/>
      <c r="T77" s="3192"/>
      <c r="U77" s="3192"/>
    </row>
    <row r="78" spans="1:21" s="959" customFormat="1" ht="14.25" customHeight="1">
      <c r="A78" s="3157" t="s">
        <v>853</v>
      </c>
      <c r="B78" s="3157" t="s">
        <v>2828</v>
      </c>
      <c r="C78" s="3157">
        <v>19820</v>
      </c>
      <c r="D78" s="3157">
        <v>19780</v>
      </c>
      <c r="E78" s="3157">
        <v>18560</v>
      </c>
      <c r="F78" s="3163"/>
      <c r="G78" s="3163">
        <v>13430</v>
      </c>
      <c r="I78" s="970"/>
      <c r="J78" s="3192"/>
      <c r="K78" s="3192"/>
      <c r="L78" s="3192"/>
      <c r="M78" s="3192"/>
      <c r="N78" s="3192"/>
      <c r="O78" s="3192"/>
      <c r="P78" s="3192"/>
      <c r="Q78" s="3192"/>
      <c r="R78" s="3192"/>
      <c r="S78" s="3192"/>
      <c r="T78" s="3192"/>
      <c r="U78" s="3192"/>
    </row>
    <row r="79" spans="1:21" s="959" customFormat="1" ht="14.25" customHeight="1">
      <c r="A79" s="3157" t="s">
        <v>853</v>
      </c>
      <c r="B79" s="3157" t="s">
        <v>2829</v>
      </c>
      <c r="C79" s="3157">
        <v>21660</v>
      </c>
      <c r="D79" s="3157">
        <v>18000</v>
      </c>
      <c r="E79" s="3157">
        <v>22570</v>
      </c>
      <c r="F79" s="3163"/>
      <c r="G79" s="3163">
        <v>12220</v>
      </c>
      <c r="I79" s="970"/>
      <c r="J79" s="3192"/>
      <c r="K79" s="3192"/>
      <c r="L79" s="3192"/>
      <c r="M79" s="3192"/>
      <c r="N79" s="3192"/>
      <c r="O79" s="3192"/>
      <c r="P79" s="3192"/>
      <c r="Q79" s="3192"/>
      <c r="R79" s="3192"/>
      <c r="S79" s="3192"/>
      <c r="T79" s="3192"/>
      <c r="U79" s="3192"/>
    </row>
    <row r="80" spans="1:21" s="959" customFormat="1" ht="14.25" customHeight="1">
      <c r="A80" s="3157" t="s">
        <v>853</v>
      </c>
      <c r="B80" s="3157" t="s">
        <v>2830</v>
      </c>
      <c r="C80" s="3157">
        <v>19850</v>
      </c>
      <c r="D80" s="3157"/>
      <c r="E80" s="3157">
        <v>21700</v>
      </c>
      <c r="F80" s="3163"/>
      <c r="G80" s="3163"/>
      <c r="I80" s="970"/>
      <c r="J80" s="3192"/>
      <c r="K80" s="3192"/>
      <c r="L80" s="3192"/>
      <c r="M80" s="3192"/>
      <c r="N80" s="3192"/>
      <c r="O80" s="3192"/>
      <c r="P80" s="3192"/>
      <c r="Q80" s="3192"/>
      <c r="R80" s="3192"/>
      <c r="S80" s="3192"/>
      <c r="T80" s="3192"/>
      <c r="U80" s="3192"/>
    </row>
    <row r="81" spans="1:21" s="959" customFormat="1" ht="14.25" customHeight="1">
      <c r="A81" s="3157" t="s">
        <v>853</v>
      </c>
      <c r="B81" s="3157" t="s">
        <v>2831</v>
      </c>
      <c r="C81" s="3157">
        <v>18080</v>
      </c>
      <c r="D81" s="3157"/>
      <c r="E81" s="3157">
        <v>20900</v>
      </c>
      <c r="F81" s="3163"/>
      <c r="G81" s="3163"/>
      <c r="I81" s="970"/>
      <c r="J81" s="3192"/>
      <c r="K81" s="3192"/>
      <c r="L81" s="3192"/>
      <c r="M81" s="3192"/>
      <c r="N81" s="3192"/>
      <c r="O81" s="3192"/>
      <c r="P81" s="3192"/>
      <c r="Q81" s="3192"/>
      <c r="R81" s="3192"/>
      <c r="S81" s="3192"/>
      <c r="T81" s="3192"/>
      <c r="U81" s="3192"/>
    </row>
    <row r="82" spans="1:21" s="959" customFormat="1" ht="14.25" customHeight="1">
      <c r="A82" s="3157" t="s">
        <v>853</v>
      </c>
      <c r="B82" s="3157" t="s">
        <v>2832</v>
      </c>
      <c r="C82" s="3157"/>
      <c r="D82" s="3157"/>
      <c r="E82" s="3157">
        <v>20840</v>
      </c>
      <c r="F82" s="3163"/>
      <c r="G82" s="3163"/>
      <c r="I82" s="970"/>
      <c r="J82" s="3192"/>
      <c r="K82" s="3192"/>
      <c r="L82" s="3192"/>
      <c r="M82" s="3192"/>
      <c r="N82" s="3192"/>
      <c r="O82" s="3192"/>
      <c r="P82" s="3192"/>
      <c r="Q82" s="3192"/>
      <c r="R82" s="3192"/>
      <c r="S82" s="3192"/>
      <c r="T82" s="3192"/>
      <c r="U82" s="3192"/>
    </row>
    <row r="83" spans="1:21" s="959" customFormat="1" ht="14.25" customHeight="1">
      <c r="A83" s="3157" t="s">
        <v>853</v>
      </c>
      <c r="B83" s="3157" t="s">
        <v>2833</v>
      </c>
      <c r="C83" s="3157"/>
      <c r="D83" s="3157"/>
      <c r="E83" s="3157"/>
      <c r="F83" s="3163">
        <v>4770</v>
      </c>
      <c r="G83" s="3163"/>
      <c r="I83" s="970"/>
      <c r="J83" s="3192"/>
      <c r="K83" s="3192"/>
      <c r="L83" s="3192"/>
      <c r="M83" s="3192"/>
      <c r="N83" s="3192"/>
      <c r="O83" s="3192"/>
      <c r="P83" s="3192"/>
      <c r="Q83" s="3192"/>
      <c r="R83" s="3192"/>
      <c r="S83" s="3192"/>
      <c r="T83" s="3192"/>
      <c r="U83" s="3192"/>
    </row>
    <row r="84" spans="1:21" s="959" customFormat="1" ht="14.25" customHeight="1">
      <c r="A84" s="3157" t="s">
        <v>853</v>
      </c>
      <c r="B84" s="3157" t="s">
        <v>2834</v>
      </c>
      <c r="C84" s="3157"/>
      <c r="D84" s="3157"/>
      <c r="E84" s="3157"/>
      <c r="F84" s="3163">
        <v>4600</v>
      </c>
      <c r="G84" s="3163"/>
      <c r="I84" s="970"/>
      <c r="J84" s="3192"/>
      <c r="K84" s="3192"/>
      <c r="L84" s="3192"/>
      <c r="M84" s="3192"/>
      <c r="N84" s="3192"/>
      <c r="O84" s="3192"/>
      <c r="P84" s="3192"/>
      <c r="Q84" s="3192"/>
      <c r="R84" s="3192"/>
      <c r="S84" s="3192"/>
      <c r="T84" s="3192"/>
      <c r="U84" s="3192"/>
    </row>
    <row r="85" spans="1:21" s="959" customFormat="1" ht="14.25" customHeight="1">
      <c r="A85" s="3157" t="s">
        <v>853</v>
      </c>
      <c r="B85" s="1213" t="s">
        <v>2835</v>
      </c>
      <c r="C85" s="1213"/>
      <c r="D85" s="1213"/>
      <c r="E85" s="1213"/>
      <c r="F85" s="3168">
        <v>4680</v>
      </c>
      <c r="G85" s="3168"/>
      <c r="I85" s="970"/>
      <c r="J85" s="3192"/>
      <c r="K85" s="3192"/>
      <c r="L85" s="3192"/>
      <c r="M85" s="3192"/>
      <c r="N85" s="3192"/>
      <c r="O85" s="3192"/>
      <c r="P85" s="3192"/>
      <c r="Q85" s="3192"/>
      <c r="R85" s="3192"/>
      <c r="S85" s="3192"/>
      <c r="T85" s="3192"/>
      <c r="U85" s="3192"/>
    </row>
    <row r="86" spans="1:21" s="959" customFormat="1" ht="14.25" customHeight="1" thickBot="1">
      <c r="A86" s="3172" t="s">
        <v>853</v>
      </c>
      <c r="B86" s="3160" t="s">
        <v>2836</v>
      </c>
      <c r="C86" s="3160">
        <v>16610</v>
      </c>
      <c r="D86" s="3160">
        <v>16540</v>
      </c>
      <c r="E86" s="3160">
        <v>18850</v>
      </c>
      <c r="F86" s="3161"/>
      <c r="G86" s="3173">
        <v>11220</v>
      </c>
      <c r="I86" s="970"/>
      <c r="J86" s="3192"/>
      <c r="K86" s="3192"/>
      <c r="L86" s="3192"/>
      <c r="M86" s="3192"/>
      <c r="N86" s="3192"/>
      <c r="O86" s="3192"/>
      <c r="P86" s="3192"/>
      <c r="Q86" s="3192"/>
      <c r="R86" s="3192"/>
      <c r="S86" s="3192"/>
      <c r="T86" s="3192"/>
      <c r="U86" s="3192"/>
    </row>
    <row r="87" spans="1:21" s="959" customFormat="1" ht="14.25" customHeight="1">
      <c r="A87" s="3171" t="s">
        <v>1152</v>
      </c>
      <c r="B87" s="1215" t="s">
        <v>2837</v>
      </c>
      <c r="C87" s="1215">
        <v>15240</v>
      </c>
      <c r="D87" s="1215">
        <v>15170</v>
      </c>
      <c r="E87" s="1215">
        <v>18260</v>
      </c>
      <c r="F87" s="3158">
        <v>3830</v>
      </c>
      <c r="G87" s="3174">
        <v>10020</v>
      </c>
      <c r="I87" s="970"/>
      <c r="J87" s="3192"/>
      <c r="K87" s="3192"/>
      <c r="L87" s="3192"/>
      <c r="M87" s="3192"/>
      <c r="N87" s="3192"/>
      <c r="O87" s="3192"/>
      <c r="P87" s="3192"/>
      <c r="Q87" s="3192"/>
      <c r="R87" s="3192"/>
      <c r="S87" s="3192"/>
      <c r="T87" s="3192"/>
      <c r="U87" s="3192"/>
    </row>
    <row r="88" spans="1:21" s="959" customFormat="1" ht="14.25" customHeight="1">
      <c r="A88" s="3157" t="s">
        <v>1152</v>
      </c>
      <c r="B88" s="3157" t="s">
        <v>976</v>
      </c>
      <c r="C88" s="3157">
        <v>17310</v>
      </c>
      <c r="D88" s="3157">
        <v>17220</v>
      </c>
      <c r="E88" s="3157">
        <v>18610</v>
      </c>
      <c r="F88" s="3163">
        <v>3990</v>
      </c>
      <c r="G88" s="3165">
        <v>11380</v>
      </c>
      <c r="I88" s="970"/>
      <c r="J88" s="3192"/>
      <c r="K88" s="3192"/>
      <c r="L88" s="3192"/>
      <c r="M88" s="3192"/>
      <c r="N88" s="3192"/>
      <c r="O88" s="3192"/>
      <c r="P88" s="3192"/>
      <c r="Q88" s="3192"/>
      <c r="R88" s="3192"/>
      <c r="S88" s="3192"/>
      <c r="T88" s="3192"/>
      <c r="U88" s="3192"/>
    </row>
    <row r="89" spans="1:21" s="959" customFormat="1" ht="14.25" customHeight="1">
      <c r="A89" s="3157" t="s">
        <v>1152</v>
      </c>
      <c r="B89" s="3157" t="s">
        <v>986</v>
      </c>
      <c r="C89" s="3157">
        <v>15600</v>
      </c>
      <c r="D89" s="3157">
        <v>15550</v>
      </c>
      <c r="E89" s="3157">
        <v>19200</v>
      </c>
      <c r="F89" s="3163">
        <v>4110</v>
      </c>
      <c r="G89" s="3165">
        <v>10270</v>
      </c>
      <c r="I89" s="970"/>
      <c r="J89" s="3192"/>
      <c r="K89" s="3192"/>
      <c r="L89" s="3192"/>
      <c r="M89" s="3192"/>
      <c r="N89" s="3192"/>
      <c r="O89" s="3192"/>
      <c r="P89" s="3192"/>
      <c r="Q89" s="3192"/>
      <c r="R89" s="3192"/>
      <c r="S89" s="3192"/>
      <c r="T89" s="3192"/>
      <c r="U89" s="3192"/>
    </row>
    <row r="90" spans="1:21" s="959" customFormat="1" ht="14.25" customHeight="1">
      <c r="A90" s="3157" t="s">
        <v>1152</v>
      </c>
      <c r="B90" s="3157" t="s">
        <v>995</v>
      </c>
      <c r="C90" s="3157">
        <v>17330</v>
      </c>
      <c r="D90" s="3157">
        <v>17240</v>
      </c>
      <c r="E90" s="3157">
        <v>18570</v>
      </c>
      <c r="F90" s="3163">
        <v>4070</v>
      </c>
      <c r="G90" s="3165">
        <v>11390</v>
      </c>
      <c r="I90" s="970"/>
      <c r="J90" s="3192"/>
      <c r="K90" s="3192"/>
      <c r="L90" s="3192"/>
      <c r="M90" s="3192"/>
      <c r="N90" s="3192"/>
      <c r="O90" s="3192"/>
      <c r="P90" s="3192"/>
      <c r="Q90" s="3192"/>
      <c r="R90" s="3192"/>
      <c r="S90" s="3192"/>
      <c r="T90" s="3192"/>
      <c r="U90" s="3192"/>
    </row>
    <row r="91" spans="1:21" s="959" customFormat="1" ht="14.25" customHeight="1">
      <c r="A91" s="3157" t="s">
        <v>1152</v>
      </c>
      <c r="B91" s="3157" t="s">
        <v>1005</v>
      </c>
      <c r="C91" s="3157">
        <v>16330</v>
      </c>
      <c r="D91" s="3157">
        <v>16260</v>
      </c>
      <c r="E91" s="3157">
        <v>16800</v>
      </c>
      <c r="F91" s="3163">
        <v>3410</v>
      </c>
      <c r="G91" s="3165">
        <v>10740</v>
      </c>
      <c r="I91" s="970"/>
      <c r="J91" s="3192"/>
      <c r="K91" s="3192"/>
      <c r="L91" s="3192"/>
      <c r="M91" s="3192"/>
      <c r="N91" s="3192"/>
      <c r="O91" s="3192"/>
      <c r="P91" s="3192"/>
      <c r="Q91" s="3192"/>
      <c r="R91" s="3192"/>
      <c r="S91" s="3192"/>
      <c r="T91" s="3192"/>
      <c r="U91" s="3192"/>
    </row>
    <row r="92" spans="1:21" s="959" customFormat="1" ht="14.25" customHeight="1">
      <c r="A92" s="3157" t="s">
        <v>1152</v>
      </c>
      <c r="B92" s="3157" t="s">
        <v>1012</v>
      </c>
      <c r="C92" s="3157">
        <v>15570</v>
      </c>
      <c r="D92" s="3157">
        <v>15500</v>
      </c>
      <c r="E92" s="3157">
        <v>17360</v>
      </c>
      <c r="F92" s="3163">
        <v>3510</v>
      </c>
      <c r="G92" s="3165">
        <v>10240</v>
      </c>
      <c r="I92" s="970"/>
      <c r="J92" s="3192"/>
      <c r="K92" s="3192"/>
      <c r="L92" s="3192"/>
      <c r="M92" s="3192"/>
      <c r="N92" s="3192"/>
      <c r="O92" s="3192"/>
      <c r="P92" s="3192"/>
      <c r="Q92" s="3192"/>
      <c r="R92" s="3192"/>
      <c r="S92" s="3192"/>
      <c r="T92" s="3192"/>
      <c r="U92" s="3192"/>
    </row>
    <row r="93" spans="1:21" s="959" customFormat="1" ht="14.25" customHeight="1">
      <c r="A93" s="3157" t="s">
        <v>1152</v>
      </c>
      <c r="B93" s="3157" t="s">
        <v>1018</v>
      </c>
      <c r="C93" s="3157">
        <v>14000</v>
      </c>
      <c r="D93" s="3157">
        <v>13930</v>
      </c>
      <c r="E93" s="3157">
        <v>18200</v>
      </c>
      <c r="F93" s="3163">
        <v>3640</v>
      </c>
      <c r="G93" s="3165">
        <v>9210</v>
      </c>
      <c r="I93" s="970"/>
      <c r="J93" s="3192"/>
      <c r="K93" s="3192"/>
      <c r="L93" s="3192"/>
      <c r="M93" s="3192"/>
      <c r="N93" s="3192"/>
      <c r="O93" s="3192"/>
      <c r="P93" s="3192"/>
      <c r="Q93" s="3192"/>
      <c r="R93" s="3192"/>
      <c r="S93" s="3192"/>
      <c r="T93" s="3192"/>
      <c r="U93" s="3192"/>
    </row>
    <row r="94" spans="1:21" s="959" customFormat="1" ht="14.25" customHeight="1">
      <c r="A94" s="3157" t="s">
        <v>1152</v>
      </c>
      <c r="B94" s="3157" t="s">
        <v>1025</v>
      </c>
      <c r="C94" s="3157">
        <v>14530</v>
      </c>
      <c r="D94" s="3157">
        <v>14470</v>
      </c>
      <c r="E94" s="3157">
        <v>18240</v>
      </c>
      <c r="F94" s="3163">
        <v>3180</v>
      </c>
      <c r="G94" s="3165">
        <v>9560</v>
      </c>
      <c r="I94" s="970"/>
      <c r="J94" s="3192"/>
      <c r="K94" s="3192"/>
      <c r="L94" s="3192"/>
      <c r="M94" s="3192"/>
      <c r="N94" s="3192"/>
      <c r="O94" s="3192"/>
      <c r="P94" s="3192"/>
      <c r="Q94" s="3192"/>
      <c r="R94" s="3192"/>
      <c r="S94" s="3192"/>
      <c r="T94" s="3192"/>
      <c r="U94" s="3192"/>
    </row>
    <row r="95" spans="1:21" s="959" customFormat="1" ht="14.25" customHeight="1">
      <c r="A95" s="3157" t="s">
        <v>1152</v>
      </c>
      <c r="B95" s="3157" t="s">
        <v>1035</v>
      </c>
      <c r="C95" s="3157">
        <v>17330</v>
      </c>
      <c r="D95" s="3157">
        <v>17260</v>
      </c>
      <c r="E95" s="3157">
        <v>18420</v>
      </c>
      <c r="F95" s="3163">
        <v>3060</v>
      </c>
      <c r="G95" s="3163">
        <v>11410</v>
      </c>
      <c r="I95" s="970"/>
      <c r="J95" s="3192"/>
      <c r="K95" s="3192"/>
      <c r="L95" s="3192"/>
      <c r="M95" s="3192"/>
      <c r="N95" s="3192"/>
      <c r="O95" s="3192"/>
      <c r="P95" s="3192"/>
      <c r="Q95" s="3192"/>
      <c r="R95" s="3192"/>
      <c r="S95" s="3192"/>
      <c r="T95" s="3192"/>
      <c r="U95" s="3192"/>
    </row>
    <row r="96" spans="1:21" s="959" customFormat="1" ht="14.25" customHeight="1">
      <c r="A96" s="3157" t="s">
        <v>1152</v>
      </c>
      <c r="B96" s="3157" t="s">
        <v>1044</v>
      </c>
      <c r="C96" s="3157">
        <v>15030</v>
      </c>
      <c r="D96" s="3157">
        <v>14970</v>
      </c>
      <c r="E96" s="3157">
        <v>17580</v>
      </c>
      <c r="F96" s="3163">
        <v>2970</v>
      </c>
      <c r="G96" s="3163">
        <v>9890</v>
      </c>
      <c r="I96" s="970"/>
      <c r="J96" s="3192"/>
      <c r="K96" s="3192"/>
      <c r="L96" s="3192"/>
      <c r="M96" s="3192"/>
      <c r="N96" s="3192"/>
      <c r="O96" s="3192"/>
      <c r="P96" s="3192"/>
      <c r="Q96" s="3192"/>
      <c r="R96" s="3192"/>
      <c r="S96" s="3192"/>
      <c r="T96" s="3192"/>
      <c r="U96" s="3192"/>
    </row>
    <row r="97" spans="1:21" s="959" customFormat="1" ht="14.25" customHeight="1">
      <c r="A97" s="3157" t="s">
        <v>1152</v>
      </c>
      <c r="B97" s="3157" t="s">
        <v>1051</v>
      </c>
      <c r="C97" s="3157">
        <v>17400</v>
      </c>
      <c r="D97" s="3157">
        <v>17330</v>
      </c>
      <c r="E97" s="3157">
        <v>16430</v>
      </c>
      <c r="F97" s="3163">
        <v>2950</v>
      </c>
      <c r="G97" s="3163">
        <v>11450</v>
      </c>
      <c r="I97" s="970"/>
      <c r="J97" s="3192"/>
      <c r="K97" s="3192"/>
      <c r="L97" s="3192"/>
      <c r="M97" s="3192"/>
      <c r="N97" s="3192"/>
      <c r="O97" s="3192"/>
      <c r="P97" s="3192"/>
      <c r="Q97" s="3192"/>
      <c r="R97" s="3192"/>
      <c r="S97" s="3192"/>
      <c r="T97" s="3192"/>
      <c r="U97" s="3192"/>
    </row>
    <row r="98" spans="1:21" s="959" customFormat="1" ht="14.25" customHeight="1">
      <c r="A98" s="3157" t="s">
        <v>1152</v>
      </c>
      <c r="B98" s="3157" t="s">
        <v>1058</v>
      </c>
      <c r="C98" s="3157">
        <v>15200</v>
      </c>
      <c r="D98" s="3157">
        <v>15120</v>
      </c>
      <c r="E98" s="3157">
        <v>17550</v>
      </c>
      <c r="F98" s="3163">
        <v>3080</v>
      </c>
      <c r="G98" s="3163">
        <v>9990</v>
      </c>
      <c r="I98" s="970"/>
      <c r="J98" s="3192"/>
      <c r="K98" s="3192"/>
      <c r="L98" s="3192"/>
      <c r="M98" s="3192"/>
      <c r="N98" s="3192"/>
      <c r="O98" s="3192"/>
      <c r="P98" s="3192"/>
      <c r="Q98" s="3192"/>
      <c r="R98" s="3192"/>
      <c r="S98" s="3192"/>
      <c r="T98" s="3192"/>
      <c r="U98" s="3192"/>
    </row>
    <row r="99" spans="1:21" s="959" customFormat="1" ht="14.25" customHeight="1">
      <c r="A99" s="3157" t="s">
        <v>1152</v>
      </c>
      <c r="B99" s="3157" t="s">
        <v>1065</v>
      </c>
      <c r="C99" s="3157">
        <v>17520</v>
      </c>
      <c r="D99" s="3157">
        <v>17430</v>
      </c>
      <c r="E99" s="3157">
        <v>16350</v>
      </c>
      <c r="F99" s="3163">
        <v>3260</v>
      </c>
      <c r="G99" s="3163">
        <v>11510</v>
      </c>
      <c r="I99" s="970"/>
      <c r="J99" s="3192"/>
      <c r="K99" s="3192"/>
      <c r="L99" s="3192"/>
      <c r="M99" s="3192"/>
      <c r="N99" s="3192"/>
      <c r="O99" s="3192"/>
      <c r="P99" s="3192"/>
      <c r="Q99" s="3192"/>
      <c r="R99" s="3192"/>
      <c r="S99" s="3192"/>
      <c r="T99" s="3192"/>
      <c r="U99" s="3192"/>
    </row>
    <row r="100" spans="1:21" s="959" customFormat="1" ht="14.25" customHeight="1">
      <c r="A100" s="3157" t="s">
        <v>1152</v>
      </c>
      <c r="B100" s="3157" t="s">
        <v>1073</v>
      </c>
      <c r="C100" s="3157">
        <v>15340</v>
      </c>
      <c r="D100" s="3157">
        <v>15260</v>
      </c>
      <c r="E100" s="3157">
        <v>15930</v>
      </c>
      <c r="F100" s="3163">
        <v>2740</v>
      </c>
      <c r="G100" s="3163">
        <v>10080</v>
      </c>
      <c r="I100" s="970"/>
      <c r="J100" s="3192"/>
      <c r="K100" s="3192"/>
      <c r="L100" s="3192"/>
      <c r="M100" s="3192"/>
      <c r="N100" s="3192"/>
      <c r="O100" s="3192"/>
      <c r="P100" s="3192"/>
      <c r="Q100" s="3192"/>
      <c r="R100" s="3192"/>
      <c r="S100" s="3192"/>
      <c r="T100" s="3192"/>
      <c r="U100" s="3192"/>
    </row>
    <row r="101" spans="1:21" s="959" customFormat="1" ht="14.25" customHeight="1">
      <c r="A101" s="3157" t="s">
        <v>1152</v>
      </c>
      <c r="B101" s="3157" t="s">
        <v>1081</v>
      </c>
      <c r="C101" s="3157">
        <v>14620</v>
      </c>
      <c r="D101" s="3157">
        <v>14560</v>
      </c>
      <c r="E101" s="3157">
        <v>15570</v>
      </c>
      <c r="F101" s="3163">
        <v>3500</v>
      </c>
      <c r="G101" s="3163">
        <v>9630</v>
      </c>
      <c r="I101" s="970"/>
      <c r="J101" s="3192"/>
      <c r="K101" s="3192"/>
      <c r="L101" s="3192"/>
      <c r="M101" s="3192"/>
      <c r="N101" s="3192"/>
      <c r="O101" s="3192"/>
      <c r="P101" s="3192"/>
      <c r="Q101" s="3192"/>
      <c r="R101" s="3192"/>
      <c r="S101" s="3192"/>
      <c r="T101" s="3192"/>
      <c r="U101" s="3192"/>
    </row>
    <row r="102" spans="1:21" s="959" customFormat="1" ht="14.25" customHeight="1">
      <c r="A102" s="3157" t="s">
        <v>1152</v>
      </c>
      <c r="B102" s="3157" t="s">
        <v>1086</v>
      </c>
      <c r="C102" s="3157">
        <v>13680</v>
      </c>
      <c r="D102" s="3157">
        <v>13610</v>
      </c>
      <c r="E102" s="3157">
        <v>15690</v>
      </c>
      <c r="F102" s="3163">
        <v>2870</v>
      </c>
      <c r="G102" s="3163">
        <v>8990</v>
      </c>
      <c r="I102" s="970"/>
      <c r="J102" s="3192"/>
      <c r="K102" s="3192"/>
      <c r="L102" s="3192"/>
      <c r="M102" s="3192"/>
      <c r="N102" s="3192"/>
      <c r="O102" s="3192"/>
      <c r="P102" s="3192"/>
      <c r="Q102" s="3192"/>
      <c r="R102" s="3192"/>
      <c r="S102" s="3192"/>
      <c r="T102" s="3192"/>
      <c r="U102" s="3192"/>
    </row>
    <row r="103" spans="1:21" s="959" customFormat="1" ht="14.25" customHeight="1">
      <c r="A103" s="3157" t="s">
        <v>1152</v>
      </c>
      <c r="B103" s="3157" t="s">
        <v>1095</v>
      </c>
      <c r="C103" s="3157">
        <v>14620</v>
      </c>
      <c r="D103" s="3157">
        <v>14540</v>
      </c>
      <c r="E103" s="3157">
        <v>15240</v>
      </c>
      <c r="F103" s="3163">
        <v>2840</v>
      </c>
      <c r="G103" s="3163">
        <v>9610</v>
      </c>
      <c r="I103" s="970"/>
      <c r="J103" s="3192"/>
      <c r="K103" s="3192"/>
      <c r="L103" s="3192"/>
      <c r="M103" s="3192"/>
      <c r="N103" s="3192"/>
      <c r="O103" s="3192"/>
      <c r="P103" s="3192"/>
      <c r="Q103" s="3192"/>
      <c r="R103" s="3192"/>
      <c r="S103" s="3192"/>
      <c r="T103" s="3192"/>
      <c r="U103" s="3192"/>
    </row>
    <row r="104" spans="1:21" s="959" customFormat="1" ht="14.25" customHeight="1">
      <c r="A104" s="3157" t="s">
        <v>1152</v>
      </c>
      <c r="B104" s="3157" t="s">
        <v>1102</v>
      </c>
      <c r="C104" s="3157">
        <v>13610</v>
      </c>
      <c r="D104" s="3157">
        <v>13540</v>
      </c>
      <c r="E104" s="3157">
        <v>15750</v>
      </c>
      <c r="F104" s="3163">
        <v>2770</v>
      </c>
      <c r="G104" s="3163">
        <v>8940</v>
      </c>
      <c r="I104" s="970"/>
      <c r="J104" s="3192"/>
      <c r="K104" s="3192"/>
      <c r="L104" s="3192"/>
      <c r="M104" s="3192"/>
      <c r="N104" s="3192"/>
      <c r="O104" s="3192"/>
      <c r="P104" s="3192"/>
      <c r="Q104" s="3192"/>
      <c r="R104" s="3192"/>
      <c r="S104" s="3192"/>
      <c r="T104" s="3192"/>
      <c r="U104" s="3192"/>
    </row>
    <row r="105" spans="1:21" s="959" customFormat="1" ht="14.25" customHeight="1">
      <c r="A105" s="3157" t="s">
        <v>1152</v>
      </c>
      <c r="B105" s="3157" t="s">
        <v>1110</v>
      </c>
      <c r="C105" s="3157">
        <v>13310</v>
      </c>
      <c r="D105" s="3157">
        <v>13240</v>
      </c>
      <c r="E105" s="3157">
        <v>16280</v>
      </c>
      <c r="F105" s="3163">
        <v>3210</v>
      </c>
      <c r="G105" s="3163">
        <v>8750</v>
      </c>
      <c r="I105" s="970"/>
      <c r="J105" s="3192"/>
      <c r="K105" s="3192"/>
      <c r="L105" s="3192"/>
      <c r="M105" s="3192"/>
      <c r="N105" s="3192"/>
      <c r="O105" s="3192"/>
      <c r="P105" s="3192"/>
      <c r="Q105" s="3192"/>
      <c r="R105" s="3192"/>
      <c r="S105" s="3192"/>
      <c r="T105" s="3192"/>
      <c r="U105" s="3192"/>
    </row>
    <row r="106" spans="1:21" s="959" customFormat="1" ht="14.25" customHeight="1">
      <c r="A106" s="3157" t="s">
        <v>1152</v>
      </c>
      <c r="B106" s="3157" t="s">
        <v>1117</v>
      </c>
      <c r="C106" s="3157">
        <v>13010</v>
      </c>
      <c r="D106" s="3157">
        <v>12930</v>
      </c>
      <c r="E106" s="3157">
        <v>14960</v>
      </c>
      <c r="F106" s="3163">
        <v>3530</v>
      </c>
      <c r="G106" s="3163">
        <v>8550</v>
      </c>
      <c r="I106" s="970"/>
      <c r="J106" s="3192"/>
      <c r="K106" s="3192"/>
      <c r="L106" s="3192"/>
      <c r="M106" s="3192"/>
      <c r="N106" s="3192"/>
      <c r="O106" s="3192"/>
      <c r="P106" s="3192"/>
      <c r="Q106" s="3192"/>
      <c r="R106" s="3192"/>
      <c r="S106" s="3192"/>
      <c r="T106" s="3192"/>
      <c r="U106" s="3192"/>
    </row>
    <row r="107" spans="1:21" s="959" customFormat="1" ht="14.25" customHeight="1">
      <c r="A107" s="3157" t="s">
        <v>1152</v>
      </c>
      <c r="B107" s="3157" t="s">
        <v>1121</v>
      </c>
      <c r="C107" s="3157">
        <v>13070</v>
      </c>
      <c r="D107" s="3157">
        <v>13000</v>
      </c>
      <c r="E107" s="3157">
        <v>15910</v>
      </c>
      <c r="F107" s="3163">
        <v>3990</v>
      </c>
      <c r="G107" s="3163">
        <v>8580</v>
      </c>
      <c r="I107" s="970"/>
      <c r="J107" s="3192"/>
      <c r="K107" s="3192"/>
      <c r="L107" s="3192"/>
      <c r="M107" s="3192"/>
      <c r="N107" s="3192"/>
      <c r="O107" s="3192"/>
      <c r="P107" s="3192"/>
      <c r="Q107" s="3192"/>
      <c r="R107" s="3192"/>
      <c r="S107" s="3192"/>
      <c r="T107" s="3192"/>
      <c r="U107" s="3192"/>
    </row>
    <row r="108" spans="1:21" s="959" customFormat="1" ht="14.25" customHeight="1">
      <c r="A108" s="3157" t="s">
        <v>1152</v>
      </c>
      <c r="B108" s="3157" t="s">
        <v>1128</v>
      </c>
      <c r="C108" s="3157">
        <v>12640</v>
      </c>
      <c r="D108" s="3157">
        <v>12580</v>
      </c>
      <c r="E108" s="3157">
        <v>15730</v>
      </c>
      <c r="F108" s="3163"/>
      <c r="G108" s="3163">
        <v>8310</v>
      </c>
      <c r="I108" s="970"/>
      <c r="J108" s="3192"/>
      <c r="K108" s="3192"/>
      <c r="L108" s="3192"/>
      <c r="M108" s="3192"/>
      <c r="N108" s="3192"/>
      <c r="O108" s="3192"/>
      <c r="P108" s="3192"/>
      <c r="Q108" s="3192"/>
      <c r="R108" s="3192"/>
      <c r="S108" s="3192"/>
      <c r="T108" s="3192"/>
      <c r="U108" s="3192"/>
    </row>
    <row r="109" spans="1:21" s="959" customFormat="1" ht="14.25" customHeight="1">
      <c r="A109" s="3157" t="s">
        <v>1152</v>
      </c>
      <c r="B109" s="3157" t="s">
        <v>1131</v>
      </c>
      <c r="C109" s="3157">
        <v>13130</v>
      </c>
      <c r="D109" s="3157">
        <v>13070</v>
      </c>
      <c r="E109" s="3157">
        <v>15000</v>
      </c>
      <c r="F109" s="3163"/>
      <c r="G109" s="3170">
        <v>8630</v>
      </c>
      <c r="I109" s="970"/>
      <c r="J109" s="3192"/>
      <c r="K109" s="3192"/>
      <c r="L109" s="3192"/>
      <c r="M109" s="3192"/>
      <c r="N109" s="3192"/>
      <c r="O109" s="3192"/>
      <c r="P109" s="3192"/>
      <c r="Q109" s="3192"/>
      <c r="R109" s="3192"/>
      <c r="S109" s="3192"/>
      <c r="T109" s="3192"/>
      <c r="U109" s="3192"/>
    </row>
    <row r="110" spans="1:21" s="959" customFormat="1" ht="14.25" customHeight="1">
      <c r="A110" s="3157" t="s">
        <v>1152</v>
      </c>
      <c r="B110" s="1215" t="s">
        <v>1133</v>
      </c>
      <c r="C110" s="1215">
        <v>13560</v>
      </c>
      <c r="D110" s="1215">
        <v>13490</v>
      </c>
      <c r="E110" s="1215">
        <v>16300</v>
      </c>
      <c r="F110" s="3158"/>
      <c r="G110" s="3158">
        <v>8920</v>
      </c>
      <c r="I110" s="970"/>
      <c r="J110" s="3192"/>
      <c r="K110" s="3192"/>
      <c r="L110" s="3192"/>
      <c r="M110" s="3192"/>
      <c r="N110" s="3192"/>
      <c r="O110" s="3192"/>
      <c r="P110" s="3192"/>
      <c r="Q110" s="3192"/>
      <c r="R110" s="3192"/>
      <c r="S110" s="3192"/>
      <c r="T110" s="3192"/>
      <c r="U110" s="3192"/>
    </row>
    <row r="111" spans="1:21" s="959" customFormat="1" ht="14.25" customHeight="1">
      <c r="A111" s="3157" t="s">
        <v>1152</v>
      </c>
      <c r="B111" s="3157" t="s">
        <v>1136</v>
      </c>
      <c r="C111" s="3157">
        <v>12440</v>
      </c>
      <c r="D111" s="3157">
        <v>12380</v>
      </c>
      <c r="E111" s="3157">
        <v>17850</v>
      </c>
      <c r="F111" s="3163"/>
      <c r="G111" s="3163">
        <v>8180</v>
      </c>
      <c r="I111" s="970"/>
      <c r="J111" s="3192"/>
      <c r="K111" s="3192"/>
      <c r="L111" s="3192"/>
      <c r="M111" s="3192"/>
      <c r="N111" s="3192"/>
      <c r="O111" s="3192"/>
      <c r="P111" s="3192"/>
      <c r="Q111" s="3192"/>
      <c r="R111" s="3192"/>
      <c r="S111" s="3192"/>
      <c r="T111" s="3192"/>
      <c r="U111" s="3192"/>
    </row>
    <row r="112" spans="1:21" s="959" customFormat="1" ht="14.25" customHeight="1">
      <c r="A112" s="3157" t="s">
        <v>1152</v>
      </c>
      <c r="B112" s="3157" t="s">
        <v>1140</v>
      </c>
      <c r="C112" s="3157">
        <v>13260</v>
      </c>
      <c r="D112" s="3157">
        <v>13180</v>
      </c>
      <c r="E112" s="3157">
        <v>19740</v>
      </c>
      <c r="F112" s="3163"/>
      <c r="G112" s="3163">
        <v>8710</v>
      </c>
      <c r="I112" s="970"/>
      <c r="J112" s="3192"/>
      <c r="K112" s="3192"/>
      <c r="L112" s="3192"/>
      <c r="M112" s="3192"/>
      <c r="N112" s="3192"/>
      <c r="O112" s="3192"/>
      <c r="P112" s="3192"/>
      <c r="Q112" s="3192"/>
      <c r="R112" s="3192"/>
      <c r="S112" s="3192"/>
      <c r="T112" s="3192"/>
      <c r="U112" s="3192"/>
    </row>
    <row r="113" spans="1:21" s="959" customFormat="1" ht="14.25" customHeight="1">
      <c r="A113" s="3157" t="s">
        <v>1152</v>
      </c>
      <c r="B113" s="3157" t="s">
        <v>2838</v>
      </c>
      <c r="C113" s="3157">
        <v>15520</v>
      </c>
      <c r="D113" s="3157">
        <v>15450</v>
      </c>
      <c r="E113" s="3157"/>
      <c r="F113" s="3163"/>
      <c r="G113" s="3163">
        <v>10210</v>
      </c>
      <c r="I113" s="970"/>
      <c r="J113" s="3192"/>
      <c r="K113" s="3192"/>
      <c r="L113" s="3192"/>
      <c r="M113" s="3192"/>
      <c r="N113" s="3192"/>
      <c r="O113" s="3192"/>
      <c r="P113" s="3192"/>
      <c r="Q113" s="3192"/>
      <c r="R113" s="3192"/>
      <c r="S113" s="3192"/>
      <c r="T113" s="3192"/>
      <c r="U113" s="3192"/>
    </row>
    <row r="114" spans="1:21" s="959" customFormat="1" ht="14.25" customHeight="1">
      <c r="A114" s="3157" t="s">
        <v>1152</v>
      </c>
      <c r="B114" s="3157" t="s">
        <v>2839</v>
      </c>
      <c r="C114" s="3157">
        <v>13110</v>
      </c>
      <c r="D114" s="3157">
        <v>13050</v>
      </c>
      <c r="E114" s="3157"/>
      <c r="F114" s="3163"/>
      <c r="G114" s="3163">
        <v>8620</v>
      </c>
      <c r="I114" s="970"/>
      <c r="J114" s="3192"/>
      <c r="K114" s="3192"/>
      <c r="L114" s="3192"/>
      <c r="M114" s="3192"/>
      <c r="N114" s="3192"/>
      <c r="O114" s="3192"/>
      <c r="P114" s="3192"/>
      <c r="Q114" s="3192"/>
      <c r="R114" s="3192"/>
      <c r="S114" s="3192"/>
      <c r="T114" s="3192"/>
      <c r="U114" s="3192"/>
    </row>
    <row r="115" spans="1:21" s="959" customFormat="1" ht="14.25" customHeight="1">
      <c r="A115" s="3157" t="s">
        <v>1152</v>
      </c>
      <c r="B115" s="3157" t="s">
        <v>2840</v>
      </c>
      <c r="C115" s="3157">
        <v>12460</v>
      </c>
      <c r="D115" s="3157">
        <v>12390</v>
      </c>
      <c r="E115" s="3157"/>
      <c r="F115" s="3163"/>
      <c r="G115" s="3163">
        <v>8190</v>
      </c>
      <c r="I115" s="970"/>
      <c r="J115" s="3192"/>
      <c r="K115" s="3192"/>
      <c r="L115" s="3192"/>
      <c r="M115" s="3192"/>
      <c r="N115" s="3192"/>
      <c r="O115" s="3192"/>
      <c r="P115" s="3192"/>
      <c r="Q115" s="3192"/>
      <c r="R115" s="3192"/>
      <c r="S115" s="3192"/>
      <c r="T115" s="3192"/>
      <c r="U115" s="3192"/>
    </row>
    <row r="116" spans="1:21" s="959" customFormat="1" ht="14.25" customHeight="1">
      <c r="A116" s="3157" t="s">
        <v>1152</v>
      </c>
      <c r="B116" s="3157" t="s">
        <v>2841</v>
      </c>
      <c r="C116" s="3157">
        <v>13580</v>
      </c>
      <c r="D116" s="3157">
        <v>13520</v>
      </c>
      <c r="E116" s="3157"/>
      <c r="F116" s="3163"/>
      <c r="G116" s="3163">
        <v>8930</v>
      </c>
      <c r="I116" s="970"/>
      <c r="J116" s="3192"/>
      <c r="K116" s="3192"/>
      <c r="L116" s="3192"/>
      <c r="M116" s="3192"/>
      <c r="N116" s="3192"/>
      <c r="O116" s="3192"/>
      <c r="P116" s="3192"/>
      <c r="Q116" s="3192"/>
      <c r="R116" s="3192"/>
      <c r="S116" s="3192"/>
      <c r="T116" s="3192"/>
      <c r="U116" s="3192"/>
    </row>
    <row r="117" spans="1:21" s="959" customFormat="1" ht="14.25" customHeight="1">
      <c r="A117" s="3157" t="s">
        <v>1152</v>
      </c>
      <c r="B117" s="3157" t="s">
        <v>2842</v>
      </c>
      <c r="C117" s="3157">
        <v>17120</v>
      </c>
      <c r="D117" s="3157">
        <v>17040</v>
      </c>
      <c r="E117" s="3157"/>
      <c r="F117" s="3163"/>
      <c r="G117" s="3163">
        <v>11260</v>
      </c>
      <c r="I117" s="970"/>
      <c r="J117" s="3192"/>
      <c r="K117" s="3192"/>
      <c r="L117" s="3192"/>
      <c r="M117" s="3192"/>
      <c r="N117" s="3192"/>
      <c r="O117" s="3192"/>
      <c r="P117" s="3192"/>
      <c r="Q117" s="3192"/>
      <c r="R117" s="3192"/>
      <c r="S117" s="3192"/>
      <c r="T117" s="3192"/>
      <c r="U117" s="3192"/>
    </row>
    <row r="118" spans="1:21" s="959" customFormat="1" ht="14.25" customHeight="1">
      <c r="A118" s="3157" t="s">
        <v>1152</v>
      </c>
      <c r="B118" s="3157" t="s">
        <v>2843</v>
      </c>
      <c r="C118" s="3157">
        <v>14860</v>
      </c>
      <c r="D118" s="3157">
        <v>14790</v>
      </c>
      <c r="E118" s="3157"/>
      <c r="F118" s="3163"/>
      <c r="G118" s="3163">
        <v>9780</v>
      </c>
      <c r="I118" s="970"/>
      <c r="J118" s="3192"/>
      <c r="K118" s="3192"/>
      <c r="L118" s="3192"/>
      <c r="M118" s="3192"/>
      <c r="N118" s="3192"/>
      <c r="O118" s="3192"/>
      <c r="P118" s="3192"/>
      <c r="Q118" s="3192"/>
      <c r="R118" s="3192"/>
      <c r="S118" s="3192"/>
      <c r="T118" s="3192"/>
      <c r="U118" s="3192"/>
    </row>
    <row r="119" spans="1:21" s="959" customFormat="1" ht="14.25" customHeight="1">
      <c r="A119" s="3157" t="s">
        <v>1152</v>
      </c>
      <c r="B119" s="3157" t="s">
        <v>2844</v>
      </c>
      <c r="C119" s="3157">
        <v>16470</v>
      </c>
      <c r="D119" s="3157">
        <v>16400</v>
      </c>
      <c r="E119" s="3157"/>
      <c r="F119" s="3163"/>
      <c r="G119" s="3163">
        <v>10840</v>
      </c>
      <c r="I119" s="970"/>
      <c r="J119" s="3192"/>
      <c r="K119" s="3192"/>
      <c r="L119" s="3192"/>
      <c r="M119" s="3192"/>
      <c r="N119" s="3192"/>
      <c r="O119" s="3192"/>
      <c r="P119" s="3192"/>
      <c r="Q119" s="3192"/>
      <c r="R119" s="3192"/>
      <c r="S119" s="3192"/>
      <c r="T119" s="3192"/>
      <c r="U119" s="3192"/>
    </row>
    <row r="120" spans="1:21" s="959" customFormat="1" ht="14.25" customHeight="1">
      <c r="A120" s="3157" t="s">
        <v>1152</v>
      </c>
      <c r="B120" s="3157" t="s">
        <v>2845</v>
      </c>
      <c r="C120" s="3157"/>
      <c r="D120" s="3157"/>
      <c r="E120" s="3157"/>
      <c r="F120" s="3163">
        <v>4160</v>
      </c>
      <c r="G120" s="3163"/>
      <c r="I120" s="970"/>
      <c r="J120" s="3192"/>
      <c r="K120" s="3192"/>
      <c r="L120" s="3192"/>
      <c r="M120" s="3192"/>
      <c r="N120" s="3192"/>
      <c r="O120" s="3192"/>
      <c r="P120" s="3192"/>
      <c r="Q120" s="3192"/>
      <c r="R120" s="3192"/>
      <c r="S120" s="3192"/>
      <c r="T120" s="3192"/>
      <c r="U120" s="3192"/>
    </row>
    <row r="121" spans="1:21" s="959" customFormat="1" ht="14.25" customHeight="1">
      <c r="A121" s="3157" t="s">
        <v>1152</v>
      </c>
      <c r="B121" s="3157" t="s">
        <v>2846</v>
      </c>
      <c r="C121" s="3157"/>
      <c r="D121" s="3157"/>
      <c r="E121" s="3157"/>
      <c r="F121" s="3163">
        <v>3880</v>
      </c>
      <c r="G121" s="3163"/>
      <c r="I121" s="970"/>
      <c r="J121" s="3192"/>
      <c r="K121" s="3192"/>
      <c r="L121" s="3192"/>
      <c r="M121" s="3192"/>
      <c r="N121" s="3192"/>
      <c r="O121" s="3192"/>
      <c r="P121" s="3192"/>
      <c r="Q121" s="3192"/>
      <c r="R121" s="3192"/>
      <c r="S121" s="3192"/>
      <c r="T121" s="3192"/>
      <c r="U121" s="3192"/>
    </row>
    <row r="122" spans="1:21" s="959" customFormat="1" ht="14.25" customHeight="1">
      <c r="A122" s="3157" t="s">
        <v>1152</v>
      </c>
      <c r="B122" s="3157" t="s">
        <v>2847</v>
      </c>
      <c r="C122" s="3157">
        <v>13750</v>
      </c>
      <c r="D122" s="3157">
        <v>13680</v>
      </c>
      <c r="E122" s="3157">
        <v>16460</v>
      </c>
      <c r="F122" s="3163">
        <v>2880</v>
      </c>
      <c r="G122" s="3163">
        <v>9040</v>
      </c>
      <c r="I122" s="970"/>
      <c r="J122" s="3192"/>
      <c r="K122" s="3192"/>
      <c r="L122" s="3192"/>
      <c r="M122" s="3192"/>
      <c r="N122" s="3192"/>
      <c r="O122" s="3192"/>
      <c r="P122" s="3192"/>
      <c r="Q122" s="3192"/>
      <c r="R122" s="3192"/>
      <c r="S122" s="3192"/>
      <c r="T122" s="3192"/>
      <c r="U122" s="3192"/>
    </row>
    <row r="123" spans="1:21" s="959" customFormat="1" ht="14.25" customHeight="1">
      <c r="A123" s="3157" t="s">
        <v>1152</v>
      </c>
      <c r="B123" s="3157" t="s">
        <v>2848</v>
      </c>
      <c r="C123" s="3157">
        <v>13590</v>
      </c>
      <c r="D123" s="3157">
        <v>13520</v>
      </c>
      <c r="E123" s="3157">
        <v>16290</v>
      </c>
      <c r="F123" s="3163">
        <v>2790</v>
      </c>
      <c r="G123" s="3163">
        <v>8930</v>
      </c>
      <c r="I123" s="970"/>
      <c r="J123" s="3192"/>
      <c r="K123" s="3192"/>
      <c r="L123" s="3192"/>
      <c r="M123" s="3192"/>
      <c r="N123" s="3192"/>
      <c r="O123" s="3192"/>
      <c r="P123" s="3192"/>
      <c r="Q123" s="3192"/>
      <c r="R123" s="3192"/>
      <c r="S123" s="3192"/>
      <c r="T123" s="3192"/>
      <c r="U123" s="3192"/>
    </row>
    <row r="124" spans="1:21" s="959" customFormat="1" ht="14.25" customHeight="1">
      <c r="A124" s="3157" t="s">
        <v>1152</v>
      </c>
      <c r="B124" s="3157" t="s">
        <v>2849</v>
      </c>
      <c r="C124" s="3157">
        <v>13400</v>
      </c>
      <c r="D124" s="3157">
        <v>13320</v>
      </c>
      <c r="E124" s="3157">
        <v>16100</v>
      </c>
      <c r="F124" s="3163">
        <v>2320</v>
      </c>
      <c r="G124" s="3165">
        <v>8800</v>
      </c>
      <c r="I124" s="970"/>
      <c r="J124" s="3192"/>
      <c r="K124" s="3192"/>
      <c r="L124" s="3192"/>
      <c r="M124" s="3192"/>
      <c r="N124" s="3192"/>
      <c r="O124" s="3192"/>
      <c r="P124" s="3192"/>
      <c r="Q124" s="3192"/>
      <c r="R124" s="3192"/>
      <c r="S124" s="3192"/>
      <c r="T124" s="3192"/>
      <c r="U124" s="3192"/>
    </row>
    <row r="125" spans="1:21" s="959" customFormat="1" ht="14.25" customHeight="1">
      <c r="A125" s="3157" t="s">
        <v>1152</v>
      </c>
      <c r="B125" s="1213" t="s">
        <v>2850</v>
      </c>
      <c r="C125" s="1213">
        <v>12860</v>
      </c>
      <c r="D125" s="1213">
        <v>12790</v>
      </c>
      <c r="E125" s="1213">
        <v>15370</v>
      </c>
      <c r="F125" s="3168">
        <v>2280</v>
      </c>
      <c r="G125" s="3175">
        <v>8450</v>
      </c>
      <c r="I125" s="970"/>
      <c r="J125" s="3192"/>
      <c r="K125" s="3192"/>
      <c r="L125" s="3192"/>
      <c r="M125" s="3192"/>
      <c r="N125" s="3192"/>
      <c r="O125" s="3192"/>
      <c r="P125" s="3192"/>
      <c r="Q125" s="3192"/>
      <c r="R125" s="3192"/>
      <c r="S125" s="3192"/>
      <c r="T125" s="3192"/>
      <c r="U125" s="3192"/>
    </row>
    <row r="126" spans="1:21" s="959" customFormat="1" ht="14.25" customHeight="1" thickBot="1">
      <c r="A126" s="3172" t="s">
        <v>1152</v>
      </c>
      <c r="B126" s="3160" t="s">
        <v>2851</v>
      </c>
      <c r="C126" s="3160">
        <v>12960</v>
      </c>
      <c r="D126" s="3160">
        <v>12890</v>
      </c>
      <c r="E126" s="3160">
        <v>15530</v>
      </c>
      <c r="F126" s="3161">
        <v>2910</v>
      </c>
      <c r="G126" s="3176">
        <v>8520</v>
      </c>
      <c r="I126" s="970"/>
      <c r="J126" s="3192"/>
      <c r="K126" s="3192"/>
      <c r="L126" s="3192"/>
      <c r="M126" s="3192"/>
      <c r="N126" s="3192"/>
      <c r="O126" s="3192"/>
      <c r="P126" s="3192"/>
      <c r="Q126" s="3192"/>
      <c r="R126" s="3192"/>
      <c r="S126" s="3192"/>
      <c r="T126" s="3192"/>
      <c r="U126" s="3192"/>
    </row>
    <row r="127" spans="1:21" s="959" customFormat="1" ht="14.25" customHeight="1">
      <c r="A127" s="3171" t="s">
        <v>1153</v>
      </c>
      <c r="B127" s="1215" t="s">
        <v>2852</v>
      </c>
      <c r="C127" s="1215">
        <v>12280</v>
      </c>
      <c r="D127" s="1215">
        <v>12250</v>
      </c>
      <c r="E127" s="1215">
        <v>15130</v>
      </c>
      <c r="F127" s="3158">
        <v>2710</v>
      </c>
      <c r="G127" s="3174">
        <v>7870</v>
      </c>
      <c r="I127" s="970"/>
      <c r="J127" s="3192"/>
      <c r="K127" s="3192"/>
      <c r="L127" s="3192"/>
      <c r="M127" s="3192"/>
      <c r="N127" s="3192"/>
      <c r="O127" s="3192"/>
      <c r="P127" s="3192"/>
      <c r="Q127" s="3192"/>
      <c r="R127" s="3192"/>
      <c r="S127" s="3192"/>
      <c r="T127" s="3192"/>
      <c r="U127" s="3192"/>
    </row>
    <row r="128" spans="1:21" s="959" customFormat="1" ht="14.25" customHeight="1">
      <c r="A128" s="3157" t="s">
        <v>1153</v>
      </c>
      <c r="B128" s="3157" t="s">
        <v>977</v>
      </c>
      <c r="C128" s="3157">
        <v>13180</v>
      </c>
      <c r="D128" s="3157">
        <v>13150</v>
      </c>
      <c r="E128" s="3157">
        <v>16190</v>
      </c>
      <c r="F128" s="3163">
        <v>2820</v>
      </c>
      <c r="G128" s="3165">
        <v>8460</v>
      </c>
      <c r="I128" s="970"/>
      <c r="J128" s="3192"/>
      <c r="K128" s="3192"/>
      <c r="L128" s="3192"/>
      <c r="M128" s="3192"/>
      <c r="N128" s="3192"/>
      <c r="O128" s="3192"/>
      <c r="P128" s="3192"/>
      <c r="Q128" s="3192"/>
      <c r="R128" s="3192"/>
      <c r="S128" s="3192"/>
      <c r="T128" s="3192"/>
      <c r="U128" s="3192"/>
    </row>
    <row r="129" spans="1:21" s="959" customFormat="1" ht="14.25" customHeight="1">
      <c r="A129" s="3157" t="s">
        <v>1153</v>
      </c>
      <c r="B129" s="3157" t="s">
        <v>987</v>
      </c>
      <c r="C129" s="3157">
        <v>10950</v>
      </c>
      <c r="D129" s="3157">
        <v>10920</v>
      </c>
      <c r="E129" s="3157">
        <v>13820</v>
      </c>
      <c r="F129" s="3163">
        <v>2500</v>
      </c>
      <c r="G129" s="3165">
        <v>7020</v>
      </c>
      <c r="I129" s="970"/>
      <c r="J129" s="3192"/>
      <c r="K129" s="3192"/>
      <c r="L129" s="3192"/>
      <c r="M129" s="3192"/>
      <c r="N129" s="3192"/>
      <c r="O129" s="3192"/>
      <c r="P129" s="3192"/>
      <c r="Q129" s="3192"/>
      <c r="R129" s="3192"/>
      <c r="S129" s="3192"/>
      <c r="T129" s="3192"/>
      <c r="U129" s="3192"/>
    </row>
    <row r="130" spans="1:21" s="959" customFormat="1" ht="14.25" customHeight="1">
      <c r="A130" s="3157" t="s">
        <v>1153</v>
      </c>
      <c r="B130" s="3157" t="s">
        <v>996</v>
      </c>
      <c r="C130" s="3157">
        <v>10910</v>
      </c>
      <c r="D130" s="3157">
        <v>10860</v>
      </c>
      <c r="E130" s="3157">
        <v>13730</v>
      </c>
      <c r="F130" s="3163">
        <v>2760</v>
      </c>
      <c r="G130" s="3165">
        <v>6990</v>
      </c>
      <c r="I130" s="970"/>
      <c r="J130" s="3192"/>
      <c r="K130" s="3192"/>
      <c r="L130" s="3192"/>
      <c r="M130" s="3192"/>
      <c r="N130" s="3192"/>
      <c r="O130" s="3192"/>
      <c r="P130" s="3192"/>
      <c r="Q130" s="3192"/>
      <c r="R130" s="3192"/>
      <c r="S130" s="3192"/>
      <c r="T130" s="3192"/>
      <c r="U130" s="3192"/>
    </row>
    <row r="131" spans="1:21" s="959" customFormat="1" ht="14.25" customHeight="1">
      <c r="A131" s="3157" t="s">
        <v>1153</v>
      </c>
      <c r="B131" s="3157" t="s">
        <v>1006</v>
      </c>
      <c r="C131" s="3157">
        <v>12910</v>
      </c>
      <c r="D131" s="3157">
        <v>12870</v>
      </c>
      <c r="E131" s="3157">
        <v>15720</v>
      </c>
      <c r="F131" s="3163">
        <v>2750</v>
      </c>
      <c r="G131" s="3165">
        <v>8280</v>
      </c>
      <c r="I131" s="970"/>
      <c r="J131" s="3192"/>
      <c r="K131" s="3192"/>
      <c r="L131" s="3192"/>
      <c r="M131" s="3192"/>
      <c r="N131" s="3192"/>
      <c r="O131" s="3192"/>
      <c r="P131" s="3192"/>
      <c r="Q131" s="3192"/>
      <c r="R131" s="3192"/>
      <c r="S131" s="3192"/>
      <c r="T131" s="3192"/>
      <c r="U131" s="3192"/>
    </row>
    <row r="132" spans="1:21" s="959" customFormat="1" ht="14.25" customHeight="1">
      <c r="A132" s="3157" t="s">
        <v>1153</v>
      </c>
      <c r="B132" s="3157" t="s">
        <v>1013</v>
      </c>
      <c r="C132" s="3157">
        <v>11910</v>
      </c>
      <c r="D132" s="3157">
        <v>11860</v>
      </c>
      <c r="E132" s="3157">
        <v>14730</v>
      </c>
      <c r="F132" s="3163">
        <v>2360</v>
      </c>
      <c r="G132" s="3165">
        <v>7630</v>
      </c>
      <c r="I132" s="970"/>
      <c r="J132" s="3192"/>
      <c r="K132" s="3192"/>
      <c r="L132" s="3192"/>
      <c r="M132" s="3192"/>
      <c r="N132" s="3192"/>
      <c r="O132" s="3192"/>
      <c r="P132" s="3192"/>
      <c r="Q132" s="3192"/>
      <c r="R132" s="3192"/>
      <c r="S132" s="3192"/>
      <c r="T132" s="3192"/>
      <c r="U132" s="3192"/>
    </row>
    <row r="133" spans="1:21" s="959" customFormat="1" ht="14.25" customHeight="1">
      <c r="A133" s="3157" t="s">
        <v>1153</v>
      </c>
      <c r="B133" s="3157" t="s">
        <v>1019</v>
      </c>
      <c r="C133" s="3157">
        <v>12270</v>
      </c>
      <c r="D133" s="3157">
        <v>12210</v>
      </c>
      <c r="E133" s="3157">
        <v>15010</v>
      </c>
      <c r="F133" s="3163">
        <v>2580</v>
      </c>
      <c r="G133" s="3165">
        <v>7860</v>
      </c>
      <c r="I133" s="970"/>
      <c r="J133" s="3192"/>
      <c r="K133" s="3192"/>
      <c r="L133" s="3192"/>
      <c r="M133" s="3192"/>
      <c r="N133" s="3192"/>
      <c r="O133" s="3192"/>
      <c r="P133" s="3192"/>
      <c r="Q133" s="3192"/>
      <c r="R133" s="3192"/>
      <c r="S133" s="3192"/>
      <c r="T133" s="3192"/>
      <c r="U133" s="3192"/>
    </row>
    <row r="134" spans="1:21" s="959" customFormat="1" ht="14.25" customHeight="1">
      <c r="A134" s="3157" t="s">
        <v>1153</v>
      </c>
      <c r="B134" s="3157" t="s">
        <v>1026</v>
      </c>
      <c r="C134" s="3157">
        <v>10800</v>
      </c>
      <c r="D134" s="3157">
        <v>10780</v>
      </c>
      <c r="E134" s="3157">
        <v>13640</v>
      </c>
      <c r="F134" s="3163">
        <v>2110</v>
      </c>
      <c r="G134" s="3163">
        <v>6930</v>
      </c>
      <c r="I134" s="970"/>
      <c r="J134" s="3192"/>
      <c r="K134" s="3192"/>
      <c r="L134" s="3192"/>
      <c r="M134" s="3192"/>
      <c r="N134" s="3192"/>
      <c r="O134" s="3192"/>
      <c r="P134" s="3192"/>
      <c r="Q134" s="3192"/>
      <c r="R134" s="3192"/>
      <c r="S134" s="3192"/>
      <c r="T134" s="3192"/>
      <c r="U134" s="3192"/>
    </row>
    <row r="135" spans="1:21" s="959" customFormat="1" ht="14.25" customHeight="1">
      <c r="A135" s="3157" t="s">
        <v>1153</v>
      </c>
      <c r="B135" s="3157" t="s">
        <v>1036</v>
      </c>
      <c r="C135" s="3157">
        <v>10430</v>
      </c>
      <c r="D135" s="3157">
        <v>10390</v>
      </c>
      <c r="E135" s="3157">
        <v>13140</v>
      </c>
      <c r="F135" s="3163">
        <v>2240</v>
      </c>
      <c r="G135" s="3165">
        <v>6680</v>
      </c>
      <c r="I135" s="970"/>
      <c r="J135" s="3192"/>
      <c r="K135" s="3192"/>
      <c r="L135" s="3192"/>
      <c r="M135" s="3192"/>
      <c r="N135" s="3192"/>
      <c r="O135" s="3192"/>
      <c r="P135" s="3192"/>
      <c r="Q135" s="3192"/>
      <c r="R135" s="3192"/>
      <c r="S135" s="3192"/>
      <c r="T135" s="3192"/>
      <c r="U135" s="3192"/>
    </row>
    <row r="136" spans="1:21" s="959" customFormat="1" ht="14.25" customHeight="1">
      <c r="A136" s="3157" t="s">
        <v>1153</v>
      </c>
      <c r="B136" s="3157" t="s">
        <v>1045</v>
      </c>
      <c r="C136" s="3157">
        <v>11930</v>
      </c>
      <c r="D136" s="3157">
        <v>11880</v>
      </c>
      <c r="E136" s="3157">
        <v>14770</v>
      </c>
      <c r="F136" s="3163">
        <v>1970</v>
      </c>
      <c r="G136" s="3165">
        <v>7640</v>
      </c>
      <c r="I136" s="970"/>
      <c r="J136" s="3192"/>
      <c r="K136" s="3192"/>
      <c r="L136" s="3192"/>
      <c r="M136" s="3192"/>
      <c r="N136" s="3192"/>
      <c r="O136" s="3192"/>
      <c r="P136" s="3192"/>
      <c r="Q136" s="3192"/>
      <c r="R136" s="3192"/>
      <c r="S136" s="3192"/>
      <c r="T136" s="3192"/>
      <c r="U136" s="3192"/>
    </row>
    <row r="137" spans="1:21" s="959" customFormat="1" ht="14.25" customHeight="1">
      <c r="A137" s="3157" t="s">
        <v>1153</v>
      </c>
      <c r="B137" s="3157" t="s">
        <v>1052</v>
      </c>
      <c r="C137" s="3157">
        <v>10470</v>
      </c>
      <c r="D137" s="3157">
        <v>10430</v>
      </c>
      <c r="E137" s="3157">
        <v>13190</v>
      </c>
      <c r="F137" s="3163">
        <v>1990</v>
      </c>
      <c r="G137" s="3165">
        <v>6710</v>
      </c>
      <c r="I137" s="970"/>
      <c r="J137" s="3192"/>
      <c r="K137" s="3192"/>
      <c r="L137" s="3192"/>
      <c r="M137" s="3192"/>
      <c r="N137" s="3192"/>
      <c r="O137" s="3192"/>
      <c r="P137" s="3192"/>
      <c r="Q137" s="3192"/>
      <c r="R137" s="3192"/>
      <c r="S137" s="3192"/>
      <c r="T137" s="3192"/>
      <c r="U137" s="3192"/>
    </row>
    <row r="138" spans="1:21" s="959" customFormat="1" ht="14.25" customHeight="1">
      <c r="A138" s="3157" t="s">
        <v>1153</v>
      </c>
      <c r="B138" s="3157" t="s">
        <v>1059</v>
      </c>
      <c r="C138" s="3157">
        <v>10410</v>
      </c>
      <c r="D138" s="3157">
        <v>10380</v>
      </c>
      <c r="E138" s="3157">
        <v>13130</v>
      </c>
      <c r="F138" s="3163">
        <v>2030</v>
      </c>
      <c r="G138" s="3165">
        <v>6680</v>
      </c>
      <c r="I138" s="970"/>
      <c r="J138" s="3192"/>
      <c r="K138" s="3192"/>
      <c r="L138" s="3192"/>
      <c r="M138" s="3192"/>
      <c r="N138" s="3192"/>
      <c r="O138" s="3192"/>
      <c r="P138" s="3192"/>
      <c r="Q138" s="3192"/>
      <c r="R138" s="3192"/>
      <c r="S138" s="3192"/>
      <c r="T138" s="3192"/>
      <c r="U138" s="3192"/>
    </row>
    <row r="139" spans="1:21" s="959" customFormat="1" ht="14.25" customHeight="1">
      <c r="A139" s="3157" t="s">
        <v>1153</v>
      </c>
      <c r="B139" s="3157" t="s">
        <v>1066</v>
      </c>
      <c r="C139" s="3157">
        <v>9460</v>
      </c>
      <c r="D139" s="3157">
        <v>9410</v>
      </c>
      <c r="E139" s="3157">
        <v>12050</v>
      </c>
      <c r="F139" s="3163">
        <v>2140</v>
      </c>
      <c r="G139" s="3163">
        <v>6050</v>
      </c>
      <c r="I139" s="970"/>
      <c r="J139" s="3192"/>
      <c r="K139" s="3192"/>
      <c r="L139" s="3192"/>
      <c r="M139" s="3192"/>
      <c r="N139" s="3192"/>
      <c r="O139" s="3192"/>
      <c r="P139" s="3192"/>
      <c r="Q139" s="3192"/>
      <c r="R139" s="3192"/>
      <c r="S139" s="3192"/>
      <c r="T139" s="3192"/>
      <c r="U139" s="3192"/>
    </row>
    <row r="140" spans="1:21" s="959" customFormat="1" ht="14.25" customHeight="1">
      <c r="A140" s="3157" t="s">
        <v>1153</v>
      </c>
      <c r="B140" s="3157" t="s">
        <v>1074</v>
      </c>
      <c r="C140" s="3157">
        <v>11030</v>
      </c>
      <c r="D140" s="3157">
        <v>10980</v>
      </c>
      <c r="E140" s="3157">
        <v>13880</v>
      </c>
      <c r="F140" s="3163">
        <v>2210</v>
      </c>
      <c r="G140" s="3163">
        <v>7060</v>
      </c>
      <c r="I140" s="970"/>
      <c r="J140" s="3192"/>
      <c r="K140" s="3192"/>
      <c r="L140" s="3192"/>
      <c r="M140" s="3192"/>
      <c r="N140" s="3192"/>
      <c r="O140" s="3192"/>
      <c r="P140" s="3192"/>
      <c r="Q140" s="3192"/>
      <c r="R140" s="3192"/>
      <c r="S140" s="3192"/>
      <c r="T140" s="3192"/>
      <c r="U140" s="3192"/>
    </row>
    <row r="141" spans="1:21" s="959" customFormat="1" ht="14.25" customHeight="1">
      <c r="A141" s="3157" t="s">
        <v>1153</v>
      </c>
      <c r="B141" s="3157" t="s">
        <v>1082</v>
      </c>
      <c r="C141" s="3157">
        <v>11200</v>
      </c>
      <c r="D141" s="3157">
        <v>11150</v>
      </c>
      <c r="E141" s="3157">
        <v>14100</v>
      </c>
      <c r="F141" s="3163">
        <v>2470</v>
      </c>
      <c r="G141" s="3165">
        <v>7170</v>
      </c>
      <c r="I141" s="970"/>
      <c r="J141" s="3192"/>
      <c r="K141" s="3192"/>
      <c r="L141" s="3192"/>
      <c r="M141" s="3192"/>
      <c r="N141" s="3192"/>
      <c r="O141" s="3192"/>
      <c r="P141" s="3192"/>
      <c r="Q141" s="3192"/>
      <c r="R141" s="3192"/>
      <c r="S141" s="3192"/>
      <c r="T141" s="3192"/>
      <c r="U141" s="3192"/>
    </row>
    <row r="142" spans="1:21" s="959" customFormat="1" ht="14.25" customHeight="1">
      <c r="A142" s="3157" t="s">
        <v>1153</v>
      </c>
      <c r="B142" s="3157" t="s">
        <v>1087</v>
      </c>
      <c r="C142" s="3157">
        <v>10780</v>
      </c>
      <c r="D142" s="3157">
        <v>10730</v>
      </c>
      <c r="E142" s="3157">
        <v>13540</v>
      </c>
      <c r="F142" s="3163">
        <v>2280</v>
      </c>
      <c r="G142" s="3165">
        <v>6900</v>
      </c>
      <c r="I142" s="970"/>
      <c r="J142" s="3192"/>
      <c r="K142" s="3192"/>
      <c r="L142" s="3192"/>
      <c r="M142" s="3192"/>
      <c r="N142" s="3192"/>
      <c r="O142" s="3192"/>
      <c r="P142" s="3192"/>
      <c r="Q142" s="3192"/>
      <c r="R142" s="3192"/>
      <c r="S142" s="3192"/>
      <c r="T142" s="3192"/>
      <c r="U142" s="3192"/>
    </row>
    <row r="143" spans="1:21" s="959" customFormat="1" ht="14.25" customHeight="1">
      <c r="A143" s="3157" t="s">
        <v>1153</v>
      </c>
      <c r="B143" s="3157" t="s">
        <v>1096</v>
      </c>
      <c r="C143" s="3157">
        <v>11550</v>
      </c>
      <c r="D143" s="3157">
        <v>11490</v>
      </c>
      <c r="E143" s="3157">
        <v>14480</v>
      </c>
      <c r="F143" s="3163">
        <v>2070</v>
      </c>
      <c r="G143" s="3165">
        <v>7390</v>
      </c>
      <c r="I143" s="970"/>
      <c r="J143" s="3192"/>
      <c r="K143" s="3192"/>
      <c r="L143" s="3192"/>
      <c r="M143" s="3192"/>
      <c r="N143" s="3192"/>
      <c r="O143" s="3192"/>
      <c r="P143" s="3192"/>
      <c r="Q143" s="3192"/>
      <c r="R143" s="3192"/>
      <c r="S143" s="3192"/>
      <c r="T143" s="3192"/>
      <c r="U143" s="3192"/>
    </row>
    <row r="144" spans="1:21" s="959" customFormat="1" ht="14.25" customHeight="1">
      <c r="A144" s="3157" t="s">
        <v>1153</v>
      </c>
      <c r="B144" s="3157" t="s">
        <v>1103</v>
      </c>
      <c r="C144" s="3157">
        <v>10720</v>
      </c>
      <c r="D144" s="3157">
        <v>10680</v>
      </c>
      <c r="E144" s="3157">
        <v>13480</v>
      </c>
      <c r="F144" s="3163">
        <v>2440</v>
      </c>
      <c r="G144" s="3165">
        <v>6870</v>
      </c>
      <c r="I144" s="970"/>
      <c r="J144" s="3192"/>
      <c r="K144" s="3192"/>
      <c r="L144" s="3192"/>
      <c r="M144" s="3192"/>
      <c r="N144" s="3192"/>
      <c r="O144" s="3192"/>
      <c r="P144" s="3192"/>
      <c r="Q144" s="3192"/>
      <c r="R144" s="3192"/>
      <c r="S144" s="3192"/>
      <c r="T144" s="3192"/>
      <c r="U144" s="3192"/>
    </row>
    <row r="145" spans="1:21" s="959" customFormat="1" ht="14.25" customHeight="1">
      <c r="A145" s="3157" t="s">
        <v>1153</v>
      </c>
      <c r="B145" s="3157" t="s">
        <v>1111</v>
      </c>
      <c r="C145" s="3157">
        <v>10340</v>
      </c>
      <c r="D145" s="3157">
        <v>10290</v>
      </c>
      <c r="E145" s="3157">
        <v>12880</v>
      </c>
      <c r="F145" s="3163">
        <v>2650</v>
      </c>
      <c r="G145" s="3163">
        <v>6620</v>
      </c>
      <c r="I145" s="970"/>
      <c r="J145" s="3192"/>
      <c r="K145" s="3192"/>
      <c r="L145" s="3192"/>
      <c r="M145" s="3192"/>
      <c r="N145" s="3192"/>
      <c r="O145" s="3192"/>
      <c r="P145" s="3192"/>
      <c r="Q145" s="3192"/>
      <c r="R145" s="3192"/>
      <c r="S145" s="3192"/>
      <c r="T145" s="3192"/>
      <c r="U145" s="3192"/>
    </row>
    <row r="146" spans="1:21" s="959" customFormat="1" ht="14.25" customHeight="1">
      <c r="A146" s="3157" t="s">
        <v>1153</v>
      </c>
      <c r="B146" s="3157" t="s">
        <v>1118</v>
      </c>
      <c r="C146" s="3157">
        <v>11890</v>
      </c>
      <c r="D146" s="3157">
        <v>11830</v>
      </c>
      <c r="E146" s="3157">
        <v>14670</v>
      </c>
      <c r="F146" s="3163"/>
      <c r="G146" s="3163">
        <v>7610</v>
      </c>
      <c r="I146" s="970"/>
      <c r="J146" s="3192"/>
      <c r="K146" s="3192"/>
      <c r="L146" s="3192"/>
      <c r="M146" s="3192"/>
      <c r="N146" s="3192"/>
      <c r="O146" s="3192"/>
      <c r="P146" s="3192"/>
      <c r="Q146" s="3192"/>
      <c r="R146" s="3192"/>
      <c r="S146" s="3192"/>
      <c r="T146" s="3192"/>
      <c r="U146" s="3192"/>
    </row>
    <row r="147" spans="1:21" s="959" customFormat="1" ht="14.25" customHeight="1">
      <c r="A147" s="3157" t="s">
        <v>1153</v>
      </c>
      <c r="B147" s="3157" t="s">
        <v>1122</v>
      </c>
      <c r="C147" s="3157">
        <v>12650</v>
      </c>
      <c r="D147" s="3157">
        <v>12600</v>
      </c>
      <c r="E147" s="3157">
        <v>15440</v>
      </c>
      <c r="F147" s="3163"/>
      <c r="G147" s="3163">
        <v>8110</v>
      </c>
      <c r="I147" s="970"/>
      <c r="J147" s="3192"/>
      <c r="K147" s="3192"/>
      <c r="L147" s="3192"/>
      <c r="M147" s="3192"/>
      <c r="N147" s="3192"/>
      <c r="O147" s="3192"/>
      <c r="P147" s="3192"/>
      <c r="Q147" s="3192"/>
      <c r="R147" s="3192"/>
      <c r="S147" s="3192"/>
      <c r="T147" s="3192"/>
      <c r="U147" s="3192"/>
    </row>
    <row r="148" spans="1:21" s="959" customFormat="1" ht="14.25" customHeight="1">
      <c r="A148" s="3157" t="s">
        <v>1153</v>
      </c>
      <c r="B148" s="3157" t="s">
        <v>2853</v>
      </c>
      <c r="C148" s="3157">
        <v>10370</v>
      </c>
      <c r="D148" s="3157">
        <v>10310</v>
      </c>
      <c r="E148" s="3157">
        <v>12970</v>
      </c>
      <c r="F148" s="3163"/>
      <c r="G148" s="3163">
        <v>6630</v>
      </c>
      <c r="I148" s="970"/>
      <c r="J148" s="3192"/>
      <c r="K148" s="3192"/>
      <c r="L148" s="3192"/>
      <c r="M148" s="3192"/>
      <c r="N148" s="3192"/>
      <c r="O148" s="3192"/>
      <c r="P148" s="3192"/>
      <c r="Q148" s="3192"/>
      <c r="R148" s="3192"/>
      <c r="S148" s="3192"/>
      <c r="T148" s="3192"/>
      <c r="U148" s="3192"/>
    </row>
    <row r="149" spans="1:21" s="959" customFormat="1" ht="14.25" customHeight="1">
      <c r="A149" s="3157" t="s">
        <v>1153</v>
      </c>
      <c r="B149" s="3157" t="s">
        <v>2854</v>
      </c>
      <c r="C149" s="3157">
        <v>11600</v>
      </c>
      <c r="D149" s="3157">
        <v>11560</v>
      </c>
      <c r="E149" s="3157">
        <v>14540</v>
      </c>
      <c r="F149" s="3163">
        <v>2390</v>
      </c>
      <c r="G149" s="3163">
        <v>7430</v>
      </c>
      <c r="I149" s="970"/>
      <c r="J149" s="3192"/>
      <c r="K149" s="3192"/>
      <c r="L149" s="3192"/>
      <c r="M149" s="3192"/>
      <c r="N149" s="3192"/>
      <c r="O149" s="3192"/>
      <c r="P149" s="3192"/>
      <c r="Q149" s="3192"/>
      <c r="R149" s="3192"/>
      <c r="S149" s="3192"/>
      <c r="T149" s="3192"/>
      <c r="U149" s="3192"/>
    </row>
    <row r="150" spans="1:21" s="959" customFormat="1" ht="14.25" customHeight="1">
      <c r="A150" s="3157" t="s">
        <v>1153</v>
      </c>
      <c r="B150" s="3157" t="s">
        <v>1141</v>
      </c>
      <c r="C150" s="3157">
        <v>9950</v>
      </c>
      <c r="D150" s="3157">
        <v>9890</v>
      </c>
      <c r="E150" s="3157">
        <v>12590</v>
      </c>
      <c r="F150" s="3163">
        <v>1970</v>
      </c>
      <c r="G150" s="3163">
        <v>6360</v>
      </c>
      <c r="I150" s="970"/>
      <c r="J150" s="3192"/>
      <c r="K150" s="3192"/>
      <c r="L150" s="3192"/>
      <c r="M150" s="3192"/>
      <c r="N150" s="3192"/>
      <c r="O150" s="3192"/>
      <c r="P150" s="3192"/>
      <c r="Q150" s="3192"/>
      <c r="R150" s="3192"/>
      <c r="S150" s="3192"/>
      <c r="T150" s="3192"/>
      <c r="U150" s="3192"/>
    </row>
    <row r="151" spans="1:21" s="959" customFormat="1" ht="14.25" customHeight="1">
      <c r="A151" s="3157" t="s">
        <v>1153</v>
      </c>
      <c r="B151" s="3157" t="s">
        <v>1143</v>
      </c>
      <c r="C151" s="3157">
        <v>10700</v>
      </c>
      <c r="D151" s="3157">
        <v>10650</v>
      </c>
      <c r="E151" s="3157">
        <v>13420</v>
      </c>
      <c r="F151" s="3163">
        <v>2020</v>
      </c>
      <c r="G151" s="3163">
        <v>6850</v>
      </c>
      <c r="I151" s="970"/>
      <c r="J151" s="3192"/>
      <c r="K151" s="3192"/>
      <c r="L151" s="3192"/>
      <c r="M151" s="3192"/>
      <c r="N151" s="3192"/>
      <c r="O151" s="3192"/>
      <c r="P151" s="3192"/>
      <c r="Q151" s="3192"/>
      <c r="R151" s="3192"/>
      <c r="S151" s="3192"/>
      <c r="T151" s="3192"/>
      <c r="U151" s="3192"/>
    </row>
    <row r="152" spans="1:21" s="959" customFormat="1" ht="14.25" customHeight="1">
      <c r="A152" s="3157" t="s">
        <v>1153</v>
      </c>
      <c r="B152" s="3157" t="s">
        <v>1146</v>
      </c>
      <c r="C152" s="3157">
        <v>10310</v>
      </c>
      <c r="D152" s="3157">
        <v>10260</v>
      </c>
      <c r="E152" s="3157">
        <v>12820</v>
      </c>
      <c r="F152" s="3163">
        <v>1980</v>
      </c>
      <c r="G152" s="3163">
        <v>6600</v>
      </c>
      <c r="I152" s="970"/>
      <c r="J152" s="3192"/>
      <c r="K152" s="3192"/>
      <c r="L152" s="3192"/>
      <c r="M152" s="3192"/>
      <c r="N152" s="3192"/>
      <c r="O152" s="3192"/>
      <c r="P152" s="3192"/>
      <c r="Q152" s="3192"/>
      <c r="R152" s="3192"/>
      <c r="S152" s="3192"/>
      <c r="T152" s="3192"/>
      <c r="U152" s="3192"/>
    </row>
    <row r="153" spans="1:21" s="959" customFormat="1" ht="14.25" customHeight="1">
      <c r="A153" s="3157" t="s">
        <v>1153</v>
      </c>
      <c r="B153" s="3157" t="s">
        <v>2855</v>
      </c>
      <c r="C153" s="3157">
        <v>10880</v>
      </c>
      <c r="D153" s="3157">
        <v>10820</v>
      </c>
      <c r="E153" s="3157">
        <v>13660</v>
      </c>
      <c r="F153" s="3163">
        <v>2260</v>
      </c>
      <c r="G153" s="3163">
        <v>6970</v>
      </c>
      <c r="I153" s="970"/>
      <c r="J153" s="3192"/>
      <c r="K153" s="3192"/>
      <c r="L153" s="3192"/>
      <c r="M153" s="3192"/>
      <c r="N153" s="3192"/>
      <c r="O153" s="3192"/>
      <c r="P153" s="3192"/>
      <c r="Q153" s="3192"/>
      <c r="R153" s="3192"/>
      <c r="S153" s="3192"/>
      <c r="T153" s="3192"/>
      <c r="U153" s="3192"/>
    </row>
    <row r="154" spans="1:21" s="959" customFormat="1" ht="14.25" customHeight="1">
      <c r="A154" s="3157" t="s">
        <v>1153</v>
      </c>
      <c r="B154" s="3157" t="s">
        <v>2856</v>
      </c>
      <c r="C154" s="3157">
        <v>11220</v>
      </c>
      <c r="D154" s="3157">
        <v>11160</v>
      </c>
      <c r="E154" s="3157">
        <v>14130</v>
      </c>
      <c r="F154" s="3163">
        <v>2230</v>
      </c>
      <c r="G154" s="3163">
        <v>7180</v>
      </c>
      <c r="I154" s="970"/>
      <c r="J154" s="3192"/>
      <c r="K154" s="3192"/>
      <c r="L154" s="3192"/>
      <c r="M154" s="3192"/>
      <c r="N154" s="3192"/>
      <c r="O154" s="3192"/>
      <c r="P154" s="3192"/>
      <c r="Q154" s="3192"/>
      <c r="R154" s="3192"/>
      <c r="S154" s="3192"/>
      <c r="T154" s="3192"/>
      <c r="U154" s="3192"/>
    </row>
    <row r="155" spans="1:21" s="959" customFormat="1" ht="14.25" customHeight="1">
      <c r="A155" s="3157" t="s">
        <v>1153</v>
      </c>
      <c r="B155" s="3157" t="s">
        <v>2857</v>
      </c>
      <c r="C155" s="3157">
        <v>10430</v>
      </c>
      <c r="D155" s="3157">
        <v>10380</v>
      </c>
      <c r="E155" s="3157">
        <v>13140</v>
      </c>
      <c r="F155" s="3163">
        <v>2080</v>
      </c>
      <c r="G155" s="3163">
        <v>6650</v>
      </c>
      <c r="I155" s="970"/>
      <c r="J155" s="3192"/>
      <c r="K155" s="3192"/>
      <c r="L155" s="3192"/>
      <c r="M155" s="3192"/>
      <c r="N155" s="3192"/>
      <c r="O155" s="3192"/>
      <c r="P155" s="3192"/>
      <c r="Q155" s="3192"/>
      <c r="R155" s="3192"/>
      <c r="S155" s="3192"/>
      <c r="T155" s="3192"/>
      <c r="U155" s="3192"/>
    </row>
    <row r="156" spans="1:21" s="959" customFormat="1" ht="14.25" customHeight="1">
      <c r="A156" s="3157" t="s">
        <v>1153</v>
      </c>
      <c r="B156" s="3157" t="s">
        <v>2858</v>
      </c>
      <c r="C156" s="3157">
        <v>10440</v>
      </c>
      <c r="D156" s="3157">
        <v>10400</v>
      </c>
      <c r="E156" s="3157">
        <v>13150</v>
      </c>
      <c r="F156" s="3163">
        <v>2490</v>
      </c>
      <c r="G156" s="3163">
        <v>6690</v>
      </c>
      <c r="I156" s="970"/>
      <c r="J156" s="3192"/>
      <c r="K156" s="3192"/>
      <c r="L156" s="3192"/>
      <c r="M156" s="3192"/>
      <c r="N156" s="3192"/>
      <c r="O156" s="3192"/>
      <c r="P156" s="3192"/>
      <c r="Q156" s="3192"/>
      <c r="R156" s="3192"/>
      <c r="S156" s="3192"/>
      <c r="T156" s="3192"/>
      <c r="U156" s="3192"/>
    </row>
    <row r="157" spans="1:21" s="959" customFormat="1" ht="14.25" customHeight="1">
      <c r="A157" s="3157" t="s">
        <v>1153</v>
      </c>
      <c r="B157" s="3157" t="s">
        <v>1149</v>
      </c>
      <c r="C157" s="3157">
        <v>10970</v>
      </c>
      <c r="D157" s="3157">
        <v>10920</v>
      </c>
      <c r="E157" s="3157">
        <v>13840</v>
      </c>
      <c r="F157" s="3163">
        <v>2420</v>
      </c>
      <c r="G157" s="3170">
        <v>7020</v>
      </c>
      <c r="I157" s="970"/>
      <c r="J157" s="3192"/>
      <c r="K157" s="3192"/>
      <c r="L157" s="3192"/>
      <c r="M157" s="3192"/>
      <c r="N157" s="3192"/>
      <c r="O157" s="3192"/>
      <c r="P157" s="3192"/>
      <c r="Q157" s="3192"/>
      <c r="R157" s="3192"/>
      <c r="S157" s="3192"/>
      <c r="T157" s="3192"/>
      <c r="U157" s="3192"/>
    </row>
    <row r="158" spans="1:21" s="959" customFormat="1" ht="14.25" customHeight="1">
      <c r="A158" s="1215" t="s">
        <v>1153</v>
      </c>
      <c r="B158" s="1215" t="s">
        <v>1150</v>
      </c>
      <c r="C158" s="1215">
        <v>9590</v>
      </c>
      <c r="D158" s="1215">
        <v>9540</v>
      </c>
      <c r="E158" s="1215">
        <v>12210</v>
      </c>
      <c r="F158" s="3158">
        <v>2100</v>
      </c>
      <c r="G158" s="3158">
        <v>6130</v>
      </c>
      <c r="I158" s="970"/>
      <c r="J158" s="3192"/>
      <c r="K158" s="3192"/>
      <c r="L158" s="3192"/>
      <c r="M158" s="3192"/>
      <c r="N158" s="3192"/>
      <c r="O158" s="3192"/>
      <c r="P158" s="3192"/>
      <c r="Q158" s="3192"/>
      <c r="R158" s="3192"/>
      <c r="S158" s="3192"/>
      <c r="T158" s="3192"/>
      <c r="U158" s="3192"/>
    </row>
    <row r="159" spans="1:21" s="959" customFormat="1" ht="14.25" customHeight="1">
      <c r="A159" s="3157" t="s">
        <v>1153</v>
      </c>
      <c r="B159" s="3157" t="s">
        <v>1151</v>
      </c>
      <c r="C159" s="3157">
        <v>11190</v>
      </c>
      <c r="D159" s="3157">
        <v>11140</v>
      </c>
      <c r="E159" s="3157">
        <v>14090</v>
      </c>
      <c r="F159" s="3163">
        <v>2470</v>
      </c>
      <c r="G159" s="3163">
        <v>7170</v>
      </c>
      <c r="I159" s="970"/>
      <c r="J159" s="3192"/>
      <c r="K159" s="3192"/>
      <c r="L159" s="3192"/>
      <c r="M159" s="3192"/>
      <c r="N159" s="3192"/>
      <c r="O159" s="3192"/>
      <c r="P159" s="3192"/>
      <c r="Q159" s="3192"/>
      <c r="R159" s="3192"/>
      <c r="S159" s="3192"/>
      <c r="T159" s="3192"/>
      <c r="U159" s="3192"/>
    </row>
    <row r="160" spans="1:21" s="959" customFormat="1" ht="14.25" customHeight="1">
      <c r="A160" s="3157" t="s">
        <v>1153</v>
      </c>
      <c r="B160" s="3157" t="s">
        <v>2859</v>
      </c>
      <c r="C160" s="3157">
        <v>11180</v>
      </c>
      <c r="D160" s="3157">
        <v>11140</v>
      </c>
      <c r="E160" s="3157">
        <v>14050</v>
      </c>
      <c r="F160" s="3163">
        <v>2270</v>
      </c>
      <c r="G160" s="3163">
        <v>7170</v>
      </c>
      <c r="I160" s="970"/>
      <c r="J160" s="3192"/>
      <c r="K160" s="3192"/>
      <c r="L160" s="3192"/>
      <c r="M160" s="3192"/>
      <c r="N160" s="3192"/>
      <c r="O160" s="3192"/>
      <c r="P160" s="3192"/>
      <c r="Q160" s="3192"/>
      <c r="R160" s="3192"/>
      <c r="S160" s="3192"/>
      <c r="T160" s="3192"/>
      <c r="U160" s="3192"/>
    </row>
    <row r="161" spans="1:21" s="959" customFormat="1" ht="14.25" customHeight="1">
      <c r="A161" s="3157" t="s">
        <v>1153</v>
      </c>
      <c r="B161" s="3157" t="s">
        <v>2860</v>
      </c>
      <c r="C161" s="3157">
        <v>11160</v>
      </c>
      <c r="D161" s="3157">
        <v>11120</v>
      </c>
      <c r="E161" s="3157">
        <v>14020</v>
      </c>
      <c r="F161" s="3163">
        <v>2150</v>
      </c>
      <c r="G161" s="3163">
        <v>7160</v>
      </c>
      <c r="I161" s="970"/>
      <c r="J161" s="3192"/>
      <c r="K161" s="3192"/>
      <c r="L161" s="3192"/>
      <c r="M161" s="3192"/>
      <c r="N161" s="3192"/>
      <c r="O161" s="3192"/>
      <c r="P161" s="3192"/>
      <c r="Q161" s="3192"/>
      <c r="R161" s="3192"/>
      <c r="S161" s="3192"/>
      <c r="T161" s="3192"/>
      <c r="U161" s="3192"/>
    </row>
    <row r="162" spans="1:21" s="959" customFormat="1" ht="14.25" customHeight="1">
      <c r="A162" s="3157" t="s">
        <v>1153</v>
      </c>
      <c r="B162" s="3157" t="s">
        <v>2861</v>
      </c>
      <c r="C162" s="3157">
        <v>9620</v>
      </c>
      <c r="D162" s="3157">
        <v>9570</v>
      </c>
      <c r="E162" s="3157">
        <v>12320</v>
      </c>
      <c r="F162" s="3163">
        <v>2010</v>
      </c>
      <c r="G162" s="3163">
        <v>6160</v>
      </c>
      <c r="I162" s="970"/>
      <c r="J162" s="3192"/>
      <c r="K162" s="3192"/>
      <c r="L162" s="3192"/>
      <c r="M162" s="3192"/>
      <c r="N162" s="3192"/>
      <c r="O162" s="3192"/>
      <c r="P162" s="3192"/>
      <c r="Q162" s="3192"/>
      <c r="R162" s="3192"/>
      <c r="S162" s="3192"/>
      <c r="T162" s="3192"/>
      <c r="U162" s="3192"/>
    </row>
    <row r="163" spans="1:21" s="959" customFormat="1" ht="14.25" customHeight="1">
      <c r="A163" s="3157" t="s">
        <v>1153</v>
      </c>
      <c r="B163" s="3157" t="s">
        <v>2862</v>
      </c>
      <c r="C163" s="3157">
        <v>9320</v>
      </c>
      <c r="D163" s="3157">
        <v>9270</v>
      </c>
      <c r="E163" s="3157">
        <v>11790</v>
      </c>
      <c r="F163" s="3163">
        <v>1920</v>
      </c>
      <c r="G163" s="3163">
        <v>5960</v>
      </c>
      <c r="I163" s="970"/>
      <c r="J163" s="3192"/>
      <c r="K163" s="3192"/>
      <c r="L163" s="3192"/>
      <c r="M163" s="3192"/>
      <c r="N163" s="3192"/>
      <c r="O163" s="3192"/>
      <c r="P163" s="3192"/>
      <c r="Q163" s="3192"/>
      <c r="R163" s="3192"/>
      <c r="S163" s="3192"/>
      <c r="T163" s="3192"/>
      <c r="U163" s="3192"/>
    </row>
    <row r="164" spans="1:21" s="959" customFormat="1" ht="14.25" customHeight="1">
      <c r="A164" s="3157" t="s">
        <v>1153</v>
      </c>
      <c r="B164" s="3157" t="s">
        <v>2863</v>
      </c>
      <c r="C164" s="3157"/>
      <c r="D164" s="3157"/>
      <c r="E164" s="3157"/>
      <c r="F164" s="3163">
        <v>1980</v>
      </c>
      <c r="G164" s="3163"/>
      <c r="I164" s="970"/>
      <c r="J164" s="3192"/>
      <c r="K164" s="3192"/>
      <c r="L164" s="3192"/>
      <c r="M164" s="3192"/>
      <c r="N164" s="3192"/>
      <c r="O164" s="3192"/>
      <c r="P164" s="3192"/>
      <c r="Q164" s="3192"/>
      <c r="R164" s="3192"/>
      <c r="S164" s="3192"/>
      <c r="T164" s="3192"/>
      <c r="U164" s="3192"/>
    </row>
    <row r="165" spans="1:21" s="959" customFormat="1" ht="14.25" customHeight="1">
      <c r="A165" s="3157" t="s">
        <v>1153</v>
      </c>
      <c r="B165" s="3157" t="s">
        <v>2864</v>
      </c>
      <c r="C165" s="3157">
        <v>11060</v>
      </c>
      <c r="D165" s="3157">
        <v>11030</v>
      </c>
      <c r="E165" s="3157">
        <v>13850</v>
      </c>
      <c r="F165" s="3163">
        <v>2170</v>
      </c>
      <c r="G165" s="3163">
        <v>7090</v>
      </c>
      <c r="I165" s="970"/>
      <c r="J165" s="3192"/>
      <c r="K165" s="3192"/>
      <c r="L165" s="3192"/>
      <c r="M165" s="3192"/>
      <c r="N165" s="3192"/>
      <c r="O165" s="3192"/>
      <c r="P165" s="3192"/>
      <c r="Q165" s="3192"/>
      <c r="R165" s="3192"/>
      <c r="S165" s="3192"/>
      <c r="T165" s="3192"/>
      <c r="U165" s="3192"/>
    </row>
    <row r="166" spans="1:21" s="959" customFormat="1" ht="14.25" customHeight="1">
      <c r="A166" s="3157" t="s">
        <v>1153</v>
      </c>
      <c r="B166" s="3157" t="s">
        <v>2865</v>
      </c>
      <c r="C166" s="3157">
        <v>11050</v>
      </c>
      <c r="D166" s="3157">
        <v>11010</v>
      </c>
      <c r="E166" s="3157">
        <v>13920</v>
      </c>
      <c r="F166" s="3163">
        <v>2140</v>
      </c>
      <c r="G166" s="3163">
        <v>7080</v>
      </c>
      <c r="I166" s="970"/>
      <c r="J166" s="3192"/>
      <c r="K166" s="3192"/>
      <c r="L166" s="3192"/>
      <c r="M166" s="3192"/>
      <c r="N166" s="3192"/>
      <c r="O166" s="3192"/>
      <c r="P166" s="3192"/>
      <c r="Q166" s="3192"/>
      <c r="R166" s="3192"/>
      <c r="S166" s="3192"/>
      <c r="T166" s="3192"/>
      <c r="U166" s="3192"/>
    </row>
    <row r="167" spans="1:21" s="959" customFormat="1" ht="14.25" customHeight="1">
      <c r="A167" s="3157" t="s">
        <v>1153</v>
      </c>
      <c r="B167" s="3157" t="s">
        <v>2866</v>
      </c>
      <c r="C167" s="3157">
        <v>10930</v>
      </c>
      <c r="D167" s="3157">
        <v>10890</v>
      </c>
      <c r="E167" s="3157">
        <v>13790</v>
      </c>
      <c r="F167" s="3163">
        <v>2010</v>
      </c>
      <c r="G167" s="3165">
        <v>7000</v>
      </c>
      <c r="I167" s="970"/>
      <c r="J167" s="3192"/>
      <c r="K167" s="3192"/>
      <c r="L167" s="3192"/>
      <c r="M167" s="3192"/>
      <c r="N167" s="3192"/>
      <c r="O167" s="3192"/>
      <c r="P167" s="3192"/>
      <c r="Q167" s="3192"/>
      <c r="R167" s="3192"/>
      <c r="S167" s="3192"/>
      <c r="T167" s="3192"/>
      <c r="U167" s="3192"/>
    </row>
    <row r="168" spans="1:21" s="959" customFormat="1" ht="14.25" customHeight="1">
      <c r="A168" s="3157" t="s">
        <v>1153</v>
      </c>
      <c r="B168" s="3157" t="s">
        <v>2867</v>
      </c>
      <c r="C168" s="3157">
        <v>9420</v>
      </c>
      <c r="D168" s="3157">
        <v>9380</v>
      </c>
      <c r="E168" s="3157">
        <v>11970</v>
      </c>
      <c r="F168" s="3163"/>
      <c r="G168" s="3165">
        <v>6040</v>
      </c>
      <c r="I168" s="970"/>
      <c r="J168" s="3192"/>
      <c r="K168" s="3192"/>
      <c r="L168" s="3192"/>
      <c r="M168" s="3192"/>
      <c r="N168" s="3192"/>
      <c r="O168" s="3192"/>
      <c r="P168" s="3192"/>
      <c r="Q168" s="3192"/>
      <c r="R168" s="3192"/>
      <c r="S168" s="3192"/>
      <c r="T168" s="3192"/>
      <c r="U168" s="3192"/>
    </row>
    <row r="169" spans="1:21" s="959" customFormat="1" ht="14.25" customHeight="1">
      <c r="A169" s="3157" t="s">
        <v>1153</v>
      </c>
      <c r="B169" s="3157" t="s">
        <v>2868</v>
      </c>
      <c r="C169" s="3157"/>
      <c r="D169" s="3157"/>
      <c r="E169" s="3157"/>
      <c r="F169" s="3163">
        <v>2880</v>
      </c>
      <c r="G169" s="3165"/>
      <c r="I169" s="970"/>
      <c r="J169" s="3192"/>
      <c r="K169" s="3192"/>
      <c r="L169" s="3192"/>
      <c r="M169" s="3192"/>
      <c r="N169" s="3192"/>
      <c r="O169" s="3192"/>
      <c r="P169" s="3192"/>
      <c r="Q169" s="3192"/>
      <c r="R169" s="3192"/>
      <c r="S169" s="3192"/>
      <c r="T169" s="3192"/>
      <c r="U169" s="3192"/>
    </row>
    <row r="170" spans="1:21" s="959" customFormat="1" ht="14.25" customHeight="1">
      <c r="A170" s="3157" t="s">
        <v>1153</v>
      </c>
      <c r="B170" s="3157" t="s">
        <v>2869</v>
      </c>
      <c r="C170" s="3157"/>
      <c r="D170" s="3157"/>
      <c r="E170" s="3157"/>
      <c r="F170" s="3163">
        <v>2880</v>
      </c>
      <c r="G170" s="3165"/>
      <c r="I170" s="970"/>
      <c r="J170" s="3192"/>
      <c r="K170" s="3192"/>
      <c r="L170" s="3192"/>
      <c r="M170" s="3192"/>
      <c r="N170" s="3192"/>
      <c r="O170" s="3192"/>
      <c r="P170" s="3192"/>
      <c r="Q170" s="3192"/>
      <c r="R170" s="3192"/>
      <c r="S170" s="3192"/>
      <c r="T170" s="3192"/>
      <c r="U170" s="3192"/>
    </row>
    <row r="171" spans="1:21" s="959" customFormat="1" ht="14.25" customHeight="1">
      <c r="A171" s="3157" t="s">
        <v>1153</v>
      </c>
      <c r="B171" s="3157" t="s">
        <v>2870</v>
      </c>
      <c r="C171" s="3157"/>
      <c r="D171" s="3157"/>
      <c r="E171" s="3157"/>
      <c r="F171" s="3163">
        <v>2880</v>
      </c>
      <c r="G171" s="3163"/>
      <c r="I171" s="970"/>
      <c r="J171" s="3192"/>
      <c r="K171" s="3192"/>
      <c r="L171" s="3192"/>
      <c r="M171" s="3192"/>
      <c r="N171" s="3192"/>
      <c r="O171" s="3192"/>
      <c r="P171" s="3192"/>
      <c r="Q171" s="3192"/>
      <c r="R171" s="3192"/>
      <c r="S171" s="3192"/>
      <c r="T171" s="3192"/>
      <c r="U171" s="3192"/>
    </row>
    <row r="172" spans="1:21" s="959" customFormat="1" ht="14.25" customHeight="1">
      <c r="A172" s="3157" t="s">
        <v>1153</v>
      </c>
      <c r="B172" s="3157" t="s">
        <v>2871</v>
      </c>
      <c r="C172" s="3157"/>
      <c r="D172" s="3157"/>
      <c r="E172" s="3157"/>
      <c r="F172" s="3163">
        <v>2880</v>
      </c>
      <c r="G172" s="3165"/>
      <c r="I172" s="970"/>
      <c r="J172" s="3192"/>
      <c r="K172" s="3192"/>
      <c r="L172" s="3192"/>
      <c r="M172" s="3192"/>
      <c r="N172" s="3192"/>
      <c r="O172" s="3192"/>
      <c r="P172" s="3192"/>
      <c r="Q172" s="3192"/>
      <c r="R172" s="3192"/>
      <c r="S172" s="3192"/>
      <c r="T172" s="3192"/>
      <c r="U172" s="3192"/>
    </row>
    <row r="173" spans="1:21" s="959" customFormat="1" ht="14.25" customHeight="1">
      <c r="A173" s="3157" t="s">
        <v>1153</v>
      </c>
      <c r="B173" s="3157" t="s">
        <v>2872</v>
      </c>
      <c r="C173" s="3157"/>
      <c r="D173" s="3157"/>
      <c r="E173" s="3157"/>
      <c r="F173" s="3163">
        <v>2150</v>
      </c>
      <c r="G173" s="3165"/>
      <c r="I173" s="970"/>
      <c r="J173" s="3192"/>
      <c r="K173" s="3192"/>
      <c r="L173" s="3192"/>
      <c r="M173" s="3192"/>
      <c r="N173" s="3192"/>
      <c r="O173" s="3192"/>
      <c r="P173" s="3192"/>
      <c r="Q173" s="3192"/>
      <c r="R173" s="3192"/>
      <c r="S173" s="3192"/>
      <c r="T173" s="3192"/>
      <c r="U173" s="3192"/>
    </row>
    <row r="174" spans="1:21" s="959" customFormat="1" ht="14.25" customHeight="1">
      <c r="A174" s="3157" t="s">
        <v>1153</v>
      </c>
      <c r="B174" s="3157" t="s">
        <v>2873</v>
      </c>
      <c r="C174" s="3157"/>
      <c r="D174" s="3157"/>
      <c r="E174" s="3157"/>
      <c r="F174" s="3163">
        <v>2030</v>
      </c>
      <c r="G174" s="3163"/>
      <c r="I174" s="970"/>
      <c r="J174" s="3192"/>
      <c r="K174" s="3192"/>
      <c r="L174" s="3192"/>
      <c r="M174" s="3192"/>
      <c r="N174" s="3192"/>
      <c r="O174" s="3192"/>
      <c r="P174" s="3192"/>
      <c r="Q174" s="3192"/>
      <c r="R174" s="3192"/>
      <c r="S174" s="3192"/>
      <c r="T174" s="3192"/>
      <c r="U174" s="3192"/>
    </row>
    <row r="175" spans="1:21" s="959" customFormat="1" ht="14.25" customHeight="1">
      <c r="A175" s="3157" t="s">
        <v>1153</v>
      </c>
      <c r="B175" s="3157" t="s">
        <v>2874</v>
      </c>
      <c r="C175" s="3157"/>
      <c r="D175" s="3157"/>
      <c r="E175" s="3157"/>
      <c r="F175" s="3163">
        <v>2780</v>
      </c>
      <c r="G175" s="3163"/>
      <c r="I175" s="970"/>
      <c r="J175" s="3192"/>
      <c r="K175" s="3192"/>
      <c r="L175" s="3192"/>
      <c r="M175" s="3192"/>
      <c r="N175" s="3192"/>
      <c r="O175" s="3192"/>
      <c r="P175" s="3192"/>
      <c r="Q175" s="3192"/>
      <c r="R175" s="3192"/>
      <c r="S175" s="3192"/>
      <c r="T175" s="3192"/>
      <c r="U175" s="3192"/>
    </row>
    <row r="176" spans="1:21" s="959" customFormat="1" ht="14.25" customHeight="1">
      <c r="A176" s="3157" t="s">
        <v>1153</v>
      </c>
      <c r="B176" s="3157" t="s">
        <v>2875</v>
      </c>
      <c r="C176" s="3157"/>
      <c r="D176" s="3157"/>
      <c r="E176" s="3157"/>
      <c r="F176" s="3163">
        <v>2780</v>
      </c>
      <c r="G176" s="3163"/>
      <c r="I176" s="970"/>
      <c r="J176" s="3192"/>
      <c r="K176" s="3192"/>
      <c r="L176" s="3192"/>
      <c r="M176" s="3192"/>
      <c r="N176" s="3192"/>
      <c r="O176" s="3192"/>
      <c r="P176" s="3192"/>
      <c r="Q176" s="3192"/>
      <c r="R176" s="3192"/>
      <c r="S176" s="3192"/>
      <c r="T176" s="3192"/>
      <c r="U176" s="3192"/>
    </row>
    <row r="177" spans="1:21" s="959" customFormat="1" ht="14.25" customHeight="1">
      <c r="A177" s="3157" t="s">
        <v>1153</v>
      </c>
      <c r="B177" s="3157" t="s">
        <v>2876</v>
      </c>
      <c r="C177" s="3157"/>
      <c r="D177" s="3157"/>
      <c r="E177" s="3157"/>
      <c r="F177" s="3163">
        <v>2780</v>
      </c>
      <c r="G177" s="3163"/>
      <c r="I177" s="970"/>
      <c r="J177" s="3192"/>
      <c r="K177" s="3192"/>
      <c r="L177" s="3192"/>
      <c r="M177" s="3192"/>
      <c r="N177" s="3192"/>
      <c r="O177" s="3192"/>
      <c r="P177" s="3192"/>
      <c r="Q177" s="3192"/>
      <c r="R177" s="3192"/>
      <c r="S177" s="3192"/>
      <c r="T177" s="3192"/>
      <c r="U177" s="3192"/>
    </row>
    <row r="178" spans="1:21" s="959" customFormat="1" ht="14.25" customHeight="1">
      <c r="A178" s="3157" t="s">
        <v>1153</v>
      </c>
      <c r="B178" s="3157" t="s">
        <v>2877</v>
      </c>
      <c r="C178" s="3157"/>
      <c r="D178" s="3157"/>
      <c r="E178" s="3157"/>
      <c r="F178" s="3163">
        <v>2060</v>
      </c>
      <c r="G178" s="3163"/>
      <c r="I178" s="970"/>
      <c r="J178" s="3192"/>
      <c r="K178" s="3192"/>
      <c r="L178" s="3192"/>
      <c r="M178" s="3192"/>
      <c r="N178" s="3192"/>
      <c r="O178" s="3192"/>
      <c r="P178" s="3192"/>
      <c r="Q178" s="3192"/>
      <c r="R178" s="3192"/>
      <c r="S178" s="3192"/>
      <c r="T178" s="3192"/>
      <c r="U178" s="3192"/>
    </row>
    <row r="179" spans="1:21" s="959" customFormat="1" ht="14.25" customHeight="1">
      <c r="A179" s="3157" t="s">
        <v>1153</v>
      </c>
      <c r="B179" s="3157" t="s">
        <v>2878</v>
      </c>
      <c r="C179" s="3157"/>
      <c r="D179" s="3157"/>
      <c r="E179" s="3157"/>
      <c r="F179" s="3163">
        <v>2120</v>
      </c>
      <c r="G179" s="3165"/>
      <c r="I179" s="970"/>
      <c r="J179" s="3192"/>
      <c r="K179" s="3192"/>
      <c r="L179" s="3192"/>
      <c r="M179" s="3192"/>
      <c r="N179" s="3192"/>
      <c r="O179" s="3192"/>
      <c r="P179" s="3192"/>
      <c r="Q179" s="3192"/>
      <c r="R179" s="3192"/>
      <c r="S179" s="3192"/>
      <c r="T179" s="3192"/>
      <c r="U179" s="3192"/>
    </row>
    <row r="180" spans="1:21" s="959" customFormat="1" ht="14.25" customHeight="1">
      <c r="A180" s="3157" t="s">
        <v>1153</v>
      </c>
      <c r="B180" s="3157" t="s">
        <v>2879</v>
      </c>
      <c r="C180" s="3157"/>
      <c r="D180" s="3157"/>
      <c r="E180" s="3157"/>
      <c r="F180" s="3163">
        <v>2340</v>
      </c>
      <c r="G180" s="3163"/>
      <c r="I180" s="970"/>
      <c r="J180" s="3192"/>
      <c r="K180" s="3192"/>
      <c r="L180" s="3192"/>
      <c r="M180" s="3192"/>
      <c r="N180" s="3192"/>
      <c r="O180" s="3192"/>
      <c r="P180" s="3192"/>
      <c r="Q180" s="3192"/>
      <c r="R180" s="3192"/>
      <c r="S180" s="3192"/>
      <c r="T180" s="3192"/>
      <c r="U180" s="3192"/>
    </row>
    <row r="181" spans="1:21" s="959" customFormat="1" ht="14.25" customHeight="1">
      <c r="A181" s="3157" t="s">
        <v>1153</v>
      </c>
      <c r="B181" s="3157" t="s">
        <v>2880</v>
      </c>
      <c r="C181" s="3157"/>
      <c r="D181" s="3157"/>
      <c r="E181" s="3157"/>
      <c r="F181" s="3163">
        <v>2340</v>
      </c>
      <c r="G181" s="3163"/>
      <c r="I181" s="970"/>
      <c r="J181" s="3192"/>
      <c r="K181" s="3192"/>
      <c r="L181" s="3192"/>
      <c r="M181" s="3192"/>
      <c r="N181" s="3192"/>
      <c r="O181" s="3192"/>
      <c r="P181" s="3192"/>
      <c r="Q181" s="3192"/>
      <c r="R181" s="3192"/>
      <c r="S181" s="3192"/>
      <c r="T181" s="3192"/>
      <c r="U181" s="3192"/>
    </row>
    <row r="182" spans="1:21" s="959" customFormat="1" ht="14.25" customHeight="1">
      <c r="A182" s="3157" t="s">
        <v>1153</v>
      </c>
      <c r="B182" s="3157" t="s">
        <v>2881</v>
      </c>
      <c r="C182" s="3157"/>
      <c r="D182" s="3157"/>
      <c r="E182" s="3157"/>
      <c r="F182" s="3163">
        <v>2340</v>
      </c>
      <c r="G182" s="3163"/>
      <c r="I182" s="970"/>
      <c r="J182" s="3192"/>
      <c r="K182" s="3192"/>
      <c r="L182" s="3192"/>
      <c r="M182" s="3192"/>
      <c r="N182" s="3192"/>
      <c r="O182" s="3192"/>
      <c r="P182" s="3192"/>
      <c r="Q182" s="3192"/>
      <c r="R182" s="3192"/>
      <c r="S182" s="3192"/>
      <c r="T182" s="3192"/>
      <c r="U182" s="3192"/>
    </row>
    <row r="183" spans="1:21" s="959" customFormat="1" ht="14.25" customHeight="1">
      <c r="A183" s="3157" t="s">
        <v>1153</v>
      </c>
      <c r="B183" s="3157" t="s">
        <v>2882</v>
      </c>
      <c r="C183" s="3157"/>
      <c r="D183" s="3157"/>
      <c r="E183" s="3157"/>
      <c r="F183" s="3163">
        <v>2340</v>
      </c>
      <c r="G183" s="3165"/>
      <c r="I183" s="970"/>
      <c r="J183" s="3192"/>
      <c r="K183" s="3192"/>
      <c r="L183" s="3192"/>
      <c r="M183" s="3192"/>
      <c r="N183" s="3192"/>
      <c r="O183" s="3192"/>
      <c r="P183" s="3192"/>
      <c r="Q183" s="3192"/>
      <c r="R183" s="3192"/>
      <c r="S183" s="3192"/>
      <c r="T183" s="3192"/>
      <c r="U183" s="3192"/>
    </row>
    <row r="184" spans="1:21" s="959" customFormat="1" ht="14.25" customHeight="1">
      <c r="A184" s="3157" t="s">
        <v>1153</v>
      </c>
      <c r="B184" s="3157" t="s">
        <v>2883</v>
      </c>
      <c r="C184" s="3157"/>
      <c r="D184" s="3157"/>
      <c r="E184" s="3157"/>
      <c r="F184" s="3163">
        <v>2340</v>
      </c>
      <c r="G184" s="3165"/>
      <c r="I184" s="970"/>
      <c r="J184" s="3192"/>
      <c r="K184" s="3192"/>
      <c r="L184" s="3192"/>
      <c r="M184" s="3192"/>
      <c r="N184" s="3192"/>
      <c r="O184" s="3192"/>
      <c r="P184" s="3192"/>
      <c r="Q184" s="3192"/>
      <c r="R184" s="3192"/>
      <c r="S184" s="3192"/>
      <c r="T184" s="3192"/>
      <c r="U184" s="3192"/>
    </row>
    <row r="185" spans="1:21" s="959" customFormat="1" ht="14.25" customHeight="1">
      <c r="A185" s="3157" t="s">
        <v>1153</v>
      </c>
      <c r="B185" s="3157" t="s">
        <v>2884</v>
      </c>
      <c r="C185" s="3157"/>
      <c r="D185" s="3157"/>
      <c r="E185" s="3157"/>
      <c r="F185" s="3163">
        <v>2530</v>
      </c>
      <c r="G185" s="3163"/>
      <c r="I185" s="970"/>
      <c r="J185" s="3192"/>
      <c r="K185" s="3192"/>
      <c r="L185" s="3192"/>
      <c r="M185" s="3192"/>
      <c r="N185" s="3192"/>
      <c r="O185" s="3192"/>
      <c r="P185" s="3192"/>
      <c r="Q185" s="3192"/>
      <c r="R185" s="3192"/>
      <c r="S185" s="3192"/>
      <c r="T185" s="3192"/>
      <c r="U185" s="3192"/>
    </row>
    <row r="186" spans="1:21" s="959" customFormat="1" ht="14.25" customHeight="1">
      <c r="A186" s="3157" t="s">
        <v>1153</v>
      </c>
      <c r="B186" s="3157" t="s">
        <v>2885</v>
      </c>
      <c r="C186" s="3157"/>
      <c r="D186" s="3157"/>
      <c r="E186" s="3157"/>
      <c r="F186" s="3163">
        <v>2550</v>
      </c>
      <c r="G186" s="3163"/>
      <c r="I186" s="970"/>
      <c r="J186" s="3192"/>
      <c r="K186" s="3192"/>
      <c r="L186" s="3192"/>
      <c r="M186" s="3192"/>
      <c r="N186" s="3192"/>
      <c r="O186" s="3192"/>
      <c r="P186" s="3192"/>
      <c r="Q186" s="3192"/>
      <c r="R186" s="3192"/>
      <c r="S186" s="3192"/>
      <c r="T186" s="3192"/>
      <c r="U186" s="3192"/>
    </row>
    <row r="187" spans="1:21" s="959" customFormat="1" ht="14.25" customHeight="1">
      <c r="A187" s="3157" t="s">
        <v>1153</v>
      </c>
      <c r="B187" s="3157" t="s">
        <v>2886</v>
      </c>
      <c r="C187" s="3157"/>
      <c r="D187" s="3157"/>
      <c r="E187" s="3157"/>
      <c r="F187" s="3163">
        <v>2070</v>
      </c>
      <c r="G187" s="3163"/>
      <c r="I187" s="970"/>
      <c r="J187" s="3192"/>
      <c r="K187" s="3192"/>
      <c r="L187" s="3192"/>
      <c r="M187" s="3192"/>
      <c r="N187" s="3192"/>
      <c r="O187" s="3192"/>
      <c r="P187" s="3192"/>
      <c r="Q187" s="3192"/>
      <c r="R187" s="3192"/>
      <c r="S187" s="3192"/>
      <c r="T187" s="3192"/>
      <c r="U187" s="3192"/>
    </row>
    <row r="188" spans="1:21" s="959" customFormat="1" ht="14.25" customHeight="1">
      <c r="A188" s="3157" t="s">
        <v>1153</v>
      </c>
      <c r="B188" s="3157" t="s">
        <v>2887</v>
      </c>
      <c r="C188" s="3157"/>
      <c r="D188" s="3157"/>
      <c r="E188" s="3157"/>
      <c r="F188" s="3163">
        <v>2340</v>
      </c>
      <c r="G188" s="3163"/>
      <c r="I188" s="970"/>
      <c r="J188" s="3192"/>
      <c r="K188" s="3192"/>
      <c r="L188" s="3192"/>
      <c r="M188" s="3192"/>
      <c r="N188" s="3192"/>
      <c r="O188" s="3192"/>
      <c r="P188" s="3192"/>
      <c r="Q188" s="3192"/>
      <c r="R188" s="3192"/>
      <c r="S188" s="3192"/>
      <c r="T188" s="3192"/>
      <c r="U188" s="3192"/>
    </row>
    <row r="189" spans="1:21" s="959" customFormat="1" ht="14.25" customHeight="1" thickBot="1">
      <c r="A189" s="3172" t="s">
        <v>1153</v>
      </c>
      <c r="B189" s="3160" t="s">
        <v>2888</v>
      </c>
      <c r="C189" s="3160"/>
      <c r="D189" s="3160"/>
      <c r="E189" s="3160"/>
      <c r="F189" s="3161">
        <v>2050</v>
      </c>
      <c r="G189" s="3173"/>
      <c r="I189" s="970"/>
      <c r="J189" s="3192"/>
      <c r="K189" s="3192"/>
      <c r="L189" s="3192"/>
      <c r="M189" s="3192"/>
      <c r="N189" s="3192"/>
      <c r="O189" s="3192"/>
      <c r="P189" s="3192"/>
      <c r="Q189" s="3192"/>
      <c r="R189" s="3192"/>
      <c r="S189" s="3192"/>
      <c r="T189" s="3192"/>
      <c r="U189" s="3192"/>
    </row>
    <row r="190" spans="1:21" s="959" customFormat="1" ht="14.25" customHeight="1">
      <c r="A190" s="3171" t="s">
        <v>1154</v>
      </c>
      <c r="B190" s="1215" t="s">
        <v>2889</v>
      </c>
      <c r="C190" s="1215">
        <v>8830</v>
      </c>
      <c r="D190" s="1215">
        <v>8790</v>
      </c>
      <c r="E190" s="1215">
        <v>11630</v>
      </c>
      <c r="F190" s="3158">
        <v>1790</v>
      </c>
      <c r="G190" s="3158">
        <v>5550</v>
      </c>
      <c r="I190" s="970"/>
      <c r="J190" s="3192"/>
      <c r="K190" s="3192"/>
      <c r="L190" s="3192"/>
      <c r="M190" s="3192"/>
      <c r="N190" s="3192"/>
      <c r="O190" s="3192"/>
      <c r="P190" s="3192"/>
      <c r="Q190" s="3192"/>
      <c r="R190" s="3192"/>
      <c r="S190" s="3192"/>
      <c r="T190" s="3192"/>
      <c r="U190" s="3192"/>
    </row>
    <row r="191" spans="1:21" s="959" customFormat="1" ht="14.25" customHeight="1">
      <c r="A191" s="3157" t="s">
        <v>1154</v>
      </c>
      <c r="B191" s="3157" t="s">
        <v>978</v>
      </c>
      <c r="C191" s="3157">
        <v>9780</v>
      </c>
      <c r="D191" s="3157">
        <v>9710</v>
      </c>
      <c r="E191" s="3157">
        <v>12550</v>
      </c>
      <c r="F191" s="3163">
        <v>1980</v>
      </c>
      <c r="G191" s="3163">
        <v>6130</v>
      </c>
      <c r="I191" s="970"/>
      <c r="J191" s="3192"/>
      <c r="K191" s="3192"/>
      <c r="L191" s="3192"/>
      <c r="M191" s="3192"/>
      <c r="N191" s="3192"/>
      <c r="O191" s="3192"/>
      <c r="P191" s="3192"/>
      <c r="Q191" s="3192"/>
      <c r="R191" s="3192"/>
      <c r="S191" s="3192"/>
      <c r="T191" s="3192"/>
      <c r="U191" s="3192"/>
    </row>
    <row r="192" spans="1:21" s="959" customFormat="1" ht="14.25" customHeight="1">
      <c r="A192" s="3157" t="s">
        <v>1154</v>
      </c>
      <c r="B192" s="3157" t="s">
        <v>988</v>
      </c>
      <c r="C192" s="3157">
        <v>8180</v>
      </c>
      <c r="D192" s="3157">
        <v>8140</v>
      </c>
      <c r="E192" s="3157">
        <v>10870</v>
      </c>
      <c r="F192" s="3163">
        <v>1690</v>
      </c>
      <c r="G192" s="3163">
        <v>5140</v>
      </c>
      <c r="I192" s="970"/>
      <c r="J192" s="3192"/>
      <c r="K192" s="3192"/>
      <c r="L192" s="3192"/>
      <c r="M192" s="3192"/>
      <c r="N192" s="3192"/>
      <c r="O192" s="3192"/>
      <c r="P192" s="3192"/>
      <c r="Q192" s="3192"/>
      <c r="R192" s="3192"/>
      <c r="S192" s="3192"/>
      <c r="T192" s="3192"/>
      <c r="U192" s="3192"/>
    </row>
    <row r="193" spans="1:21" s="959" customFormat="1" ht="14.25" customHeight="1">
      <c r="A193" s="3157" t="s">
        <v>1154</v>
      </c>
      <c r="B193" s="3157" t="s">
        <v>997</v>
      </c>
      <c r="C193" s="3157">
        <v>8440</v>
      </c>
      <c r="D193" s="3157">
        <v>8390</v>
      </c>
      <c r="E193" s="3157">
        <v>11210</v>
      </c>
      <c r="F193" s="3163">
        <v>1600</v>
      </c>
      <c r="G193" s="3163">
        <v>5300</v>
      </c>
      <c r="I193" s="970"/>
      <c r="J193" s="3192"/>
      <c r="K193" s="3192"/>
      <c r="L193" s="3192"/>
      <c r="M193" s="3192"/>
      <c r="N193" s="3192"/>
      <c r="O193" s="3192"/>
      <c r="P193" s="3192"/>
      <c r="Q193" s="3192"/>
      <c r="R193" s="3192"/>
      <c r="S193" s="3192"/>
      <c r="T193" s="3192"/>
      <c r="U193" s="3192"/>
    </row>
    <row r="194" spans="1:21" s="959" customFormat="1" ht="14.25" customHeight="1">
      <c r="A194" s="3157" t="s">
        <v>1154</v>
      </c>
      <c r="B194" s="3157" t="s">
        <v>1007</v>
      </c>
      <c r="C194" s="3157">
        <v>8780</v>
      </c>
      <c r="D194" s="3157">
        <v>8730</v>
      </c>
      <c r="E194" s="3157">
        <v>11550</v>
      </c>
      <c r="F194" s="3163">
        <v>1660</v>
      </c>
      <c r="G194" s="3163">
        <v>5520</v>
      </c>
      <c r="I194" s="970"/>
      <c r="J194" s="3192"/>
      <c r="K194" s="3192"/>
      <c r="L194" s="3192"/>
      <c r="M194" s="3192"/>
      <c r="N194" s="3192"/>
      <c r="O194" s="3192"/>
      <c r="P194" s="3192"/>
      <c r="Q194" s="3192"/>
      <c r="R194" s="3192"/>
      <c r="S194" s="3192"/>
      <c r="T194" s="3192"/>
      <c r="U194" s="3192"/>
    </row>
    <row r="195" spans="1:21" s="959" customFormat="1" ht="14.25" customHeight="1">
      <c r="A195" s="3157" t="s">
        <v>1154</v>
      </c>
      <c r="B195" s="3157" t="s">
        <v>1014</v>
      </c>
      <c r="C195" s="3157">
        <v>8720</v>
      </c>
      <c r="D195" s="3157">
        <v>8670</v>
      </c>
      <c r="E195" s="3157">
        <v>11450</v>
      </c>
      <c r="F195" s="3163">
        <v>1720</v>
      </c>
      <c r="G195" s="3163">
        <v>5480</v>
      </c>
      <c r="I195" s="970"/>
      <c r="J195" s="3192"/>
      <c r="K195" s="3192"/>
      <c r="L195" s="3192"/>
      <c r="M195" s="3192"/>
      <c r="N195" s="3192"/>
      <c r="O195" s="3192"/>
      <c r="P195" s="3192"/>
      <c r="Q195" s="3192"/>
      <c r="R195" s="3192"/>
      <c r="S195" s="3192"/>
      <c r="T195" s="3192"/>
      <c r="U195" s="3192"/>
    </row>
    <row r="196" spans="1:21" s="959" customFormat="1" ht="14.25" customHeight="1">
      <c r="A196" s="3157" t="s">
        <v>1154</v>
      </c>
      <c r="B196" s="3157" t="s">
        <v>1020</v>
      </c>
      <c r="C196" s="3157">
        <v>8460</v>
      </c>
      <c r="D196" s="3157">
        <v>8410</v>
      </c>
      <c r="E196" s="3157">
        <v>11230</v>
      </c>
      <c r="F196" s="3163">
        <v>1730</v>
      </c>
      <c r="G196" s="3163">
        <v>5310</v>
      </c>
      <c r="I196" s="970"/>
      <c r="J196" s="3192"/>
      <c r="K196" s="3192"/>
      <c r="L196" s="3192"/>
      <c r="M196" s="3192"/>
      <c r="N196" s="3192"/>
      <c r="O196" s="3192"/>
      <c r="P196" s="3192"/>
      <c r="Q196" s="3192"/>
      <c r="R196" s="3192"/>
      <c r="S196" s="3192"/>
      <c r="T196" s="3192"/>
      <c r="U196" s="3192"/>
    </row>
    <row r="197" spans="1:21" s="959" customFormat="1" ht="14.25" customHeight="1">
      <c r="A197" s="3157" t="s">
        <v>1154</v>
      </c>
      <c r="B197" s="3157" t="s">
        <v>1027</v>
      </c>
      <c r="C197" s="3157">
        <v>8790</v>
      </c>
      <c r="D197" s="3157">
        <v>8730</v>
      </c>
      <c r="E197" s="3157">
        <v>11560</v>
      </c>
      <c r="F197" s="3163">
        <v>1750</v>
      </c>
      <c r="G197" s="3163">
        <v>5520</v>
      </c>
      <c r="I197" s="970"/>
      <c r="J197" s="3192"/>
      <c r="K197" s="3192"/>
      <c r="L197" s="3192"/>
      <c r="M197" s="3192"/>
      <c r="N197" s="3192"/>
      <c r="O197" s="3192"/>
      <c r="P197" s="3192"/>
      <c r="Q197" s="3192"/>
      <c r="R197" s="3192"/>
      <c r="S197" s="3192"/>
      <c r="T197" s="3192"/>
      <c r="U197" s="3192"/>
    </row>
    <row r="198" spans="1:21" s="959" customFormat="1" ht="14.25" customHeight="1">
      <c r="A198" s="3157" t="s">
        <v>1154</v>
      </c>
      <c r="B198" s="3157" t="s">
        <v>1037</v>
      </c>
      <c r="C198" s="3157">
        <v>8720</v>
      </c>
      <c r="D198" s="3157">
        <v>8680</v>
      </c>
      <c r="E198" s="3157">
        <v>11470</v>
      </c>
      <c r="F198" s="3163"/>
      <c r="G198" s="3163">
        <v>5480</v>
      </c>
      <c r="I198" s="970"/>
      <c r="J198" s="3192"/>
      <c r="K198" s="3192"/>
      <c r="L198" s="3192"/>
      <c r="M198" s="3192"/>
      <c r="N198" s="3192"/>
      <c r="O198" s="3192"/>
      <c r="P198" s="3192"/>
      <c r="Q198" s="3192"/>
      <c r="R198" s="3192"/>
      <c r="S198" s="3192"/>
      <c r="T198" s="3192"/>
      <c r="U198" s="3192"/>
    </row>
    <row r="199" spans="1:21" s="959" customFormat="1" ht="14.25" customHeight="1">
      <c r="A199" s="3157" t="s">
        <v>1154</v>
      </c>
      <c r="B199" s="3157" t="s">
        <v>2890</v>
      </c>
      <c r="C199" s="3157">
        <v>8690</v>
      </c>
      <c r="D199" s="3157">
        <v>8630</v>
      </c>
      <c r="E199" s="3157">
        <v>11350</v>
      </c>
      <c r="F199" s="3163">
        <v>1600</v>
      </c>
      <c r="G199" s="3163">
        <v>5450</v>
      </c>
      <c r="I199" s="970"/>
      <c r="J199" s="3192"/>
      <c r="K199" s="3192"/>
      <c r="L199" s="3192"/>
      <c r="M199" s="3192"/>
      <c r="N199" s="3192"/>
      <c r="O199" s="3192"/>
      <c r="P199" s="3192"/>
      <c r="Q199" s="3192"/>
      <c r="R199" s="3192"/>
      <c r="S199" s="3192"/>
      <c r="T199" s="3192"/>
      <c r="U199" s="3192"/>
    </row>
    <row r="200" spans="1:21" s="959" customFormat="1" ht="14.25" customHeight="1">
      <c r="A200" s="3157" t="s">
        <v>1154</v>
      </c>
      <c r="B200" s="3157" t="s">
        <v>2891</v>
      </c>
      <c r="C200" s="3157"/>
      <c r="D200" s="3157"/>
      <c r="E200" s="3157"/>
      <c r="F200" s="3163">
        <v>1510</v>
      </c>
      <c r="G200" s="3163"/>
      <c r="I200" s="970"/>
      <c r="J200" s="3192"/>
      <c r="K200" s="3192"/>
      <c r="L200" s="3192"/>
      <c r="M200" s="3192"/>
      <c r="N200" s="3192"/>
      <c r="O200" s="3192"/>
      <c r="P200" s="3192"/>
      <c r="Q200" s="3192"/>
      <c r="R200" s="3192"/>
      <c r="S200" s="3192"/>
      <c r="T200" s="3192"/>
      <c r="U200" s="3192"/>
    </row>
    <row r="201" spans="1:21" s="959" customFormat="1" ht="14.25" customHeight="1">
      <c r="A201" s="3157" t="s">
        <v>1154</v>
      </c>
      <c r="B201" s="3157" t="s">
        <v>2892</v>
      </c>
      <c r="C201" s="3157">
        <v>8440</v>
      </c>
      <c r="D201" s="3157">
        <v>8390</v>
      </c>
      <c r="E201" s="3157">
        <v>10930</v>
      </c>
      <c r="F201" s="3163">
        <v>1500</v>
      </c>
      <c r="G201" s="3163">
        <v>5300</v>
      </c>
      <c r="I201" s="970"/>
      <c r="J201" s="3192"/>
      <c r="K201" s="3192"/>
      <c r="L201" s="3192"/>
      <c r="M201" s="3192"/>
      <c r="N201" s="3192"/>
      <c r="O201" s="3192"/>
      <c r="P201" s="3192"/>
      <c r="Q201" s="3192"/>
      <c r="R201" s="3192"/>
      <c r="S201" s="3192"/>
      <c r="T201" s="3192"/>
      <c r="U201" s="3192"/>
    </row>
    <row r="202" spans="1:21" s="959" customFormat="1" ht="14.25" customHeight="1">
      <c r="A202" s="3157" t="s">
        <v>1154</v>
      </c>
      <c r="B202" s="3157" t="s">
        <v>1088</v>
      </c>
      <c r="C202" s="3157">
        <v>8530</v>
      </c>
      <c r="D202" s="3157">
        <v>8490</v>
      </c>
      <c r="E202" s="3157">
        <v>11160</v>
      </c>
      <c r="F202" s="3163">
        <v>1580</v>
      </c>
      <c r="G202" s="3163">
        <v>5360</v>
      </c>
      <c r="I202" s="970"/>
      <c r="J202" s="3192"/>
      <c r="K202" s="3192"/>
      <c r="L202" s="3192"/>
      <c r="M202" s="3192"/>
      <c r="N202" s="3192"/>
      <c r="O202" s="3192"/>
      <c r="P202" s="3192"/>
      <c r="Q202" s="3192"/>
      <c r="R202" s="3192"/>
      <c r="S202" s="3192"/>
      <c r="T202" s="3192"/>
      <c r="U202" s="3192"/>
    </row>
    <row r="203" spans="1:21" s="959" customFormat="1" ht="14.25" customHeight="1">
      <c r="A203" s="3157" t="s">
        <v>1154</v>
      </c>
      <c r="B203" s="3157" t="s">
        <v>2893</v>
      </c>
      <c r="C203" s="3157">
        <v>8130</v>
      </c>
      <c r="D203" s="3157">
        <v>8070</v>
      </c>
      <c r="E203" s="3157">
        <v>10820</v>
      </c>
      <c r="F203" s="3163">
        <v>1690</v>
      </c>
      <c r="G203" s="3163">
        <v>5100</v>
      </c>
      <c r="I203" s="970"/>
      <c r="J203" s="3192"/>
      <c r="K203" s="3192"/>
      <c r="L203" s="3192"/>
      <c r="M203" s="3192"/>
      <c r="N203" s="3192"/>
      <c r="O203" s="3192"/>
      <c r="P203" s="3192"/>
      <c r="Q203" s="3192"/>
      <c r="R203" s="3192"/>
      <c r="S203" s="3192"/>
      <c r="T203" s="3192"/>
      <c r="U203" s="3192"/>
    </row>
    <row r="204" spans="1:21" s="959" customFormat="1" ht="14.25" customHeight="1">
      <c r="A204" s="3157" t="s">
        <v>1154</v>
      </c>
      <c r="B204" s="3157" t="s">
        <v>2894</v>
      </c>
      <c r="C204" s="3157">
        <v>8350</v>
      </c>
      <c r="D204" s="3157">
        <v>8290</v>
      </c>
      <c r="E204" s="3157">
        <v>11080</v>
      </c>
      <c r="F204" s="3163">
        <v>1450</v>
      </c>
      <c r="G204" s="3163">
        <v>5240</v>
      </c>
      <c r="I204" s="970"/>
      <c r="J204" s="3192"/>
      <c r="K204" s="3192"/>
      <c r="L204" s="3192"/>
      <c r="M204" s="3192"/>
      <c r="N204" s="3192"/>
      <c r="O204" s="3192"/>
      <c r="P204" s="3192"/>
      <c r="Q204" s="3192"/>
      <c r="R204" s="3192"/>
      <c r="S204" s="3192"/>
      <c r="T204" s="3192"/>
      <c r="U204" s="3192"/>
    </row>
    <row r="205" spans="1:21" s="959" customFormat="1" ht="14.25" customHeight="1">
      <c r="A205" s="3157" t="s">
        <v>1154</v>
      </c>
      <c r="B205" s="3157" t="s">
        <v>2895</v>
      </c>
      <c r="C205" s="3157">
        <v>7190</v>
      </c>
      <c r="D205" s="3157">
        <v>7130</v>
      </c>
      <c r="E205" s="3157">
        <v>9490</v>
      </c>
      <c r="F205" s="3163">
        <v>1470</v>
      </c>
      <c r="G205" s="3170">
        <v>4510</v>
      </c>
      <c r="I205" s="970"/>
      <c r="J205" s="3192"/>
      <c r="K205" s="3192"/>
      <c r="L205" s="3192"/>
      <c r="M205" s="3192"/>
      <c r="N205" s="3192"/>
      <c r="O205" s="3192"/>
      <c r="P205" s="3192"/>
      <c r="Q205" s="3192"/>
      <c r="R205" s="3192"/>
      <c r="S205" s="3192"/>
      <c r="T205" s="3192"/>
      <c r="U205" s="3192"/>
    </row>
    <row r="206" spans="1:21" s="959" customFormat="1" ht="14.25" customHeight="1">
      <c r="A206" s="1215" t="s">
        <v>1154</v>
      </c>
      <c r="B206" s="1215" t="s">
        <v>2896</v>
      </c>
      <c r="C206" s="1215">
        <v>7000</v>
      </c>
      <c r="D206" s="1215">
        <v>6950</v>
      </c>
      <c r="E206" s="1215">
        <v>9170</v>
      </c>
      <c r="F206" s="3158">
        <v>1400</v>
      </c>
      <c r="G206" s="3158">
        <v>4380</v>
      </c>
      <c r="I206" s="970"/>
      <c r="J206" s="3192"/>
      <c r="K206" s="3192"/>
      <c r="L206" s="3192"/>
      <c r="M206" s="3192"/>
      <c r="N206" s="3192"/>
      <c r="O206" s="3192"/>
      <c r="P206" s="3192"/>
      <c r="Q206" s="3192"/>
      <c r="R206" s="3192"/>
      <c r="S206" s="3192"/>
      <c r="T206" s="3192"/>
      <c r="U206" s="3192"/>
    </row>
    <row r="207" spans="1:21" s="959" customFormat="1" ht="14.25" customHeight="1">
      <c r="A207" s="3157" t="s">
        <v>1154</v>
      </c>
      <c r="B207" s="3157" t="s">
        <v>2897</v>
      </c>
      <c r="C207" s="3157">
        <v>6950</v>
      </c>
      <c r="D207" s="3157">
        <v>6900</v>
      </c>
      <c r="E207" s="3157">
        <v>9110</v>
      </c>
      <c r="F207" s="3163">
        <v>1790</v>
      </c>
      <c r="G207" s="3163">
        <v>4360</v>
      </c>
      <c r="I207" s="970"/>
      <c r="J207" s="3192"/>
      <c r="K207" s="3192"/>
      <c r="L207" s="3192"/>
      <c r="M207" s="3192"/>
      <c r="N207" s="3192"/>
      <c r="O207" s="3192"/>
      <c r="P207" s="3192"/>
      <c r="Q207" s="3192"/>
      <c r="R207" s="3192"/>
      <c r="S207" s="3192"/>
      <c r="T207" s="3192"/>
      <c r="U207" s="3192"/>
    </row>
    <row r="208" spans="1:21" s="959" customFormat="1" ht="14.25" customHeight="1">
      <c r="A208" s="3157" t="s">
        <v>1154</v>
      </c>
      <c r="B208" s="3157" t="s">
        <v>2898</v>
      </c>
      <c r="C208" s="3157">
        <v>9470</v>
      </c>
      <c r="D208" s="3157">
        <v>9410</v>
      </c>
      <c r="E208" s="3157">
        <v>12330</v>
      </c>
      <c r="F208" s="3163">
        <v>1770</v>
      </c>
      <c r="G208" s="3163">
        <v>5940</v>
      </c>
      <c r="I208" s="970"/>
      <c r="J208" s="3192"/>
      <c r="K208" s="3192"/>
      <c r="L208" s="3192"/>
      <c r="M208" s="3192"/>
      <c r="N208" s="3192"/>
      <c r="O208" s="3192"/>
      <c r="P208" s="3192"/>
      <c r="Q208" s="3192"/>
      <c r="R208" s="3192"/>
      <c r="S208" s="3192"/>
      <c r="T208" s="3192"/>
      <c r="U208" s="3192"/>
    </row>
    <row r="209" spans="1:21" s="959" customFormat="1" ht="14.25" customHeight="1">
      <c r="A209" s="3157" t="s">
        <v>1154</v>
      </c>
      <c r="B209" s="3157" t="s">
        <v>1112</v>
      </c>
      <c r="C209" s="3157">
        <v>8740</v>
      </c>
      <c r="D209" s="3157">
        <v>8700</v>
      </c>
      <c r="E209" s="3157">
        <v>11500</v>
      </c>
      <c r="F209" s="3163">
        <v>1730</v>
      </c>
      <c r="G209" s="3163">
        <v>5490</v>
      </c>
      <c r="I209" s="970"/>
      <c r="J209" s="3192"/>
      <c r="K209" s="3192"/>
      <c r="L209" s="3192"/>
      <c r="M209" s="3192"/>
      <c r="N209" s="3192"/>
      <c r="O209" s="3192"/>
      <c r="P209" s="3192"/>
      <c r="Q209" s="3192"/>
      <c r="R209" s="3192"/>
      <c r="S209" s="3192"/>
      <c r="T209" s="3192"/>
      <c r="U209" s="3192"/>
    </row>
    <row r="210" spans="1:21" s="959" customFormat="1" ht="14.25" customHeight="1">
      <c r="A210" s="3157" t="s">
        <v>1154</v>
      </c>
      <c r="B210" s="3157" t="s">
        <v>2899</v>
      </c>
      <c r="C210" s="3157">
        <v>8710</v>
      </c>
      <c r="D210" s="3157">
        <v>8660</v>
      </c>
      <c r="E210" s="3157">
        <v>11440</v>
      </c>
      <c r="F210" s="3163">
        <v>1740</v>
      </c>
      <c r="G210" s="3163">
        <v>5470</v>
      </c>
      <c r="I210" s="970"/>
      <c r="J210" s="3192"/>
      <c r="K210" s="3192"/>
      <c r="L210" s="3192"/>
      <c r="M210" s="3192"/>
      <c r="N210" s="3192"/>
      <c r="O210" s="3192"/>
      <c r="P210" s="3192"/>
      <c r="Q210" s="3192"/>
      <c r="R210" s="3192"/>
      <c r="S210" s="3192"/>
      <c r="T210" s="3192"/>
      <c r="U210" s="3192"/>
    </row>
    <row r="211" spans="1:21" s="959" customFormat="1" ht="14.25" customHeight="1">
      <c r="A211" s="3157" t="s">
        <v>1154</v>
      </c>
      <c r="B211" s="3157" t="s">
        <v>2900</v>
      </c>
      <c r="C211" s="3157">
        <v>9480</v>
      </c>
      <c r="D211" s="3157">
        <v>9430</v>
      </c>
      <c r="E211" s="3157">
        <v>12360</v>
      </c>
      <c r="F211" s="3163">
        <v>1820</v>
      </c>
      <c r="G211" s="3163">
        <v>5950</v>
      </c>
      <c r="I211" s="970"/>
      <c r="J211" s="3192"/>
      <c r="K211" s="3192"/>
      <c r="L211" s="3192"/>
      <c r="M211" s="3192"/>
      <c r="N211" s="3192"/>
      <c r="O211" s="3192"/>
      <c r="P211" s="3192"/>
      <c r="Q211" s="3192"/>
      <c r="R211" s="3192"/>
      <c r="S211" s="3192"/>
      <c r="T211" s="3192"/>
      <c r="U211" s="3192"/>
    </row>
    <row r="212" spans="1:21" s="959" customFormat="1" ht="14.25" customHeight="1">
      <c r="A212" s="3157" t="s">
        <v>1154</v>
      </c>
      <c r="B212" s="3157" t="s">
        <v>1134</v>
      </c>
      <c r="C212" s="3157">
        <v>9070</v>
      </c>
      <c r="D212" s="3157">
        <v>9020</v>
      </c>
      <c r="E212" s="3157">
        <v>11720</v>
      </c>
      <c r="F212" s="3163">
        <v>1850</v>
      </c>
      <c r="G212" s="3163">
        <v>5700</v>
      </c>
      <c r="I212" s="970"/>
      <c r="J212" s="3192"/>
      <c r="K212" s="3192"/>
      <c r="L212" s="3192"/>
      <c r="M212" s="3192"/>
      <c r="N212" s="3192"/>
      <c r="O212" s="3192"/>
      <c r="P212" s="3192"/>
      <c r="Q212" s="3192"/>
      <c r="R212" s="3192"/>
      <c r="S212" s="3192"/>
      <c r="T212" s="3192"/>
      <c r="U212" s="3192"/>
    </row>
    <row r="213" spans="1:21" s="959" customFormat="1" ht="14.25" customHeight="1">
      <c r="A213" s="3157" t="s">
        <v>1154</v>
      </c>
      <c r="B213" s="3157" t="s">
        <v>1137</v>
      </c>
      <c r="C213" s="3157">
        <v>9030</v>
      </c>
      <c r="D213" s="3157">
        <v>8980</v>
      </c>
      <c r="E213" s="3157">
        <v>11670</v>
      </c>
      <c r="F213" s="3163">
        <v>1690</v>
      </c>
      <c r="G213" s="3163">
        <v>5670</v>
      </c>
      <c r="I213" s="970"/>
      <c r="J213" s="3192"/>
      <c r="K213" s="3192"/>
      <c r="L213" s="3192"/>
      <c r="M213" s="3192"/>
      <c r="N213" s="3192"/>
      <c r="O213" s="3192"/>
      <c r="P213" s="3192"/>
      <c r="Q213" s="3192"/>
      <c r="R213" s="3192"/>
      <c r="S213" s="3192"/>
      <c r="T213" s="3192"/>
      <c r="U213" s="3192"/>
    </row>
    <row r="214" spans="1:21" s="959" customFormat="1" ht="14.25" customHeight="1">
      <c r="A214" s="3157" t="s">
        <v>1154</v>
      </c>
      <c r="B214" s="3157" t="s">
        <v>2901</v>
      </c>
      <c r="C214" s="3157">
        <v>8090</v>
      </c>
      <c r="D214" s="3157">
        <v>8030</v>
      </c>
      <c r="E214" s="3157">
        <v>10780</v>
      </c>
      <c r="F214" s="3163">
        <v>1570</v>
      </c>
      <c r="G214" s="3165">
        <v>5070</v>
      </c>
      <c r="I214" s="970"/>
      <c r="J214" s="3192"/>
      <c r="K214" s="3192"/>
      <c r="L214" s="3192"/>
      <c r="M214" s="3192"/>
      <c r="N214" s="3192"/>
      <c r="O214" s="3192"/>
      <c r="P214" s="3192"/>
      <c r="Q214" s="3192"/>
      <c r="R214" s="3192"/>
      <c r="S214" s="3192"/>
      <c r="T214" s="3192"/>
      <c r="U214" s="3192"/>
    </row>
    <row r="215" spans="1:21" s="959" customFormat="1" ht="14.25" customHeight="1">
      <c r="A215" s="3157" t="s">
        <v>1154</v>
      </c>
      <c r="B215" s="3157" t="s">
        <v>1123</v>
      </c>
      <c r="C215" s="3157">
        <v>7950</v>
      </c>
      <c r="D215" s="3157">
        <v>7900</v>
      </c>
      <c r="E215" s="3157">
        <v>10560</v>
      </c>
      <c r="F215" s="3163">
        <v>1630</v>
      </c>
      <c r="G215" s="3163">
        <v>4990</v>
      </c>
      <c r="I215" s="970"/>
      <c r="J215" s="3192"/>
      <c r="K215" s="3192"/>
      <c r="L215" s="3192"/>
      <c r="M215" s="3192"/>
      <c r="N215" s="3192"/>
      <c r="O215" s="3192"/>
      <c r="P215" s="3192"/>
      <c r="Q215" s="3192"/>
      <c r="R215" s="3192"/>
      <c r="S215" s="3192"/>
      <c r="T215" s="3192"/>
      <c r="U215" s="3192"/>
    </row>
    <row r="216" spans="1:21" s="959" customFormat="1" ht="14.25" customHeight="1">
      <c r="A216" s="3157" t="s">
        <v>1154</v>
      </c>
      <c r="B216" s="3157" t="s">
        <v>2902</v>
      </c>
      <c r="C216" s="3157">
        <v>8490</v>
      </c>
      <c r="D216" s="3157">
        <v>8440</v>
      </c>
      <c r="E216" s="3157">
        <v>11260</v>
      </c>
      <c r="F216" s="3163">
        <v>1690</v>
      </c>
      <c r="G216" s="3163">
        <v>5330</v>
      </c>
      <c r="I216" s="970"/>
      <c r="J216" s="3192"/>
      <c r="K216" s="3192"/>
      <c r="L216" s="3192"/>
      <c r="M216" s="3192"/>
      <c r="N216" s="3192"/>
      <c r="O216" s="3192"/>
      <c r="P216" s="3192"/>
      <c r="Q216" s="3192"/>
      <c r="R216" s="3192"/>
      <c r="S216" s="3192"/>
      <c r="T216" s="3192"/>
      <c r="U216" s="3192"/>
    </row>
    <row r="217" spans="1:21" s="959" customFormat="1" ht="14.25" customHeight="1">
      <c r="A217" s="3157" t="s">
        <v>1154</v>
      </c>
      <c r="B217" s="3157" t="s">
        <v>2903</v>
      </c>
      <c r="C217" s="3157">
        <v>8200</v>
      </c>
      <c r="D217" s="3157">
        <v>8150</v>
      </c>
      <c r="E217" s="3157">
        <v>10910</v>
      </c>
      <c r="F217" s="3163">
        <v>1670</v>
      </c>
      <c r="G217" s="3163">
        <v>5150</v>
      </c>
      <c r="I217" s="970"/>
      <c r="J217" s="3192"/>
      <c r="K217" s="3192"/>
      <c r="L217" s="3192"/>
      <c r="M217" s="3192"/>
      <c r="N217" s="3192"/>
      <c r="O217" s="3192"/>
      <c r="P217" s="3192"/>
      <c r="Q217" s="3192"/>
      <c r="R217" s="3192"/>
      <c r="S217" s="3192"/>
      <c r="T217" s="3192"/>
      <c r="U217" s="3192"/>
    </row>
    <row r="218" spans="1:21" s="959" customFormat="1" ht="14.25" customHeight="1">
      <c r="A218" s="3157" t="s">
        <v>1154</v>
      </c>
      <c r="B218" s="3157" t="s">
        <v>2904</v>
      </c>
      <c r="C218" s="3157"/>
      <c r="D218" s="3157"/>
      <c r="E218" s="3157"/>
      <c r="F218" s="3163">
        <v>2040</v>
      </c>
      <c r="G218" s="3163"/>
      <c r="I218" s="970"/>
      <c r="J218" s="3192"/>
      <c r="K218" s="3192"/>
      <c r="L218" s="3192"/>
      <c r="M218" s="3192"/>
      <c r="N218" s="3192"/>
      <c r="O218" s="3192"/>
      <c r="P218" s="3192"/>
      <c r="Q218" s="3192"/>
      <c r="R218" s="3192"/>
      <c r="S218" s="3192"/>
      <c r="T218" s="3192"/>
      <c r="U218" s="3192"/>
    </row>
    <row r="219" spans="1:21" s="959" customFormat="1" ht="14.25" customHeight="1">
      <c r="A219" s="3157" t="s">
        <v>1154</v>
      </c>
      <c r="B219" s="3157" t="s">
        <v>2905</v>
      </c>
      <c r="C219" s="3157"/>
      <c r="D219" s="3157"/>
      <c r="E219" s="3157"/>
      <c r="F219" s="3163">
        <v>2040</v>
      </c>
      <c r="G219" s="3163"/>
      <c r="I219" s="970"/>
      <c r="J219" s="3192"/>
      <c r="K219" s="3192"/>
      <c r="L219" s="3192"/>
      <c r="M219" s="3192"/>
      <c r="N219" s="3192"/>
      <c r="O219" s="3192"/>
      <c r="P219" s="3192"/>
      <c r="Q219" s="3192"/>
      <c r="R219" s="3192"/>
      <c r="S219" s="3192"/>
      <c r="T219" s="3192"/>
      <c r="U219" s="3192"/>
    </row>
    <row r="220" spans="1:21" s="959" customFormat="1" ht="14.25" customHeight="1">
      <c r="A220" s="3157" t="s">
        <v>1154</v>
      </c>
      <c r="B220" s="3157" t="s">
        <v>2906</v>
      </c>
      <c r="C220" s="3157"/>
      <c r="D220" s="3157"/>
      <c r="E220" s="3157"/>
      <c r="F220" s="3163">
        <v>2040</v>
      </c>
      <c r="G220" s="3163"/>
      <c r="I220" s="970"/>
      <c r="J220" s="3192"/>
      <c r="K220" s="3192"/>
      <c r="L220" s="3192"/>
      <c r="M220" s="3192"/>
      <c r="N220" s="3192"/>
      <c r="O220" s="3192"/>
      <c r="P220" s="3192"/>
      <c r="Q220" s="3192"/>
      <c r="R220" s="3192"/>
      <c r="S220" s="3192"/>
      <c r="T220" s="3192"/>
      <c r="U220" s="3192"/>
    </row>
    <row r="221" spans="1:21" s="959" customFormat="1" ht="14.25" customHeight="1">
      <c r="A221" s="3157" t="s">
        <v>1154</v>
      </c>
      <c r="B221" s="3157" t="s">
        <v>2907</v>
      </c>
      <c r="C221" s="3166"/>
      <c r="D221" s="3166"/>
      <c r="E221" s="3166"/>
      <c r="F221" s="3165">
        <v>2040</v>
      </c>
      <c r="G221" s="3163"/>
      <c r="I221" s="970"/>
      <c r="J221" s="3192"/>
      <c r="K221" s="3192"/>
      <c r="L221" s="3192"/>
      <c r="M221" s="3192"/>
      <c r="N221" s="3192"/>
      <c r="O221" s="3192"/>
      <c r="P221" s="3192"/>
      <c r="Q221" s="3192"/>
      <c r="R221" s="3192"/>
      <c r="S221" s="3192"/>
      <c r="T221" s="3192"/>
      <c r="U221" s="3192"/>
    </row>
    <row r="222" spans="1:21" s="959" customFormat="1" ht="14.25" customHeight="1">
      <c r="A222" s="3157" t="s">
        <v>1154</v>
      </c>
      <c r="B222" s="3157" t="s">
        <v>2908</v>
      </c>
      <c r="C222" s="3166"/>
      <c r="D222" s="3166"/>
      <c r="E222" s="3166"/>
      <c r="F222" s="3165">
        <v>2040</v>
      </c>
      <c r="G222" s="3163"/>
      <c r="I222" s="970"/>
      <c r="J222" s="3192"/>
      <c r="K222" s="3192"/>
      <c r="L222" s="3192"/>
      <c r="M222" s="3192"/>
      <c r="N222" s="3192"/>
      <c r="O222" s="3192"/>
      <c r="P222" s="3192"/>
      <c r="Q222" s="3192"/>
      <c r="R222" s="3192"/>
      <c r="S222" s="3192"/>
      <c r="T222" s="3192"/>
      <c r="U222" s="3192"/>
    </row>
    <row r="223" spans="1:21" s="959" customFormat="1" ht="14.25" customHeight="1">
      <c r="A223" s="3157" t="s">
        <v>1154</v>
      </c>
      <c r="B223" s="3157" t="s">
        <v>2909</v>
      </c>
      <c r="C223" s="3166"/>
      <c r="D223" s="3166"/>
      <c r="E223" s="3166"/>
      <c r="F223" s="3165">
        <v>1930</v>
      </c>
      <c r="G223" s="3163"/>
      <c r="I223" s="970"/>
      <c r="J223" s="3192"/>
      <c r="K223" s="3192"/>
      <c r="L223" s="3192"/>
      <c r="M223" s="3192"/>
      <c r="N223" s="3192"/>
      <c r="O223" s="3192"/>
      <c r="P223" s="3192"/>
      <c r="Q223" s="3192"/>
      <c r="R223" s="3192"/>
      <c r="S223" s="3192"/>
      <c r="T223" s="3192"/>
      <c r="U223" s="3192"/>
    </row>
    <row r="224" spans="1:21" s="959" customFormat="1" ht="14.25" customHeight="1">
      <c r="A224" s="3157" t="s">
        <v>1154</v>
      </c>
      <c r="B224" s="3157" t="s">
        <v>2910</v>
      </c>
      <c r="C224" s="3166"/>
      <c r="D224" s="3166"/>
      <c r="E224" s="3166"/>
      <c r="F224" s="3165">
        <v>1930</v>
      </c>
      <c r="G224" s="3163"/>
      <c r="I224" s="970"/>
      <c r="J224" s="3192"/>
      <c r="K224" s="3192"/>
      <c r="L224" s="3192"/>
      <c r="M224" s="3192"/>
      <c r="N224" s="3192"/>
      <c r="O224" s="3192"/>
      <c r="P224" s="3192"/>
      <c r="Q224" s="3192"/>
      <c r="R224" s="3192"/>
      <c r="S224" s="3192"/>
      <c r="T224" s="3192"/>
      <c r="U224" s="3192"/>
    </row>
    <row r="225" spans="1:21" s="959" customFormat="1" ht="14.25" customHeight="1">
      <c r="A225" s="3157" t="s">
        <v>1154</v>
      </c>
      <c r="B225" s="3157" t="s">
        <v>2911</v>
      </c>
      <c r="C225" s="3157"/>
      <c r="D225" s="3157"/>
      <c r="E225" s="3157"/>
      <c r="F225" s="3163">
        <v>1930</v>
      </c>
      <c r="G225" s="3163"/>
      <c r="I225" s="970"/>
      <c r="J225" s="3192"/>
      <c r="K225" s="3192"/>
      <c r="L225" s="3192"/>
      <c r="M225" s="3192"/>
      <c r="N225" s="3192"/>
      <c r="O225" s="3192"/>
      <c r="P225" s="3192"/>
      <c r="Q225" s="3192"/>
      <c r="R225" s="3192"/>
      <c r="S225" s="3192"/>
      <c r="T225" s="3192"/>
      <c r="U225" s="3192"/>
    </row>
    <row r="226" spans="1:21" s="959" customFormat="1" ht="14.25" customHeight="1">
      <c r="A226" s="3157" t="s">
        <v>1154</v>
      </c>
      <c r="B226" s="3157" t="s">
        <v>2912</v>
      </c>
      <c r="C226" s="3157"/>
      <c r="D226" s="3157"/>
      <c r="E226" s="3157"/>
      <c r="F226" s="3163">
        <v>1700</v>
      </c>
      <c r="G226" s="3163"/>
      <c r="I226" s="970"/>
      <c r="J226" s="3192"/>
      <c r="K226" s="3192"/>
      <c r="L226" s="3192"/>
      <c r="M226" s="3192"/>
      <c r="N226" s="3192"/>
      <c r="O226" s="3192"/>
      <c r="P226" s="3192"/>
      <c r="Q226" s="3192"/>
      <c r="R226" s="3192"/>
      <c r="S226" s="3192"/>
      <c r="T226" s="3192"/>
      <c r="U226" s="3192"/>
    </row>
    <row r="227" spans="1:21" s="959" customFormat="1" ht="14.25" customHeight="1">
      <c r="A227" s="3157" t="s">
        <v>1154</v>
      </c>
      <c r="B227" s="3157" t="s">
        <v>2913</v>
      </c>
      <c r="C227" s="3157"/>
      <c r="D227" s="3157"/>
      <c r="E227" s="3157"/>
      <c r="F227" s="3163">
        <v>1520</v>
      </c>
      <c r="G227" s="3163"/>
      <c r="I227" s="970"/>
      <c r="J227" s="3192"/>
      <c r="K227" s="3192"/>
      <c r="L227" s="3192"/>
      <c r="M227" s="3192"/>
      <c r="N227" s="3192"/>
      <c r="O227" s="3192"/>
      <c r="P227" s="3192"/>
      <c r="Q227" s="3192"/>
      <c r="R227" s="3192"/>
      <c r="S227" s="3192"/>
      <c r="T227" s="3192"/>
      <c r="U227" s="3192"/>
    </row>
    <row r="228" spans="1:21" s="959" customFormat="1" ht="14.25" customHeight="1">
      <c r="A228" s="3157" t="s">
        <v>1154</v>
      </c>
      <c r="B228" s="3157" t="s">
        <v>2914</v>
      </c>
      <c r="C228" s="3157"/>
      <c r="D228" s="3157"/>
      <c r="E228" s="3157"/>
      <c r="F228" s="3163">
        <v>1520</v>
      </c>
      <c r="G228" s="3163"/>
      <c r="I228" s="970"/>
      <c r="J228" s="3192"/>
      <c r="K228" s="3192"/>
      <c r="L228" s="3192"/>
      <c r="M228" s="3192"/>
      <c r="N228" s="3192"/>
      <c r="O228" s="3192"/>
      <c r="P228" s="3192"/>
      <c r="Q228" s="3192"/>
      <c r="R228" s="3192"/>
      <c r="S228" s="3192"/>
      <c r="T228" s="3192"/>
      <c r="U228" s="3192"/>
    </row>
    <row r="229" spans="1:21" s="959" customFormat="1" ht="14.25" customHeight="1">
      <c r="A229" s="3157" t="s">
        <v>1154</v>
      </c>
      <c r="B229" s="3157" t="s">
        <v>2915</v>
      </c>
      <c r="C229" s="3157"/>
      <c r="D229" s="3157"/>
      <c r="E229" s="3157"/>
      <c r="F229" s="3163">
        <v>1520</v>
      </c>
      <c r="G229" s="3165"/>
      <c r="I229" s="970"/>
      <c r="J229" s="3192"/>
      <c r="K229" s="3192"/>
      <c r="L229" s="3192"/>
      <c r="M229" s="3192"/>
      <c r="N229" s="3192"/>
      <c r="O229" s="3192"/>
      <c r="P229" s="3192"/>
      <c r="Q229" s="3192"/>
      <c r="R229" s="3192"/>
      <c r="S229" s="3192"/>
      <c r="T229" s="3192"/>
      <c r="U229" s="3192"/>
    </row>
    <row r="230" spans="1:21" s="959" customFormat="1" ht="14.25" customHeight="1">
      <c r="A230" s="3157" t="s">
        <v>1154</v>
      </c>
      <c r="B230" s="3157" t="s">
        <v>2916</v>
      </c>
      <c r="C230" s="3157"/>
      <c r="D230" s="3157"/>
      <c r="E230" s="3157"/>
      <c r="F230" s="3163">
        <v>1820</v>
      </c>
      <c r="G230" s="3165"/>
      <c r="I230" s="970"/>
      <c r="J230" s="3192"/>
      <c r="K230" s="3192"/>
      <c r="L230" s="3192"/>
      <c r="M230" s="3192"/>
      <c r="N230" s="3192"/>
      <c r="O230" s="3192"/>
      <c r="P230" s="3192"/>
      <c r="Q230" s="3192"/>
      <c r="R230" s="3192"/>
      <c r="S230" s="3192"/>
      <c r="T230" s="3192"/>
      <c r="U230" s="3192"/>
    </row>
    <row r="231" spans="1:21" s="959" customFormat="1" ht="14.25" customHeight="1">
      <c r="A231" s="3157" t="s">
        <v>1154</v>
      </c>
      <c r="B231" s="3157" t="s">
        <v>2917</v>
      </c>
      <c r="C231" s="3157"/>
      <c r="D231" s="3157"/>
      <c r="E231" s="3157"/>
      <c r="F231" s="3163">
        <v>1760</v>
      </c>
      <c r="G231" s="3165"/>
      <c r="I231" s="970"/>
      <c r="J231" s="3192"/>
      <c r="K231" s="3192"/>
      <c r="L231" s="3192"/>
      <c r="M231" s="3192"/>
      <c r="N231" s="3192"/>
      <c r="O231" s="3192"/>
      <c r="P231" s="3192"/>
      <c r="Q231" s="3192"/>
      <c r="R231" s="3192"/>
      <c r="S231" s="3192"/>
      <c r="T231" s="3192"/>
      <c r="U231" s="3192"/>
    </row>
    <row r="232" spans="1:21" s="959" customFormat="1" ht="14.25" customHeight="1">
      <c r="A232" s="3157" t="s">
        <v>1154</v>
      </c>
      <c r="B232" s="3157" t="s">
        <v>2918</v>
      </c>
      <c r="C232" s="3157"/>
      <c r="D232" s="3157"/>
      <c r="E232" s="3157"/>
      <c r="F232" s="3163">
        <v>1840</v>
      </c>
      <c r="G232" s="3163"/>
      <c r="I232" s="970"/>
      <c r="J232" s="3192"/>
      <c r="K232" s="3192"/>
      <c r="L232" s="3192"/>
      <c r="M232" s="3192"/>
      <c r="N232" s="3192"/>
      <c r="O232" s="3192"/>
      <c r="P232" s="3192"/>
      <c r="Q232" s="3192"/>
      <c r="R232" s="3192"/>
      <c r="S232" s="3192"/>
      <c r="T232" s="3192"/>
      <c r="U232" s="3192"/>
    </row>
    <row r="233" spans="1:21" s="959" customFormat="1" ht="14.25" customHeight="1" thickBot="1">
      <c r="A233" s="3172" t="s">
        <v>1154</v>
      </c>
      <c r="B233" s="3160" t="s">
        <v>2919</v>
      </c>
      <c r="C233" s="3160"/>
      <c r="D233" s="3160"/>
      <c r="E233" s="3160"/>
      <c r="F233" s="3161">
        <v>1770</v>
      </c>
      <c r="G233" s="3176"/>
      <c r="I233" s="970"/>
      <c r="J233" s="3192"/>
      <c r="K233" s="3192"/>
      <c r="L233" s="3192"/>
      <c r="M233" s="3192"/>
      <c r="N233" s="3192"/>
      <c r="O233" s="3192"/>
      <c r="P233" s="3192"/>
      <c r="Q233" s="3192"/>
      <c r="R233" s="3192"/>
      <c r="S233" s="3192"/>
      <c r="T233" s="3192"/>
      <c r="U233" s="3192"/>
    </row>
    <row r="234" spans="1:21" s="959" customFormat="1" ht="14.25" customHeight="1">
      <c r="A234" s="3171" t="s">
        <v>1155</v>
      </c>
      <c r="B234" s="1215" t="s">
        <v>2920</v>
      </c>
      <c r="C234" s="1215">
        <v>6980</v>
      </c>
      <c r="D234" s="1215">
        <v>6970</v>
      </c>
      <c r="E234" s="1215">
        <v>8720</v>
      </c>
      <c r="F234" s="3158">
        <v>1350</v>
      </c>
      <c r="G234" s="3174">
        <v>4280</v>
      </c>
      <c r="I234" s="970"/>
      <c r="J234" s="3192"/>
      <c r="K234" s="3192"/>
      <c r="L234" s="3192"/>
      <c r="M234" s="3192"/>
      <c r="N234" s="3192"/>
      <c r="O234" s="3192"/>
      <c r="P234" s="3192"/>
      <c r="Q234" s="3192"/>
      <c r="R234" s="3192"/>
      <c r="S234" s="3192"/>
      <c r="T234" s="3192"/>
      <c r="U234" s="3192"/>
    </row>
    <row r="235" spans="1:21" s="959" customFormat="1" ht="14.25" customHeight="1">
      <c r="A235" s="3157" t="s">
        <v>1155</v>
      </c>
      <c r="B235" s="3157" t="s">
        <v>979</v>
      </c>
      <c r="C235" s="3157">
        <v>7620</v>
      </c>
      <c r="D235" s="3157">
        <v>7580</v>
      </c>
      <c r="E235" s="3157">
        <v>9360</v>
      </c>
      <c r="F235" s="3163">
        <v>1490</v>
      </c>
      <c r="G235" s="3163">
        <v>4650</v>
      </c>
      <c r="I235" s="970"/>
      <c r="J235" s="3192"/>
      <c r="K235" s="3192"/>
      <c r="L235" s="3192"/>
      <c r="M235" s="3192"/>
      <c r="N235" s="3192"/>
      <c r="O235" s="3192"/>
      <c r="P235" s="3192"/>
      <c r="Q235" s="3192"/>
      <c r="R235" s="3192"/>
      <c r="S235" s="3192"/>
      <c r="T235" s="3192"/>
      <c r="U235" s="3192"/>
    </row>
    <row r="236" spans="1:21" s="959" customFormat="1" ht="14.25" customHeight="1">
      <c r="A236" s="3157" t="s">
        <v>1155</v>
      </c>
      <c r="B236" s="3157" t="s">
        <v>989</v>
      </c>
      <c r="C236" s="3157">
        <v>6650</v>
      </c>
      <c r="D236" s="3157">
        <v>6630</v>
      </c>
      <c r="E236" s="3157">
        <v>8330</v>
      </c>
      <c r="F236" s="3163">
        <v>1250</v>
      </c>
      <c r="G236" s="3163">
        <v>4070</v>
      </c>
      <c r="I236" s="970"/>
      <c r="J236" s="3192"/>
      <c r="K236" s="3192"/>
      <c r="L236" s="3192"/>
      <c r="M236" s="3192"/>
      <c r="N236" s="3192"/>
      <c r="O236" s="3192"/>
      <c r="P236" s="3192"/>
      <c r="Q236" s="3192"/>
      <c r="R236" s="3192"/>
      <c r="S236" s="3192"/>
      <c r="T236" s="3192"/>
      <c r="U236" s="3192"/>
    </row>
    <row r="237" spans="1:21" s="959" customFormat="1" ht="14.25" customHeight="1">
      <c r="A237" s="3157" t="s">
        <v>1155</v>
      </c>
      <c r="B237" s="3157" t="s">
        <v>998</v>
      </c>
      <c r="C237" s="3157">
        <v>5850</v>
      </c>
      <c r="D237" s="3157">
        <v>5820</v>
      </c>
      <c r="E237" s="3157">
        <v>7260</v>
      </c>
      <c r="F237" s="3163">
        <v>1140</v>
      </c>
      <c r="G237" s="3163">
        <v>3570</v>
      </c>
      <c r="I237" s="970"/>
      <c r="J237" s="3192"/>
      <c r="K237" s="3192"/>
      <c r="L237" s="3192"/>
      <c r="M237" s="3192"/>
      <c r="N237" s="3192"/>
      <c r="O237" s="3192"/>
      <c r="P237" s="3192"/>
      <c r="Q237" s="3192"/>
      <c r="R237" s="3192"/>
      <c r="S237" s="3192"/>
      <c r="T237" s="3192"/>
      <c r="U237" s="3192"/>
    </row>
    <row r="238" spans="1:21" s="959" customFormat="1" ht="14.25" customHeight="1">
      <c r="A238" s="3157" t="s">
        <v>1155</v>
      </c>
      <c r="B238" s="3157" t="s">
        <v>2921</v>
      </c>
      <c r="C238" s="3157">
        <v>6920</v>
      </c>
      <c r="D238" s="3157">
        <v>6890</v>
      </c>
      <c r="E238" s="3157">
        <v>8640</v>
      </c>
      <c r="F238" s="3163">
        <v>1310</v>
      </c>
      <c r="G238" s="3163">
        <v>4230</v>
      </c>
      <c r="I238" s="970"/>
      <c r="J238" s="3192"/>
      <c r="K238" s="3192"/>
      <c r="L238" s="3192"/>
      <c r="M238" s="3192"/>
      <c r="N238" s="3192"/>
      <c r="O238" s="3192"/>
      <c r="P238" s="3192"/>
      <c r="Q238" s="3192"/>
      <c r="R238" s="3192"/>
      <c r="S238" s="3192"/>
      <c r="T238" s="3192"/>
      <c r="U238" s="3192"/>
    </row>
    <row r="239" spans="1:21" s="959" customFormat="1" ht="14.25" customHeight="1">
      <c r="A239" s="3157" t="s">
        <v>1155</v>
      </c>
      <c r="B239" s="3157" t="s">
        <v>2922</v>
      </c>
      <c r="C239" s="3157">
        <v>6780</v>
      </c>
      <c r="D239" s="3157">
        <v>6750</v>
      </c>
      <c r="E239" s="3157">
        <v>8440</v>
      </c>
      <c r="F239" s="3163">
        <v>1160</v>
      </c>
      <c r="G239" s="3163">
        <v>4140</v>
      </c>
      <c r="I239" s="970"/>
      <c r="J239" s="3192"/>
      <c r="K239" s="3192"/>
      <c r="L239" s="3192"/>
      <c r="M239" s="3192"/>
      <c r="N239" s="3192"/>
      <c r="O239" s="3192"/>
      <c r="P239" s="3192"/>
      <c r="Q239" s="3192"/>
      <c r="R239" s="3192"/>
      <c r="S239" s="3192"/>
      <c r="T239" s="3192"/>
      <c r="U239" s="3192"/>
    </row>
    <row r="240" spans="1:21" s="959" customFormat="1" ht="14.25" customHeight="1">
      <c r="A240" s="3157" t="s">
        <v>1155</v>
      </c>
      <c r="B240" s="3157" t="s">
        <v>2923</v>
      </c>
      <c r="C240" s="3157">
        <v>5420</v>
      </c>
      <c r="D240" s="3157">
        <v>5380</v>
      </c>
      <c r="E240" s="3157">
        <v>6640</v>
      </c>
      <c r="F240" s="3163">
        <v>1020</v>
      </c>
      <c r="G240" s="3163">
        <v>3300</v>
      </c>
      <c r="I240" s="970"/>
      <c r="J240" s="3192"/>
      <c r="K240" s="3192"/>
      <c r="L240" s="3192"/>
      <c r="M240" s="3192"/>
      <c r="N240" s="3192"/>
      <c r="O240" s="3192"/>
      <c r="P240" s="3192"/>
      <c r="Q240" s="3192"/>
      <c r="R240" s="3192"/>
      <c r="S240" s="3192"/>
      <c r="T240" s="3192"/>
      <c r="U240" s="3192"/>
    </row>
    <row r="241" spans="1:21" s="959" customFormat="1" ht="14.25" customHeight="1">
      <c r="A241" s="3157" t="s">
        <v>1155</v>
      </c>
      <c r="B241" s="3157" t="s">
        <v>2924</v>
      </c>
      <c r="C241" s="3157">
        <v>6660</v>
      </c>
      <c r="D241" s="3157">
        <v>6640</v>
      </c>
      <c r="E241" s="3157">
        <v>8340</v>
      </c>
      <c r="F241" s="3163">
        <v>1130</v>
      </c>
      <c r="G241" s="3163">
        <v>4080</v>
      </c>
      <c r="I241" s="970"/>
      <c r="J241" s="3192"/>
      <c r="K241" s="3192"/>
      <c r="L241" s="3192"/>
      <c r="M241" s="3192"/>
      <c r="N241" s="3192"/>
      <c r="O241" s="3192"/>
      <c r="P241" s="3192"/>
      <c r="Q241" s="3192"/>
      <c r="R241" s="3192"/>
      <c r="S241" s="3192"/>
      <c r="T241" s="3192"/>
      <c r="U241" s="3192"/>
    </row>
    <row r="242" spans="1:21" s="959" customFormat="1" ht="14.25" customHeight="1">
      <c r="A242" s="3157" t="s">
        <v>1155</v>
      </c>
      <c r="B242" s="3157" t="s">
        <v>1028</v>
      </c>
      <c r="C242" s="3157">
        <v>6580</v>
      </c>
      <c r="D242" s="3157">
        <v>6550</v>
      </c>
      <c r="E242" s="3157">
        <v>8090</v>
      </c>
      <c r="F242" s="3163">
        <v>1240</v>
      </c>
      <c r="G242" s="3163">
        <v>4020</v>
      </c>
      <c r="I242" s="970"/>
      <c r="J242" s="3192"/>
      <c r="K242" s="3192"/>
      <c r="L242" s="3192"/>
      <c r="M242" s="3192"/>
      <c r="N242" s="3192"/>
      <c r="O242" s="3192"/>
      <c r="P242" s="3192"/>
      <c r="Q242" s="3192"/>
      <c r="R242" s="3192"/>
      <c r="S242" s="3192"/>
      <c r="T242" s="3192"/>
      <c r="U242" s="3192"/>
    </row>
    <row r="243" spans="1:21" s="959" customFormat="1" ht="14.25" customHeight="1">
      <c r="A243" s="3157" t="s">
        <v>1155</v>
      </c>
      <c r="B243" s="3157" t="s">
        <v>1038</v>
      </c>
      <c r="C243" s="3157">
        <v>6000</v>
      </c>
      <c r="D243" s="3157">
        <v>5970</v>
      </c>
      <c r="E243" s="3157">
        <v>7370</v>
      </c>
      <c r="F243" s="3163">
        <v>1070</v>
      </c>
      <c r="G243" s="3163">
        <v>3670</v>
      </c>
      <c r="I243" s="970"/>
      <c r="J243" s="3192"/>
      <c r="K243" s="3192"/>
      <c r="L243" s="3192"/>
      <c r="M243" s="3192"/>
      <c r="N243" s="3192"/>
      <c r="O243" s="3192"/>
      <c r="P243" s="3192"/>
      <c r="Q243" s="3192"/>
      <c r="R243" s="3192"/>
      <c r="S243" s="3192"/>
      <c r="T243" s="3192"/>
      <c r="U243" s="3192"/>
    </row>
    <row r="244" spans="1:21" s="959" customFormat="1" ht="14.25" customHeight="1">
      <c r="A244" s="3157" t="s">
        <v>1155</v>
      </c>
      <c r="B244" s="3157" t="s">
        <v>2925</v>
      </c>
      <c r="C244" s="3157">
        <v>5840</v>
      </c>
      <c r="D244" s="3157">
        <v>5810</v>
      </c>
      <c r="E244" s="3157">
        <v>7240</v>
      </c>
      <c r="F244" s="3163">
        <v>1100</v>
      </c>
      <c r="G244" s="3170">
        <v>3560</v>
      </c>
      <c r="I244" s="970"/>
      <c r="J244" s="3192"/>
      <c r="K244" s="3192"/>
      <c r="L244" s="3192"/>
      <c r="M244" s="3192"/>
      <c r="N244" s="3192"/>
      <c r="O244" s="3192"/>
      <c r="P244" s="3192"/>
      <c r="Q244" s="3192"/>
      <c r="R244" s="3192"/>
      <c r="S244" s="3192"/>
      <c r="T244" s="3192"/>
      <c r="U244" s="3192"/>
    </row>
    <row r="245" spans="1:21" s="959" customFormat="1" ht="14.25" customHeight="1">
      <c r="A245" s="1215" t="s">
        <v>1155</v>
      </c>
      <c r="B245" s="1215" t="s">
        <v>1053</v>
      </c>
      <c r="C245" s="1215">
        <v>6040</v>
      </c>
      <c r="D245" s="1215">
        <v>6000</v>
      </c>
      <c r="E245" s="1215">
        <v>7420</v>
      </c>
      <c r="F245" s="3158">
        <v>1140</v>
      </c>
      <c r="G245" s="3158">
        <v>3690</v>
      </c>
      <c r="I245" s="970"/>
      <c r="J245" s="3192"/>
      <c r="K245" s="3192"/>
      <c r="L245" s="3192"/>
      <c r="M245" s="3192"/>
      <c r="N245" s="3192"/>
      <c r="O245" s="3192"/>
      <c r="P245" s="3192"/>
      <c r="Q245" s="3192"/>
      <c r="R245" s="3192"/>
      <c r="S245" s="3192"/>
      <c r="T245" s="3192"/>
      <c r="U245" s="3192"/>
    </row>
    <row r="246" spans="1:21" s="959" customFormat="1" ht="14.25" customHeight="1">
      <c r="A246" s="3157" t="s">
        <v>1155</v>
      </c>
      <c r="B246" s="3157" t="s">
        <v>1060</v>
      </c>
      <c r="C246" s="3157">
        <v>5890</v>
      </c>
      <c r="D246" s="3157">
        <v>5860</v>
      </c>
      <c r="E246" s="3157">
        <v>7300</v>
      </c>
      <c r="F246" s="3163">
        <v>1110</v>
      </c>
      <c r="G246" s="3163">
        <v>3590</v>
      </c>
      <c r="I246" s="970"/>
      <c r="J246" s="3192"/>
      <c r="K246" s="3192"/>
      <c r="L246" s="3192"/>
      <c r="M246" s="3192"/>
      <c r="N246" s="3192"/>
      <c r="O246" s="3192"/>
      <c r="P246" s="3192"/>
      <c r="Q246" s="3192"/>
      <c r="R246" s="3192"/>
      <c r="S246" s="3192"/>
      <c r="T246" s="3192"/>
      <c r="U246" s="3192"/>
    </row>
    <row r="247" spans="1:21" s="959" customFormat="1" ht="14.25" customHeight="1">
      <c r="A247" s="3157" t="s">
        <v>1155</v>
      </c>
      <c r="B247" s="3157" t="s">
        <v>2926</v>
      </c>
      <c r="C247" s="3157">
        <v>6480</v>
      </c>
      <c r="D247" s="3157">
        <v>6450</v>
      </c>
      <c r="E247" s="3157">
        <v>8010</v>
      </c>
      <c r="F247" s="3163">
        <v>1170</v>
      </c>
      <c r="G247" s="3163">
        <v>3960</v>
      </c>
      <c r="I247" s="970"/>
      <c r="J247" s="3192"/>
      <c r="K247" s="3192"/>
      <c r="L247" s="3192"/>
      <c r="M247" s="3192"/>
      <c r="N247" s="3192"/>
      <c r="O247" s="3192"/>
      <c r="P247" s="3192"/>
      <c r="Q247" s="3192"/>
      <c r="R247" s="3192"/>
      <c r="S247" s="3192"/>
      <c r="T247" s="3192"/>
      <c r="U247" s="3192"/>
    </row>
    <row r="248" spans="1:21" s="959" customFormat="1" ht="14.25" customHeight="1">
      <c r="A248" s="3157" t="s">
        <v>1155</v>
      </c>
      <c r="B248" s="3157" t="s">
        <v>1075</v>
      </c>
      <c r="C248" s="3157">
        <v>6860</v>
      </c>
      <c r="D248" s="3157">
        <v>6840</v>
      </c>
      <c r="E248" s="3157">
        <v>8520</v>
      </c>
      <c r="F248" s="3163">
        <v>1240</v>
      </c>
      <c r="G248" s="3163">
        <v>4200</v>
      </c>
      <c r="I248" s="970"/>
      <c r="J248" s="3192"/>
      <c r="K248" s="3192"/>
      <c r="L248" s="3192"/>
      <c r="M248" s="3192"/>
      <c r="N248" s="3192"/>
      <c r="O248" s="3192"/>
      <c r="P248" s="3192"/>
      <c r="Q248" s="3192"/>
      <c r="R248" s="3192"/>
      <c r="S248" s="3192"/>
      <c r="T248" s="3192"/>
      <c r="U248" s="3192"/>
    </row>
    <row r="249" spans="1:21" s="959" customFormat="1" ht="14.25" customHeight="1">
      <c r="A249" s="3157" t="s">
        <v>1155</v>
      </c>
      <c r="B249" s="3157" t="s">
        <v>2927</v>
      </c>
      <c r="C249" s="3157">
        <v>7180</v>
      </c>
      <c r="D249" s="3157">
        <v>7140</v>
      </c>
      <c r="E249" s="3157">
        <v>8900</v>
      </c>
      <c r="F249" s="3163">
        <v>1350</v>
      </c>
      <c r="G249" s="3163">
        <v>4380</v>
      </c>
      <c r="I249" s="970"/>
      <c r="J249" s="3192"/>
      <c r="K249" s="3192"/>
      <c r="L249" s="3192"/>
      <c r="M249" s="3192"/>
      <c r="N249" s="3192"/>
      <c r="O249" s="3192"/>
      <c r="P249" s="3192"/>
      <c r="Q249" s="3192"/>
      <c r="R249" s="3192"/>
      <c r="S249" s="3192"/>
      <c r="T249" s="3192"/>
      <c r="U249" s="3192"/>
    </row>
    <row r="250" spans="1:21" s="959" customFormat="1" ht="14.25" customHeight="1">
      <c r="A250" s="3157" t="s">
        <v>1155</v>
      </c>
      <c r="B250" s="3157" t="s">
        <v>1089</v>
      </c>
      <c r="C250" s="3157">
        <v>6880</v>
      </c>
      <c r="D250" s="3157">
        <v>6860</v>
      </c>
      <c r="E250" s="3157">
        <v>8550</v>
      </c>
      <c r="F250" s="3163">
        <v>1220</v>
      </c>
      <c r="G250" s="3163">
        <v>4210</v>
      </c>
      <c r="I250" s="970"/>
      <c r="J250" s="3192"/>
      <c r="K250" s="3192"/>
      <c r="L250" s="3192"/>
      <c r="M250" s="3192"/>
      <c r="N250" s="3192"/>
      <c r="O250" s="3192"/>
      <c r="P250" s="3192"/>
      <c r="Q250" s="3192"/>
      <c r="R250" s="3192"/>
      <c r="S250" s="3192"/>
      <c r="T250" s="3192"/>
      <c r="U250" s="3192"/>
    </row>
    <row r="251" spans="1:21" s="959" customFormat="1" ht="14.25" customHeight="1">
      <c r="A251" s="3157" t="s">
        <v>1155</v>
      </c>
      <c r="B251" s="3157" t="s">
        <v>1097</v>
      </c>
      <c r="C251" s="3157"/>
      <c r="D251" s="3157"/>
      <c r="E251" s="3157"/>
      <c r="F251" s="3163">
        <v>1100</v>
      </c>
      <c r="G251" s="3163"/>
      <c r="I251" s="970"/>
      <c r="J251" s="3192"/>
      <c r="K251" s="3192"/>
      <c r="L251" s="3192"/>
      <c r="M251" s="3192"/>
      <c r="N251" s="3192"/>
      <c r="O251" s="3192"/>
      <c r="P251" s="3192"/>
      <c r="Q251" s="3192"/>
      <c r="R251" s="3192"/>
      <c r="S251" s="3192"/>
      <c r="T251" s="3192"/>
      <c r="U251" s="3192"/>
    </row>
    <row r="252" spans="1:21" s="959" customFormat="1" ht="14.25" customHeight="1">
      <c r="A252" s="3157" t="s">
        <v>1155</v>
      </c>
      <c r="B252" s="3157" t="s">
        <v>2928</v>
      </c>
      <c r="C252" s="3157">
        <v>7240</v>
      </c>
      <c r="D252" s="3157">
        <v>7200</v>
      </c>
      <c r="E252" s="3157">
        <v>9040</v>
      </c>
      <c r="F252" s="3163">
        <v>1380</v>
      </c>
      <c r="G252" s="3163">
        <v>4420</v>
      </c>
      <c r="I252" s="970"/>
      <c r="J252" s="3192"/>
      <c r="K252" s="3192"/>
      <c r="L252" s="3192"/>
      <c r="M252" s="3192"/>
      <c r="N252" s="3192"/>
      <c r="O252" s="3192"/>
      <c r="P252" s="3192"/>
      <c r="Q252" s="3192"/>
      <c r="R252" s="3192"/>
      <c r="S252" s="3192"/>
      <c r="T252" s="3192"/>
      <c r="U252" s="3192"/>
    </row>
    <row r="253" spans="1:21" s="959" customFormat="1" ht="14.25" customHeight="1">
      <c r="A253" s="3157" t="s">
        <v>1155</v>
      </c>
      <c r="B253" s="3157" t="s">
        <v>1132</v>
      </c>
      <c r="C253" s="3157">
        <v>6670</v>
      </c>
      <c r="D253" s="3157">
        <v>6650</v>
      </c>
      <c r="E253" s="3157">
        <v>8350</v>
      </c>
      <c r="F253" s="3163">
        <v>1260</v>
      </c>
      <c r="G253" s="3163">
        <v>4080</v>
      </c>
      <c r="I253" s="970"/>
      <c r="J253" s="3192"/>
      <c r="K253" s="3192"/>
      <c r="L253" s="3192"/>
      <c r="M253" s="3192"/>
      <c r="N253" s="3192"/>
      <c r="O253" s="3192"/>
      <c r="P253" s="3192"/>
      <c r="Q253" s="3192"/>
      <c r="R253" s="3192"/>
      <c r="S253" s="3192"/>
      <c r="T253" s="3192"/>
      <c r="U253" s="3192"/>
    </row>
    <row r="254" spans="1:21" s="959" customFormat="1" ht="14.25" customHeight="1">
      <c r="A254" s="3157" t="s">
        <v>1155</v>
      </c>
      <c r="B254" s="3157" t="s">
        <v>1135</v>
      </c>
      <c r="C254" s="3166">
        <v>7630</v>
      </c>
      <c r="D254" s="3166">
        <v>7590</v>
      </c>
      <c r="E254" s="3166">
        <v>9380</v>
      </c>
      <c r="F254" s="3165">
        <v>1320</v>
      </c>
      <c r="G254" s="3163">
        <v>4660</v>
      </c>
      <c r="I254" s="970"/>
      <c r="J254" s="3192"/>
      <c r="K254" s="3192"/>
      <c r="L254" s="3192"/>
      <c r="M254" s="3192"/>
      <c r="N254" s="3192"/>
      <c r="O254" s="3192"/>
      <c r="P254" s="3192"/>
      <c r="Q254" s="3192"/>
      <c r="R254" s="3192"/>
      <c r="S254" s="3192"/>
      <c r="T254" s="3192"/>
      <c r="U254" s="3192"/>
    </row>
    <row r="255" spans="1:21" s="959" customFormat="1" ht="14.25" customHeight="1">
      <c r="A255" s="3157" t="s">
        <v>1155</v>
      </c>
      <c r="B255" s="3157" t="s">
        <v>1138</v>
      </c>
      <c r="C255" s="3166">
        <v>6940</v>
      </c>
      <c r="D255" s="3166">
        <v>6890</v>
      </c>
      <c r="E255" s="3166">
        <v>8650</v>
      </c>
      <c r="F255" s="3165">
        <v>1210</v>
      </c>
      <c r="G255" s="3163">
        <v>4230</v>
      </c>
      <c r="I255" s="970"/>
      <c r="J255" s="3192"/>
      <c r="K255" s="3192"/>
      <c r="L255" s="3192"/>
      <c r="M255" s="3192"/>
      <c r="N255" s="3192"/>
      <c r="O255" s="3192"/>
      <c r="P255" s="3192"/>
      <c r="Q255" s="3192"/>
      <c r="R255" s="3192"/>
      <c r="S255" s="3192"/>
      <c r="T255" s="3192"/>
      <c r="U255" s="3192"/>
    </row>
    <row r="256" spans="1:21" s="959" customFormat="1" ht="14.25" customHeight="1">
      <c r="A256" s="3157" t="s">
        <v>1155</v>
      </c>
      <c r="B256" s="3157" t="s">
        <v>2929</v>
      </c>
      <c r="C256" s="3157">
        <v>7520</v>
      </c>
      <c r="D256" s="3157">
        <v>7490</v>
      </c>
      <c r="E256" s="3157">
        <v>9240</v>
      </c>
      <c r="F256" s="3163">
        <v>1270</v>
      </c>
      <c r="G256" s="3163">
        <v>4590</v>
      </c>
      <c r="I256" s="970"/>
      <c r="J256" s="3192"/>
      <c r="K256" s="3192"/>
      <c r="L256" s="3192"/>
      <c r="M256" s="3192"/>
      <c r="N256" s="3192"/>
      <c r="O256" s="3192"/>
      <c r="P256" s="3192"/>
      <c r="Q256" s="3192"/>
      <c r="R256" s="3192"/>
      <c r="S256" s="3192"/>
      <c r="T256" s="3192"/>
      <c r="U256" s="3192"/>
    </row>
    <row r="257" spans="1:21" s="959" customFormat="1" ht="14.25" customHeight="1">
      <c r="A257" s="3157" t="s">
        <v>1155</v>
      </c>
      <c r="B257" s="3157" t="s">
        <v>1124</v>
      </c>
      <c r="C257" s="3157">
        <v>6280</v>
      </c>
      <c r="D257" s="3157">
        <v>6230</v>
      </c>
      <c r="E257" s="3157">
        <v>7740</v>
      </c>
      <c r="F257" s="3163">
        <v>1080</v>
      </c>
      <c r="G257" s="3163">
        <v>3830</v>
      </c>
      <c r="I257" s="970"/>
      <c r="J257" s="3192"/>
      <c r="K257" s="3192"/>
      <c r="L257" s="3192"/>
      <c r="M257" s="3192"/>
      <c r="N257" s="3192"/>
      <c r="O257" s="3192"/>
      <c r="P257" s="3192"/>
      <c r="Q257" s="3192"/>
      <c r="R257" s="3192"/>
      <c r="S257" s="3192"/>
      <c r="T257" s="3192"/>
      <c r="U257" s="3192"/>
    </row>
    <row r="258" spans="1:21" s="959" customFormat="1" ht="14.25" customHeight="1">
      <c r="A258" s="3157" t="s">
        <v>1155</v>
      </c>
      <c r="B258" s="3157" t="s">
        <v>2930</v>
      </c>
      <c r="C258" s="3157">
        <v>6190</v>
      </c>
      <c r="D258" s="3157">
        <v>6160</v>
      </c>
      <c r="E258" s="3157">
        <v>7680</v>
      </c>
      <c r="F258" s="3163">
        <v>1170</v>
      </c>
      <c r="G258" s="3163">
        <v>3780</v>
      </c>
      <c r="I258" s="970"/>
      <c r="J258" s="3192"/>
      <c r="K258" s="3192"/>
      <c r="L258" s="3192"/>
      <c r="M258" s="3192"/>
      <c r="N258" s="3192"/>
      <c r="O258" s="3192"/>
      <c r="P258" s="3192"/>
      <c r="Q258" s="3192"/>
      <c r="R258" s="3192"/>
      <c r="S258" s="3192"/>
      <c r="T258" s="3192"/>
      <c r="U258" s="3192"/>
    </row>
    <row r="259" spans="1:21" s="959" customFormat="1" ht="14.25" customHeight="1">
      <c r="A259" s="3157" t="s">
        <v>1155</v>
      </c>
      <c r="B259" s="3157" t="s">
        <v>2931</v>
      </c>
      <c r="C259" s="3157">
        <v>7610</v>
      </c>
      <c r="D259" s="3157">
        <v>7570</v>
      </c>
      <c r="E259" s="3157">
        <v>9350</v>
      </c>
      <c r="F259" s="3163">
        <v>1350</v>
      </c>
      <c r="G259" s="3163">
        <v>4650</v>
      </c>
      <c r="I259" s="970"/>
      <c r="J259" s="3192"/>
      <c r="K259" s="3192"/>
      <c r="L259" s="3192"/>
      <c r="M259" s="3192"/>
      <c r="N259" s="3192"/>
      <c r="O259" s="3192"/>
      <c r="P259" s="3192"/>
      <c r="Q259" s="3192"/>
      <c r="R259" s="3192"/>
      <c r="S259" s="3192"/>
      <c r="T259" s="3192"/>
      <c r="U259" s="3192"/>
    </row>
    <row r="260" spans="1:21" s="959" customFormat="1" ht="14.25" customHeight="1">
      <c r="A260" s="3157" t="s">
        <v>1155</v>
      </c>
      <c r="B260" s="3157" t="s">
        <v>2932</v>
      </c>
      <c r="C260" s="3157">
        <v>6920</v>
      </c>
      <c r="D260" s="3157">
        <v>6880</v>
      </c>
      <c r="E260" s="3157">
        <v>8380</v>
      </c>
      <c r="F260" s="3163">
        <v>1160</v>
      </c>
      <c r="G260" s="3163">
        <v>4220</v>
      </c>
      <c r="I260" s="970"/>
      <c r="J260" s="3192"/>
      <c r="K260" s="3192"/>
      <c r="L260" s="3192"/>
      <c r="M260" s="3192"/>
      <c r="N260" s="3192"/>
      <c r="O260" s="3192"/>
      <c r="P260" s="3192"/>
      <c r="Q260" s="3192"/>
      <c r="R260" s="3192"/>
      <c r="S260" s="3192"/>
      <c r="T260" s="3192"/>
      <c r="U260" s="3192"/>
    </row>
    <row r="261" spans="1:21" s="959" customFormat="1" ht="14.25" customHeight="1">
      <c r="A261" s="3157" t="s">
        <v>1155</v>
      </c>
      <c r="B261" s="3157" t="s">
        <v>2933</v>
      </c>
      <c r="C261" s="3157">
        <v>6850</v>
      </c>
      <c r="D261" s="3157">
        <v>6810</v>
      </c>
      <c r="E261" s="3157">
        <v>8290</v>
      </c>
      <c r="F261" s="3163">
        <v>1130</v>
      </c>
      <c r="G261" s="3163">
        <v>4180</v>
      </c>
      <c r="I261" s="970"/>
      <c r="J261" s="3192"/>
      <c r="K261" s="3192"/>
      <c r="L261" s="3192"/>
      <c r="M261" s="3192"/>
      <c r="N261" s="3192"/>
      <c r="O261" s="3192"/>
      <c r="P261" s="3192"/>
      <c r="Q261" s="3192"/>
      <c r="R261" s="3192"/>
      <c r="S261" s="3192"/>
      <c r="T261" s="3192"/>
      <c r="U261" s="3192"/>
    </row>
    <row r="262" spans="1:21" s="959" customFormat="1" ht="14.25" customHeight="1">
      <c r="A262" s="3157" t="s">
        <v>1155</v>
      </c>
      <c r="B262" s="3157" t="s">
        <v>2934</v>
      </c>
      <c r="C262" s="3157">
        <v>5860</v>
      </c>
      <c r="D262" s="3157">
        <v>5820</v>
      </c>
      <c r="E262" s="3157">
        <v>7640</v>
      </c>
      <c r="F262" s="3163">
        <v>1070</v>
      </c>
      <c r="G262" s="3165">
        <v>3570</v>
      </c>
      <c r="I262" s="970"/>
      <c r="J262" s="3192"/>
      <c r="K262" s="3192"/>
      <c r="L262" s="3192"/>
      <c r="M262" s="3192"/>
      <c r="N262" s="3192"/>
      <c r="O262" s="3192"/>
      <c r="P262" s="3192"/>
      <c r="Q262" s="3192"/>
      <c r="R262" s="3192"/>
      <c r="S262" s="3192"/>
      <c r="T262" s="3192"/>
      <c r="U262" s="3192"/>
    </row>
    <row r="263" spans="1:21" s="959" customFormat="1" ht="14.25" customHeight="1">
      <c r="A263" s="3157" t="s">
        <v>1155</v>
      </c>
      <c r="B263" s="3157" t="s">
        <v>2935</v>
      </c>
      <c r="C263" s="3157">
        <v>5870</v>
      </c>
      <c r="D263" s="3157">
        <v>5840</v>
      </c>
      <c r="E263" s="3157">
        <v>7270</v>
      </c>
      <c r="F263" s="3163">
        <v>1190</v>
      </c>
      <c r="G263" s="3163">
        <v>3580</v>
      </c>
      <c r="I263" s="970"/>
      <c r="J263" s="3192"/>
      <c r="K263" s="3192"/>
      <c r="L263" s="3192"/>
      <c r="M263" s="3192"/>
      <c r="N263" s="3192"/>
      <c r="O263" s="3192"/>
      <c r="P263" s="3192"/>
      <c r="Q263" s="3192"/>
      <c r="R263" s="3192"/>
      <c r="S263" s="3192"/>
      <c r="T263" s="3192"/>
      <c r="U263" s="3192"/>
    </row>
    <row r="264" spans="1:21" s="959" customFormat="1" ht="14.25" customHeight="1">
      <c r="A264" s="3157" t="s">
        <v>1155</v>
      </c>
      <c r="B264" s="3157" t="s">
        <v>1148</v>
      </c>
      <c r="C264" s="3157">
        <v>6190</v>
      </c>
      <c r="D264" s="3157">
        <v>6150</v>
      </c>
      <c r="E264" s="3157">
        <v>7660</v>
      </c>
      <c r="F264" s="3163">
        <v>1160</v>
      </c>
      <c r="G264" s="3163">
        <v>3770</v>
      </c>
      <c r="I264" s="970"/>
      <c r="J264" s="3192"/>
      <c r="K264" s="3192"/>
      <c r="L264" s="3192"/>
      <c r="M264" s="3192"/>
      <c r="N264" s="3192"/>
      <c r="O264" s="3192"/>
      <c r="P264" s="3192"/>
      <c r="Q264" s="3192"/>
      <c r="R264" s="3192"/>
      <c r="S264" s="3192"/>
      <c r="T264" s="3192"/>
      <c r="U264" s="3192"/>
    </row>
    <row r="265" spans="1:21" s="959" customFormat="1" ht="14.25" customHeight="1">
      <c r="A265" s="3157" t="s">
        <v>1155</v>
      </c>
      <c r="B265" s="3157" t="s">
        <v>2936</v>
      </c>
      <c r="C265" s="3157"/>
      <c r="D265" s="3157"/>
      <c r="E265" s="3157"/>
      <c r="F265" s="3163">
        <v>1500</v>
      </c>
      <c r="G265" s="3163"/>
      <c r="I265" s="970"/>
      <c r="J265" s="3192"/>
      <c r="K265" s="3192"/>
      <c r="L265" s="3192"/>
      <c r="M265" s="3192"/>
      <c r="N265" s="3192"/>
      <c r="O265" s="3192"/>
      <c r="P265" s="3192"/>
      <c r="Q265" s="3192"/>
      <c r="R265" s="3192"/>
      <c r="S265" s="3192"/>
      <c r="T265" s="3192"/>
      <c r="U265" s="3192"/>
    </row>
    <row r="266" spans="1:21" s="959" customFormat="1" ht="14.25" customHeight="1">
      <c r="A266" s="3157" t="s">
        <v>1155</v>
      </c>
      <c r="B266" s="3157" t="s">
        <v>2937</v>
      </c>
      <c r="C266" s="3157"/>
      <c r="D266" s="3157"/>
      <c r="E266" s="3157"/>
      <c r="F266" s="3163">
        <v>1500</v>
      </c>
      <c r="G266" s="3163"/>
      <c r="I266" s="970"/>
      <c r="J266" s="3192"/>
      <c r="K266" s="3192"/>
      <c r="L266" s="3192"/>
      <c r="M266" s="3192"/>
      <c r="N266" s="3192"/>
      <c r="O266" s="3192"/>
      <c r="P266" s="3192"/>
      <c r="Q266" s="3192"/>
      <c r="R266" s="3192"/>
      <c r="S266" s="3192"/>
      <c r="T266" s="3192"/>
      <c r="U266" s="3192"/>
    </row>
    <row r="267" spans="1:21" s="959" customFormat="1" ht="14.25" customHeight="1">
      <c r="A267" s="3157" t="s">
        <v>1155</v>
      </c>
      <c r="B267" s="3157" t="s">
        <v>2938</v>
      </c>
      <c r="C267" s="3157"/>
      <c r="D267" s="3157"/>
      <c r="E267" s="3157"/>
      <c r="F267" s="3163">
        <v>1500</v>
      </c>
      <c r="G267" s="3165"/>
      <c r="I267" s="970"/>
      <c r="J267" s="3192"/>
      <c r="K267" s="3192"/>
      <c r="L267" s="3192"/>
      <c r="M267" s="3192"/>
      <c r="N267" s="3192"/>
      <c r="O267" s="3192"/>
      <c r="P267" s="3192"/>
      <c r="Q267" s="3192"/>
      <c r="R267" s="3192"/>
      <c r="S267" s="3192"/>
      <c r="T267" s="3192"/>
      <c r="U267" s="3192"/>
    </row>
    <row r="268" spans="1:21" s="959" customFormat="1" ht="14.25" customHeight="1">
      <c r="A268" s="3157" t="s">
        <v>1155</v>
      </c>
      <c r="B268" s="3157" t="s">
        <v>2939</v>
      </c>
      <c r="C268" s="3157"/>
      <c r="D268" s="3157"/>
      <c r="E268" s="3157"/>
      <c r="F268" s="3163">
        <v>1290</v>
      </c>
      <c r="G268" s="3163"/>
      <c r="I268" s="970"/>
      <c r="J268" s="3192"/>
      <c r="K268" s="3192"/>
      <c r="L268" s="3192"/>
      <c r="M268" s="3192"/>
      <c r="N268" s="3192"/>
      <c r="O268" s="3192"/>
      <c r="P268" s="3192"/>
      <c r="Q268" s="3192"/>
      <c r="R268" s="3192"/>
      <c r="S268" s="3192"/>
      <c r="T268" s="3192"/>
      <c r="U268" s="3192"/>
    </row>
    <row r="269" spans="1:21" s="959" customFormat="1" ht="14.25" customHeight="1">
      <c r="A269" s="3157" t="s">
        <v>1155</v>
      </c>
      <c r="B269" s="3157" t="s">
        <v>2940</v>
      </c>
      <c r="C269" s="3157"/>
      <c r="D269" s="3157"/>
      <c r="E269" s="3157"/>
      <c r="F269" s="3163">
        <v>1150</v>
      </c>
      <c r="G269" s="3163"/>
      <c r="I269" s="970"/>
      <c r="J269" s="3192"/>
      <c r="K269" s="3192"/>
      <c r="L269" s="3192"/>
      <c r="M269" s="3192"/>
      <c r="N269" s="3192"/>
      <c r="O269" s="3192"/>
      <c r="P269" s="3192"/>
      <c r="Q269" s="3192"/>
      <c r="R269" s="3192"/>
      <c r="S269" s="3192"/>
      <c r="T269" s="3192"/>
      <c r="U269" s="3192"/>
    </row>
    <row r="270" spans="1:21" s="959" customFormat="1" ht="14.25" customHeight="1">
      <c r="A270" s="3157" t="s">
        <v>1155</v>
      </c>
      <c r="B270" s="3157" t="s">
        <v>2941</v>
      </c>
      <c r="C270" s="3157"/>
      <c r="D270" s="3157"/>
      <c r="E270" s="3157"/>
      <c r="F270" s="3163">
        <v>1380</v>
      </c>
      <c r="G270" s="3163"/>
      <c r="I270" s="970"/>
      <c r="J270" s="3192"/>
      <c r="K270" s="3192"/>
      <c r="L270" s="3192"/>
      <c r="M270" s="3192"/>
      <c r="N270" s="3192"/>
      <c r="O270" s="3192"/>
      <c r="P270" s="3192"/>
      <c r="Q270" s="3192"/>
      <c r="R270" s="3192"/>
      <c r="S270" s="3192"/>
      <c r="T270" s="3192"/>
      <c r="U270" s="3192"/>
    </row>
    <row r="271" spans="1:21" s="959" customFormat="1" ht="14.25" customHeight="1">
      <c r="A271" s="3157" t="s">
        <v>1155</v>
      </c>
      <c r="B271" s="3157" t="s">
        <v>2942</v>
      </c>
      <c r="C271" s="3157"/>
      <c r="D271" s="3157"/>
      <c r="E271" s="3157"/>
      <c r="F271" s="3163">
        <v>1460</v>
      </c>
      <c r="G271" s="3163"/>
      <c r="I271" s="970"/>
      <c r="J271" s="3192"/>
      <c r="K271" s="3192"/>
      <c r="L271" s="3192"/>
      <c r="M271" s="3192"/>
      <c r="N271" s="3192"/>
      <c r="O271" s="3192"/>
      <c r="P271" s="3192"/>
      <c r="Q271" s="3192"/>
      <c r="R271" s="3192"/>
      <c r="S271" s="3192"/>
      <c r="T271" s="3192"/>
      <c r="U271" s="3192"/>
    </row>
    <row r="272" spans="1:21" s="959" customFormat="1" ht="14.25" customHeight="1">
      <c r="A272" s="3157" t="s">
        <v>1155</v>
      </c>
      <c r="B272" s="3157" t="s">
        <v>2943</v>
      </c>
      <c r="C272" s="3166"/>
      <c r="D272" s="3166"/>
      <c r="E272" s="3166"/>
      <c r="F272" s="3165">
        <v>1460</v>
      </c>
      <c r="G272" s="3163"/>
      <c r="I272" s="970"/>
      <c r="J272" s="3192"/>
      <c r="K272" s="3192"/>
      <c r="L272" s="3192"/>
      <c r="M272" s="3192"/>
      <c r="N272" s="3192"/>
      <c r="O272" s="3192"/>
      <c r="P272" s="3192"/>
      <c r="Q272" s="3192"/>
      <c r="R272" s="3192"/>
      <c r="S272" s="3192"/>
      <c r="T272" s="3192"/>
      <c r="U272" s="3192"/>
    </row>
    <row r="273" spans="1:21" s="959" customFormat="1" ht="14.25" customHeight="1">
      <c r="A273" s="3157" t="s">
        <v>1155</v>
      </c>
      <c r="B273" s="3157" t="s">
        <v>2944</v>
      </c>
      <c r="C273" s="3157"/>
      <c r="D273" s="3157"/>
      <c r="E273" s="3157"/>
      <c r="F273" s="3163">
        <v>1490</v>
      </c>
      <c r="G273" s="3163"/>
      <c r="I273" s="970"/>
      <c r="J273" s="3192"/>
      <c r="K273" s="3192"/>
      <c r="L273" s="3192"/>
      <c r="M273" s="3192"/>
      <c r="N273" s="3192"/>
      <c r="O273" s="3192"/>
      <c r="P273" s="3192"/>
      <c r="Q273" s="3192"/>
      <c r="R273" s="3192"/>
      <c r="S273" s="3192"/>
      <c r="T273" s="3192"/>
      <c r="U273" s="3192"/>
    </row>
    <row r="274" spans="1:21" s="959" customFormat="1" ht="14.25" customHeight="1">
      <c r="A274" s="3157" t="s">
        <v>1155</v>
      </c>
      <c r="B274" s="3157" t="s">
        <v>2945</v>
      </c>
      <c r="C274" s="3157"/>
      <c r="D274" s="3157"/>
      <c r="E274" s="3157"/>
      <c r="F274" s="3163">
        <v>1490</v>
      </c>
      <c r="G274" s="3163"/>
      <c r="I274" s="970"/>
      <c r="J274" s="3192"/>
      <c r="K274" s="3192"/>
      <c r="L274" s="3192"/>
      <c r="M274" s="3192"/>
      <c r="N274" s="3192"/>
      <c r="O274" s="3192"/>
      <c r="P274" s="3192"/>
      <c r="Q274" s="3192"/>
      <c r="R274" s="3192"/>
      <c r="S274" s="3192"/>
      <c r="T274" s="3192"/>
      <c r="U274" s="3192"/>
    </row>
    <row r="275" spans="1:21" s="959" customFormat="1" ht="14.25" customHeight="1">
      <c r="A275" s="3157" t="s">
        <v>1155</v>
      </c>
      <c r="B275" s="3157" t="s">
        <v>2946</v>
      </c>
      <c r="C275" s="3157"/>
      <c r="D275" s="3157"/>
      <c r="E275" s="3157"/>
      <c r="F275" s="3163">
        <v>1220</v>
      </c>
      <c r="G275" s="3163"/>
      <c r="I275" s="970"/>
      <c r="J275" s="3192"/>
      <c r="K275" s="3192"/>
      <c r="L275" s="3192"/>
      <c r="M275" s="3192"/>
      <c r="N275" s="3192"/>
      <c r="O275" s="3192"/>
      <c r="P275" s="3192"/>
      <c r="Q275" s="3192"/>
      <c r="R275" s="3192"/>
      <c r="S275" s="3192"/>
      <c r="T275" s="3192"/>
      <c r="U275" s="3192"/>
    </row>
    <row r="276" spans="1:21" s="959" customFormat="1" ht="14.25" customHeight="1" thickBot="1">
      <c r="A276" s="3172" t="s">
        <v>1155</v>
      </c>
      <c r="B276" s="3160" t="s">
        <v>2947</v>
      </c>
      <c r="C276" s="3160"/>
      <c r="D276" s="3160"/>
      <c r="E276" s="3160"/>
      <c r="F276" s="3161">
        <v>1380</v>
      </c>
      <c r="G276" s="3173"/>
      <c r="I276" s="970"/>
      <c r="J276" s="3192"/>
      <c r="K276" s="3192"/>
      <c r="L276" s="3192"/>
      <c r="M276" s="3192"/>
      <c r="N276" s="3192"/>
      <c r="O276" s="3192"/>
      <c r="P276" s="3192"/>
      <c r="Q276" s="3192"/>
      <c r="R276" s="3192"/>
      <c r="S276" s="3192"/>
      <c r="T276" s="3192"/>
      <c r="U276" s="3192"/>
    </row>
    <row r="277" spans="1:21" s="959" customFormat="1" ht="14.25" customHeight="1">
      <c r="A277" s="3171" t="s">
        <v>1156</v>
      </c>
      <c r="B277" s="1215" t="s">
        <v>2948</v>
      </c>
      <c r="C277" s="1215">
        <v>5790</v>
      </c>
      <c r="D277" s="1215">
        <v>5740</v>
      </c>
      <c r="E277" s="1215">
        <v>6730</v>
      </c>
      <c r="F277" s="3158">
        <v>1110</v>
      </c>
      <c r="G277" s="3158">
        <v>3460</v>
      </c>
      <c r="I277" s="970"/>
      <c r="J277" s="3192"/>
      <c r="K277" s="3192"/>
      <c r="L277" s="3192"/>
      <c r="M277" s="3192"/>
      <c r="N277" s="3192"/>
      <c r="O277" s="3192"/>
      <c r="P277" s="3192"/>
      <c r="Q277" s="3192"/>
      <c r="R277" s="3192"/>
      <c r="S277" s="3192"/>
      <c r="T277" s="3192"/>
      <c r="U277" s="3192"/>
    </row>
    <row r="278" spans="1:21" s="959" customFormat="1" ht="14.25" customHeight="1">
      <c r="A278" s="3157" t="s">
        <v>1156</v>
      </c>
      <c r="B278" s="3157" t="s">
        <v>980</v>
      </c>
      <c r="C278" s="3157">
        <v>5740</v>
      </c>
      <c r="D278" s="3157">
        <v>5670</v>
      </c>
      <c r="E278" s="3157">
        <v>6680</v>
      </c>
      <c r="F278" s="3163">
        <v>1070</v>
      </c>
      <c r="G278" s="3163">
        <v>3420</v>
      </c>
      <c r="I278" s="970"/>
      <c r="J278" s="3192"/>
      <c r="K278" s="3192"/>
      <c r="L278" s="3192"/>
      <c r="M278" s="3192"/>
      <c r="N278" s="3192"/>
      <c r="O278" s="3192"/>
      <c r="P278" s="3192"/>
      <c r="Q278" s="3192"/>
      <c r="R278" s="3192"/>
      <c r="S278" s="3192"/>
      <c r="T278" s="3192"/>
      <c r="U278" s="3192"/>
    </row>
    <row r="279" spans="1:21" s="959" customFormat="1" ht="14.25" customHeight="1">
      <c r="A279" s="3157" t="s">
        <v>1156</v>
      </c>
      <c r="B279" s="3157" t="s">
        <v>2949</v>
      </c>
      <c r="C279" s="3157">
        <v>4760</v>
      </c>
      <c r="D279" s="3157">
        <v>4720</v>
      </c>
      <c r="E279" s="3157">
        <v>5540</v>
      </c>
      <c r="F279" s="3163">
        <v>810</v>
      </c>
      <c r="G279" s="3163">
        <v>2850</v>
      </c>
      <c r="I279" s="970"/>
      <c r="J279" s="3192"/>
      <c r="K279" s="3192"/>
      <c r="L279" s="3192"/>
      <c r="M279" s="3192"/>
      <c r="N279" s="3192"/>
      <c r="O279" s="3192"/>
      <c r="P279" s="3192"/>
      <c r="Q279" s="3192"/>
      <c r="R279" s="3192"/>
      <c r="S279" s="3192"/>
      <c r="T279" s="3192"/>
      <c r="U279" s="3192"/>
    </row>
    <row r="280" spans="1:21" s="959" customFormat="1" ht="14.25" customHeight="1">
      <c r="A280" s="3157" t="s">
        <v>1156</v>
      </c>
      <c r="B280" s="3157" t="s">
        <v>2950</v>
      </c>
      <c r="C280" s="3157">
        <v>4010</v>
      </c>
      <c r="D280" s="3157">
        <v>3950</v>
      </c>
      <c r="E280" s="3157">
        <v>4710</v>
      </c>
      <c r="F280" s="3163">
        <v>800</v>
      </c>
      <c r="G280" s="3163">
        <v>2390</v>
      </c>
      <c r="I280" s="970"/>
      <c r="J280" s="3192"/>
      <c r="K280" s="3192"/>
      <c r="L280" s="3192"/>
      <c r="M280" s="3192"/>
      <c r="N280" s="3192"/>
      <c r="O280" s="3192"/>
      <c r="P280" s="3192"/>
      <c r="Q280" s="3192"/>
      <c r="R280" s="3192"/>
      <c r="S280" s="3192"/>
      <c r="T280" s="3192"/>
      <c r="U280" s="3192"/>
    </row>
    <row r="281" spans="1:21" s="959" customFormat="1" ht="14.25" customHeight="1">
      <c r="A281" s="3157" t="s">
        <v>1156</v>
      </c>
      <c r="B281" s="3157" t="s">
        <v>2951</v>
      </c>
      <c r="C281" s="3157">
        <v>4480</v>
      </c>
      <c r="D281" s="3157">
        <v>4420</v>
      </c>
      <c r="E281" s="3157">
        <v>5230</v>
      </c>
      <c r="F281" s="3163">
        <v>870</v>
      </c>
      <c r="G281" s="3163">
        <v>2660</v>
      </c>
      <c r="I281" s="970"/>
      <c r="J281" s="3192"/>
      <c r="K281" s="3192"/>
      <c r="L281" s="3192"/>
      <c r="M281" s="3192"/>
      <c r="N281" s="3192"/>
      <c r="O281" s="3192"/>
      <c r="P281" s="3192"/>
      <c r="Q281" s="3192"/>
      <c r="R281" s="3192"/>
      <c r="S281" s="3192"/>
      <c r="T281" s="3192"/>
      <c r="U281" s="3192"/>
    </row>
    <row r="282" spans="1:21" s="959" customFormat="1" ht="14.25" customHeight="1">
      <c r="A282" s="3157" t="s">
        <v>1156</v>
      </c>
      <c r="B282" s="3157" t="s">
        <v>2952</v>
      </c>
      <c r="C282" s="3157">
        <v>5360</v>
      </c>
      <c r="D282" s="3157">
        <v>5300</v>
      </c>
      <c r="E282" s="3157">
        <v>6190</v>
      </c>
      <c r="F282" s="3163">
        <v>950</v>
      </c>
      <c r="G282" s="3163">
        <v>3190</v>
      </c>
      <c r="I282" s="970"/>
      <c r="J282" s="3192"/>
      <c r="K282" s="3192"/>
      <c r="L282" s="3192"/>
      <c r="M282" s="3192"/>
      <c r="N282" s="3192"/>
      <c r="O282" s="3192"/>
      <c r="P282" s="3192"/>
      <c r="Q282" s="3192"/>
      <c r="R282" s="3192"/>
      <c r="S282" s="3192"/>
      <c r="T282" s="3192"/>
      <c r="U282" s="3192"/>
    </row>
    <row r="283" spans="1:21" s="959" customFormat="1" ht="14.25" customHeight="1">
      <c r="A283" s="3157" t="s">
        <v>1156</v>
      </c>
      <c r="B283" s="3157" t="s">
        <v>1021</v>
      </c>
      <c r="C283" s="3157">
        <v>4950</v>
      </c>
      <c r="D283" s="3157">
        <v>4900</v>
      </c>
      <c r="E283" s="3157">
        <v>5720</v>
      </c>
      <c r="F283" s="3163">
        <v>920</v>
      </c>
      <c r="G283" s="3163">
        <v>2950</v>
      </c>
      <c r="I283" s="970"/>
      <c r="J283" s="3192"/>
      <c r="K283" s="3192"/>
      <c r="L283" s="3192"/>
      <c r="M283" s="3192"/>
      <c r="N283" s="3192"/>
      <c r="O283" s="3192"/>
      <c r="P283" s="3192"/>
      <c r="Q283" s="3192"/>
      <c r="R283" s="3192"/>
      <c r="S283" s="3192"/>
      <c r="T283" s="3192"/>
      <c r="U283" s="3192"/>
    </row>
    <row r="284" spans="1:21" s="959" customFormat="1" ht="14.25" customHeight="1">
      <c r="A284" s="3157" t="s">
        <v>1156</v>
      </c>
      <c r="B284" s="3157" t="s">
        <v>1029</v>
      </c>
      <c r="C284" s="3157">
        <v>5610</v>
      </c>
      <c r="D284" s="3157">
        <v>5560</v>
      </c>
      <c r="E284" s="3157">
        <v>6520</v>
      </c>
      <c r="F284" s="3163">
        <v>1030</v>
      </c>
      <c r="G284" s="3163">
        <v>3360</v>
      </c>
      <c r="I284" s="970"/>
      <c r="J284" s="3192"/>
      <c r="K284" s="3192"/>
      <c r="L284" s="3192"/>
      <c r="M284" s="3192"/>
      <c r="N284" s="3192"/>
      <c r="O284" s="3192"/>
      <c r="P284" s="3192"/>
      <c r="Q284" s="3192"/>
      <c r="R284" s="3192"/>
      <c r="S284" s="3192"/>
      <c r="T284" s="3192"/>
      <c r="U284" s="3192"/>
    </row>
    <row r="285" spans="1:21" s="959" customFormat="1" ht="14.25" customHeight="1">
      <c r="A285" s="3157" t="s">
        <v>1156</v>
      </c>
      <c r="B285" s="3157" t="s">
        <v>1039</v>
      </c>
      <c r="C285" s="3157">
        <v>5340</v>
      </c>
      <c r="D285" s="3157">
        <v>5290</v>
      </c>
      <c r="E285" s="3157">
        <v>6170</v>
      </c>
      <c r="F285" s="3163">
        <v>1080</v>
      </c>
      <c r="G285" s="3163">
        <v>3180</v>
      </c>
      <c r="I285" s="970"/>
      <c r="J285" s="3192"/>
      <c r="K285" s="3192"/>
      <c r="L285" s="3192"/>
      <c r="M285" s="3192"/>
      <c r="N285" s="3192"/>
      <c r="O285" s="3192"/>
      <c r="P285" s="3192"/>
      <c r="Q285" s="3192"/>
      <c r="R285" s="3192"/>
      <c r="S285" s="3192"/>
      <c r="T285" s="3192"/>
      <c r="U285" s="3192"/>
    </row>
    <row r="286" spans="1:21" s="959" customFormat="1" ht="14.25" customHeight="1">
      <c r="A286" s="3157" t="s">
        <v>1156</v>
      </c>
      <c r="B286" s="3157" t="s">
        <v>1046</v>
      </c>
      <c r="C286" s="3157">
        <v>4890</v>
      </c>
      <c r="D286" s="3157">
        <v>4840</v>
      </c>
      <c r="E286" s="3157">
        <v>5640</v>
      </c>
      <c r="F286" s="3163">
        <v>960</v>
      </c>
      <c r="G286" s="3163">
        <v>2910</v>
      </c>
      <c r="I286" s="970"/>
      <c r="J286" s="3192"/>
      <c r="K286" s="3192"/>
      <c r="L286" s="3192"/>
      <c r="M286" s="3192"/>
      <c r="N286" s="3192"/>
      <c r="O286" s="3192"/>
      <c r="P286" s="3192"/>
      <c r="Q286" s="3192"/>
      <c r="R286" s="3192"/>
      <c r="S286" s="3192"/>
      <c r="T286" s="3192"/>
      <c r="U286" s="3192"/>
    </row>
    <row r="287" spans="1:21" s="959" customFormat="1" ht="14.25" customHeight="1">
      <c r="A287" s="3157" t="s">
        <v>1156</v>
      </c>
      <c r="B287" s="3157" t="s">
        <v>2953</v>
      </c>
      <c r="C287" s="3157">
        <v>4960</v>
      </c>
      <c r="D287" s="3157">
        <v>4920</v>
      </c>
      <c r="E287" s="3157">
        <v>5730</v>
      </c>
      <c r="F287" s="3163">
        <v>930</v>
      </c>
      <c r="G287" s="3163">
        <v>2960</v>
      </c>
      <c r="I287" s="970"/>
      <c r="J287" s="3192"/>
      <c r="K287" s="3192"/>
      <c r="L287" s="3192"/>
      <c r="M287" s="3192"/>
      <c r="N287" s="3192"/>
      <c r="O287" s="3192"/>
      <c r="P287" s="3192"/>
      <c r="Q287" s="3192"/>
      <c r="R287" s="3192"/>
      <c r="S287" s="3192"/>
      <c r="T287" s="3192"/>
      <c r="U287" s="3192"/>
    </row>
    <row r="288" spans="1:21" s="959" customFormat="1" ht="14.25" customHeight="1">
      <c r="A288" s="3157" t="s">
        <v>1156</v>
      </c>
      <c r="B288" s="3157" t="s">
        <v>1067</v>
      </c>
      <c r="C288" s="3157">
        <v>4350</v>
      </c>
      <c r="D288" s="3157">
        <v>4300</v>
      </c>
      <c r="E288" s="3157">
        <v>4900</v>
      </c>
      <c r="F288" s="3163">
        <v>820</v>
      </c>
      <c r="G288" s="3163">
        <v>2590</v>
      </c>
      <c r="I288" s="970"/>
      <c r="J288" s="3192"/>
      <c r="K288" s="3192"/>
      <c r="L288" s="3192"/>
      <c r="M288" s="3192"/>
      <c r="N288" s="3192"/>
      <c r="O288" s="3192"/>
      <c r="P288" s="3192"/>
      <c r="Q288" s="3192"/>
      <c r="R288" s="3192"/>
      <c r="S288" s="3192"/>
      <c r="T288" s="3192"/>
      <c r="U288" s="3192"/>
    </row>
    <row r="289" spans="1:21" s="959" customFormat="1" ht="14.25" customHeight="1">
      <c r="A289" s="3157" t="s">
        <v>1156</v>
      </c>
      <c r="B289" s="3157" t="s">
        <v>2954</v>
      </c>
      <c r="C289" s="3157">
        <v>5230</v>
      </c>
      <c r="D289" s="3157">
        <v>5170</v>
      </c>
      <c r="E289" s="3157">
        <v>6060</v>
      </c>
      <c r="F289" s="3157">
        <v>900</v>
      </c>
      <c r="G289" s="3157">
        <v>3120</v>
      </c>
      <c r="H289" s="956"/>
      <c r="I289" s="970"/>
      <c r="J289" s="3192"/>
      <c r="K289" s="3192"/>
      <c r="L289" s="3192"/>
      <c r="M289" s="3192"/>
      <c r="N289" s="3192"/>
      <c r="O289" s="3192"/>
      <c r="P289" s="3192"/>
      <c r="Q289" s="3192"/>
      <c r="R289" s="3192"/>
      <c r="S289" s="3192"/>
      <c r="T289" s="3192"/>
      <c r="U289" s="3192"/>
    </row>
    <row r="290" spans="1:21" s="959" customFormat="1" ht="14.25" customHeight="1">
      <c r="A290" s="1215" t="s">
        <v>1156</v>
      </c>
      <c r="B290" s="1215" t="s">
        <v>1090</v>
      </c>
      <c r="C290" s="1215">
        <v>5550</v>
      </c>
      <c r="D290" s="1215">
        <v>5500</v>
      </c>
      <c r="E290" s="1215">
        <v>6440</v>
      </c>
      <c r="F290" s="3158">
        <v>960</v>
      </c>
      <c r="G290" s="3174">
        <v>3320</v>
      </c>
      <c r="I290" s="970"/>
      <c r="J290" s="3192"/>
      <c r="K290" s="3192"/>
      <c r="L290" s="3192"/>
      <c r="M290" s="3192"/>
      <c r="N290" s="3192"/>
      <c r="O290" s="3192"/>
      <c r="P290" s="3192"/>
      <c r="Q290" s="3192"/>
      <c r="R290" s="3192"/>
      <c r="S290" s="3192"/>
      <c r="T290" s="3192"/>
      <c r="U290" s="3192"/>
    </row>
    <row r="291" spans="1:21" s="959" customFormat="1" ht="14.25" customHeight="1">
      <c r="A291" s="3157" t="s">
        <v>1156</v>
      </c>
      <c r="B291" s="3157" t="s">
        <v>1098</v>
      </c>
      <c r="C291" s="3157">
        <v>5440</v>
      </c>
      <c r="D291" s="3157">
        <v>5400</v>
      </c>
      <c r="E291" s="3157">
        <v>6320</v>
      </c>
      <c r="F291" s="3163">
        <v>930</v>
      </c>
      <c r="G291" s="3165">
        <v>3250</v>
      </c>
      <c r="I291" s="970"/>
      <c r="J291" s="3192"/>
      <c r="K291" s="3192"/>
      <c r="L291" s="3192"/>
      <c r="M291" s="3192"/>
      <c r="N291" s="3192"/>
      <c r="O291" s="3192"/>
      <c r="P291" s="3192"/>
      <c r="Q291" s="3192"/>
      <c r="R291" s="3192"/>
      <c r="S291" s="3192"/>
      <c r="T291" s="3192"/>
      <c r="U291" s="3192"/>
    </row>
    <row r="292" spans="1:21" s="959" customFormat="1" ht="14.25" customHeight="1">
      <c r="A292" s="3157" t="s">
        <v>1156</v>
      </c>
      <c r="B292" s="3157" t="s">
        <v>1104</v>
      </c>
      <c r="C292" s="3157">
        <v>5400</v>
      </c>
      <c r="D292" s="3157">
        <v>5360</v>
      </c>
      <c r="E292" s="3157">
        <v>6270</v>
      </c>
      <c r="F292" s="3163">
        <v>1040</v>
      </c>
      <c r="G292" s="3163">
        <v>3230</v>
      </c>
      <c r="I292" s="970"/>
      <c r="J292" s="3192"/>
      <c r="K292" s="3192"/>
      <c r="L292" s="3192"/>
      <c r="M292" s="3192"/>
      <c r="N292" s="3192"/>
      <c r="O292" s="3192"/>
      <c r="P292" s="3192"/>
      <c r="Q292" s="3192"/>
      <c r="R292" s="3192"/>
      <c r="S292" s="3192"/>
      <c r="T292" s="3192"/>
      <c r="U292" s="3192"/>
    </row>
    <row r="293" spans="1:21" s="959" customFormat="1" ht="14.25" customHeight="1">
      <c r="A293" s="3157" t="s">
        <v>1156</v>
      </c>
      <c r="B293" s="3157" t="s">
        <v>2955</v>
      </c>
      <c r="C293" s="3157">
        <v>5320</v>
      </c>
      <c r="D293" s="3157">
        <v>5270</v>
      </c>
      <c r="E293" s="3157">
        <v>6160</v>
      </c>
      <c r="F293" s="3163">
        <v>990</v>
      </c>
      <c r="G293" s="3163">
        <v>3170</v>
      </c>
      <c r="I293" s="970"/>
      <c r="J293" s="3192"/>
      <c r="K293" s="3192"/>
      <c r="L293" s="3192"/>
      <c r="M293" s="3192"/>
      <c r="N293" s="3192"/>
      <c r="O293" s="3192"/>
      <c r="P293" s="3192"/>
      <c r="Q293" s="3192"/>
      <c r="R293" s="3192"/>
      <c r="S293" s="3192"/>
      <c r="T293" s="3192"/>
      <c r="U293" s="3192"/>
    </row>
    <row r="294" spans="1:21" s="959" customFormat="1" ht="14.25" customHeight="1">
      <c r="A294" s="3157" t="s">
        <v>1156</v>
      </c>
      <c r="B294" s="3157" t="s">
        <v>2956</v>
      </c>
      <c r="C294" s="3157">
        <v>5260</v>
      </c>
      <c r="D294" s="3157">
        <v>5210</v>
      </c>
      <c r="E294" s="3157">
        <v>6100</v>
      </c>
      <c r="F294" s="3163">
        <v>950</v>
      </c>
      <c r="G294" s="3163">
        <v>3150</v>
      </c>
      <c r="I294" s="970"/>
      <c r="J294" s="3192"/>
      <c r="K294" s="3192"/>
      <c r="L294" s="3192"/>
      <c r="M294" s="3192"/>
      <c r="N294" s="3192"/>
      <c r="O294" s="3192"/>
      <c r="P294" s="3192"/>
      <c r="Q294" s="3192"/>
      <c r="R294" s="3192"/>
      <c r="S294" s="3192"/>
      <c r="T294" s="3192"/>
      <c r="U294" s="3192"/>
    </row>
    <row r="295" spans="1:21" s="959" customFormat="1" ht="14.25" customHeight="1">
      <c r="A295" s="3157" t="s">
        <v>1156</v>
      </c>
      <c r="B295" s="3157" t="s">
        <v>1139</v>
      </c>
      <c r="C295" s="3157">
        <v>5610</v>
      </c>
      <c r="D295" s="3157">
        <v>5570</v>
      </c>
      <c r="E295" s="3157">
        <v>6530</v>
      </c>
      <c r="F295" s="3163">
        <v>960</v>
      </c>
      <c r="G295" s="3163">
        <v>3360</v>
      </c>
      <c r="I295" s="970"/>
      <c r="J295" s="3192"/>
      <c r="K295" s="3192"/>
      <c r="L295" s="3192"/>
      <c r="M295" s="3192"/>
      <c r="N295" s="3192"/>
      <c r="O295" s="3192"/>
      <c r="P295" s="3192"/>
      <c r="Q295" s="3192"/>
      <c r="R295" s="3192"/>
      <c r="S295" s="3192"/>
      <c r="T295" s="3192"/>
      <c r="U295" s="3192"/>
    </row>
    <row r="296" spans="1:21" s="959" customFormat="1" ht="14.25" customHeight="1">
      <c r="A296" s="3157" t="s">
        <v>1156</v>
      </c>
      <c r="B296" s="3157" t="s">
        <v>1142</v>
      </c>
      <c r="C296" s="3157">
        <v>5540</v>
      </c>
      <c r="D296" s="3157">
        <v>5490</v>
      </c>
      <c r="E296" s="3157">
        <v>6430</v>
      </c>
      <c r="F296" s="3163">
        <v>980</v>
      </c>
      <c r="G296" s="3163">
        <v>3310</v>
      </c>
      <c r="I296" s="970"/>
      <c r="J296" s="3192"/>
      <c r="K296" s="3192"/>
      <c r="L296" s="3192"/>
      <c r="M296" s="3192"/>
      <c r="N296" s="3192"/>
      <c r="O296" s="3192"/>
      <c r="P296" s="3192"/>
      <c r="Q296" s="3192"/>
      <c r="R296" s="3192"/>
      <c r="S296" s="3192"/>
      <c r="T296" s="3192"/>
      <c r="U296" s="3192"/>
    </row>
    <row r="297" spans="1:21" s="959" customFormat="1" ht="14.25" customHeight="1">
      <c r="A297" s="3157" t="s">
        <v>1156</v>
      </c>
      <c r="B297" s="3157" t="s">
        <v>1144</v>
      </c>
      <c r="C297" s="3157">
        <v>5480</v>
      </c>
      <c r="D297" s="3157">
        <v>5420</v>
      </c>
      <c r="E297" s="3157">
        <v>6370</v>
      </c>
      <c r="F297" s="3163">
        <v>990</v>
      </c>
      <c r="G297" s="3163">
        <v>3270</v>
      </c>
      <c r="I297" s="970"/>
      <c r="J297" s="3192"/>
      <c r="K297" s="3192"/>
      <c r="L297" s="3192"/>
      <c r="M297" s="3192"/>
      <c r="N297" s="3192"/>
      <c r="O297" s="3192"/>
      <c r="P297" s="3192"/>
      <c r="Q297" s="3192"/>
      <c r="R297" s="3192"/>
      <c r="S297" s="3192"/>
      <c r="T297" s="3192"/>
      <c r="U297" s="3192"/>
    </row>
    <row r="298" spans="1:21" s="959" customFormat="1" ht="14.25" customHeight="1">
      <c r="A298" s="3157" t="s">
        <v>1156</v>
      </c>
      <c r="B298" s="3157" t="s">
        <v>1147</v>
      </c>
      <c r="C298" s="3157">
        <v>5090</v>
      </c>
      <c r="D298" s="3157">
        <v>5050</v>
      </c>
      <c r="E298" s="3157">
        <v>5910</v>
      </c>
      <c r="F298" s="3163">
        <v>900</v>
      </c>
      <c r="G298" s="3163">
        <v>3040</v>
      </c>
      <c r="I298" s="970"/>
      <c r="J298" s="3192"/>
      <c r="K298" s="3192"/>
      <c r="L298" s="3192"/>
      <c r="M298" s="3192"/>
      <c r="N298" s="3192"/>
      <c r="O298" s="3192"/>
      <c r="P298" s="3192"/>
      <c r="Q298" s="3192"/>
      <c r="R298" s="3192"/>
      <c r="S298" s="3192"/>
      <c r="T298" s="3192"/>
      <c r="U298" s="3192"/>
    </row>
    <row r="299" spans="1:21" s="959" customFormat="1" ht="14.25" customHeight="1">
      <c r="A299" s="3157" t="s">
        <v>1156</v>
      </c>
      <c r="B299" s="3157" t="s">
        <v>2957</v>
      </c>
      <c r="C299" s="3157">
        <v>5430</v>
      </c>
      <c r="D299" s="3157">
        <v>5380</v>
      </c>
      <c r="E299" s="3157">
        <v>6280</v>
      </c>
      <c r="F299" s="3163">
        <v>1000</v>
      </c>
      <c r="G299" s="3165">
        <v>3240</v>
      </c>
      <c r="I299" s="970"/>
      <c r="J299" s="3192"/>
      <c r="K299" s="3192"/>
      <c r="L299" s="3192"/>
      <c r="M299" s="3192"/>
      <c r="N299" s="3192"/>
      <c r="O299" s="3192"/>
      <c r="P299" s="3192"/>
      <c r="Q299" s="3192"/>
      <c r="R299" s="3192"/>
      <c r="S299" s="3192"/>
      <c r="T299" s="3192"/>
      <c r="U299" s="3192"/>
    </row>
    <row r="300" spans="1:21" s="959" customFormat="1" ht="14.25" customHeight="1">
      <c r="A300" s="3157" t="s">
        <v>1156</v>
      </c>
      <c r="B300" s="3157" t="s">
        <v>1119</v>
      </c>
      <c r="C300" s="3157">
        <v>4740</v>
      </c>
      <c r="D300" s="3157">
        <v>4680</v>
      </c>
      <c r="E300" s="3157">
        <v>5450</v>
      </c>
      <c r="F300" s="3163">
        <v>900</v>
      </c>
      <c r="G300" s="3163">
        <v>2830</v>
      </c>
      <c r="I300" s="970"/>
      <c r="J300" s="3192"/>
      <c r="K300" s="3192"/>
      <c r="L300" s="3192"/>
      <c r="M300" s="3192"/>
      <c r="N300" s="3192"/>
      <c r="O300" s="3192"/>
      <c r="P300" s="3192"/>
      <c r="Q300" s="3192"/>
      <c r="R300" s="3192"/>
      <c r="S300" s="3192"/>
      <c r="T300" s="3192"/>
      <c r="U300" s="3192"/>
    </row>
    <row r="301" spans="1:21" s="959" customFormat="1" ht="14.25" customHeight="1">
      <c r="A301" s="3157" t="s">
        <v>1156</v>
      </c>
      <c r="B301" s="3157" t="s">
        <v>1125</v>
      </c>
      <c r="C301" s="3157">
        <v>4870</v>
      </c>
      <c r="D301" s="3157">
        <v>4810</v>
      </c>
      <c r="E301" s="3157">
        <v>5560</v>
      </c>
      <c r="F301" s="3163">
        <v>990</v>
      </c>
      <c r="G301" s="3165">
        <v>2910</v>
      </c>
      <c r="I301" s="970"/>
      <c r="J301" s="3192"/>
      <c r="K301" s="3192"/>
      <c r="L301" s="3192"/>
      <c r="M301" s="3192"/>
      <c r="N301" s="3192"/>
      <c r="O301" s="3192"/>
      <c r="P301" s="3192"/>
      <c r="Q301" s="3192"/>
      <c r="R301" s="3192"/>
      <c r="S301" s="3192"/>
      <c r="T301" s="3192"/>
      <c r="U301" s="3192"/>
    </row>
    <row r="302" spans="1:21" s="959" customFormat="1" ht="14.25" customHeight="1">
      <c r="A302" s="3157" t="s">
        <v>1156</v>
      </c>
      <c r="B302" s="3157" t="s">
        <v>2958</v>
      </c>
      <c r="C302" s="3157">
        <v>5520</v>
      </c>
      <c r="D302" s="3157">
        <v>5470</v>
      </c>
      <c r="E302" s="3157">
        <v>6410</v>
      </c>
      <c r="F302" s="3163">
        <v>950</v>
      </c>
      <c r="G302" s="3163">
        <v>3300</v>
      </c>
      <c r="I302" s="970"/>
      <c r="J302" s="3192"/>
      <c r="K302" s="3192"/>
      <c r="L302" s="3192"/>
      <c r="M302" s="3192"/>
      <c r="N302" s="3192"/>
      <c r="O302" s="3192"/>
      <c r="P302" s="3192"/>
      <c r="Q302" s="3192"/>
      <c r="R302" s="3192"/>
      <c r="S302" s="3192"/>
      <c r="T302" s="3192"/>
      <c r="U302" s="3192"/>
    </row>
    <row r="303" spans="1:21" s="959" customFormat="1" ht="14.25" customHeight="1">
      <c r="A303" s="3157" t="s">
        <v>1156</v>
      </c>
      <c r="B303" s="3157" t="s">
        <v>2959</v>
      </c>
      <c r="C303" s="3157">
        <v>5630</v>
      </c>
      <c r="D303" s="3157">
        <v>5590</v>
      </c>
      <c r="E303" s="3157">
        <v>6550</v>
      </c>
      <c r="F303" s="3163">
        <v>1010</v>
      </c>
      <c r="G303" s="3163">
        <v>3370</v>
      </c>
      <c r="I303" s="970"/>
      <c r="J303" s="3192"/>
      <c r="K303" s="3192"/>
      <c r="L303" s="3192"/>
      <c r="M303" s="3192"/>
      <c r="N303" s="3192"/>
      <c r="O303" s="3192"/>
      <c r="P303" s="3192"/>
      <c r="Q303" s="3192"/>
      <c r="R303" s="3192"/>
      <c r="S303" s="3192"/>
      <c r="T303" s="3192"/>
      <c r="U303" s="3192"/>
    </row>
    <row r="304" spans="1:21" s="959" customFormat="1" ht="14.25" customHeight="1">
      <c r="A304" s="3157" t="s">
        <v>1156</v>
      </c>
      <c r="B304" s="3157" t="s">
        <v>2960</v>
      </c>
      <c r="C304" s="3157">
        <v>5680</v>
      </c>
      <c r="D304" s="3157">
        <v>5620</v>
      </c>
      <c r="E304" s="3157">
        <v>6620</v>
      </c>
      <c r="F304" s="3163">
        <v>1050</v>
      </c>
      <c r="G304" s="3165">
        <v>3390</v>
      </c>
      <c r="I304" s="970"/>
      <c r="J304" s="3192"/>
      <c r="K304" s="3192"/>
      <c r="L304" s="3192"/>
      <c r="M304" s="3192"/>
      <c r="N304" s="3192"/>
      <c r="O304" s="3192"/>
      <c r="P304" s="3192"/>
      <c r="Q304" s="3192"/>
      <c r="R304" s="3192"/>
      <c r="S304" s="3192"/>
      <c r="T304" s="3192"/>
      <c r="U304" s="3192"/>
    </row>
    <row r="305" spans="1:21" s="959" customFormat="1" ht="14.25" customHeight="1">
      <c r="A305" s="3157" t="s">
        <v>1156</v>
      </c>
      <c r="B305" s="3157" t="s">
        <v>2961</v>
      </c>
      <c r="C305" s="3157">
        <v>5590</v>
      </c>
      <c r="D305" s="3157">
        <v>5530</v>
      </c>
      <c r="E305" s="3157">
        <v>6460</v>
      </c>
      <c r="F305" s="3163">
        <v>900</v>
      </c>
      <c r="G305" s="3163">
        <v>3340</v>
      </c>
      <c r="I305" s="970"/>
      <c r="J305" s="3192"/>
      <c r="K305" s="3192"/>
      <c r="L305" s="3192"/>
      <c r="M305" s="3192"/>
      <c r="N305" s="3192"/>
      <c r="O305" s="3192"/>
      <c r="P305" s="3192"/>
      <c r="Q305" s="3192"/>
      <c r="R305" s="3192"/>
      <c r="S305" s="3192"/>
      <c r="T305" s="3192"/>
      <c r="U305" s="3192"/>
    </row>
    <row r="306" spans="1:21" s="959" customFormat="1" ht="14.25" customHeight="1">
      <c r="A306" s="3157" t="s">
        <v>1156</v>
      </c>
      <c r="B306" s="3157" t="s">
        <v>2962</v>
      </c>
      <c r="C306" s="3157">
        <v>5560</v>
      </c>
      <c r="D306" s="3157">
        <v>5510</v>
      </c>
      <c r="E306" s="3157">
        <v>6440</v>
      </c>
      <c r="F306" s="3163">
        <v>900</v>
      </c>
      <c r="G306" s="3165">
        <v>3320</v>
      </c>
      <c r="I306" s="970"/>
      <c r="J306" s="3192"/>
      <c r="K306" s="3192"/>
      <c r="L306" s="3192"/>
      <c r="M306" s="3192"/>
      <c r="N306" s="3192"/>
      <c r="O306" s="3192"/>
      <c r="P306" s="3192"/>
      <c r="Q306" s="3192"/>
      <c r="R306" s="3192"/>
      <c r="S306" s="3192"/>
      <c r="T306" s="3192"/>
      <c r="U306" s="3192"/>
    </row>
    <row r="307" spans="1:21" s="959" customFormat="1" ht="14.25" customHeight="1">
      <c r="A307" s="3157" t="s">
        <v>1156</v>
      </c>
      <c r="B307" s="3157" t="s">
        <v>2963</v>
      </c>
      <c r="C307" s="3157">
        <v>5650</v>
      </c>
      <c r="D307" s="3157">
        <v>5600</v>
      </c>
      <c r="E307" s="3157">
        <v>6590</v>
      </c>
      <c r="F307" s="3163">
        <v>930</v>
      </c>
      <c r="G307" s="3163">
        <v>3380</v>
      </c>
      <c r="I307" s="970"/>
      <c r="J307" s="3192"/>
      <c r="K307" s="3192"/>
      <c r="L307" s="3192"/>
      <c r="M307" s="3192"/>
      <c r="N307" s="3192"/>
      <c r="O307" s="3192"/>
      <c r="P307" s="3192"/>
      <c r="Q307" s="3192"/>
      <c r="R307" s="3192"/>
      <c r="S307" s="3192"/>
      <c r="T307" s="3192"/>
      <c r="U307" s="3192"/>
    </row>
    <row r="308" spans="1:21" s="959" customFormat="1" ht="14.25" customHeight="1">
      <c r="A308" s="3157" t="s">
        <v>1156</v>
      </c>
      <c r="B308" s="3157" t="s">
        <v>2964</v>
      </c>
      <c r="C308" s="3157">
        <v>5620</v>
      </c>
      <c r="D308" s="3157">
        <v>5580</v>
      </c>
      <c r="E308" s="3157">
        <v>6540</v>
      </c>
      <c r="F308" s="3163">
        <v>910</v>
      </c>
      <c r="G308" s="3163">
        <v>3370</v>
      </c>
      <c r="I308" s="970"/>
      <c r="J308" s="3192"/>
      <c r="K308" s="3192"/>
      <c r="L308" s="3192"/>
      <c r="M308" s="3192"/>
      <c r="N308" s="3192"/>
      <c r="O308" s="3192"/>
      <c r="P308" s="3192"/>
      <c r="Q308" s="3192"/>
      <c r="R308" s="3192"/>
      <c r="S308" s="3192"/>
      <c r="T308" s="3192"/>
      <c r="U308" s="3192"/>
    </row>
    <row r="309" spans="1:21" s="959" customFormat="1" ht="14.25" customHeight="1">
      <c r="A309" s="3157" t="s">
        <v>1156</v>
      </c>
      <c r="B309" s="3157" t="s">
        <v>2965</v>
      </c>
      <c r="C309" s="3157">
        <v>5060</v>
      </c>
      <c r="D309" s="3157">
        <v>5020</v>
      </c>
      <c r="E309" s="3157">
        <v>6370</v>
      </c>
      <c r="F309" s="3163">
        <v>800</v>
      </c>
      <c r="G309" s="3165">
        <v>3020</v>
      </c>
      <c r="I309" s="970"/>
      <c r="J309" s="3192"/>
      <c r="K309" s="3192"/>
      <c r="L309" s="3192"/>
      <c r="M309" s="3192"/>
      <c r="N309" s="3192"/>
      <c r="O309" s="3192"/>
      <c r="P309" s="3192"/>
      <c r="Q309" s="3192"/>
      <c r="R309" s="3192"/>
      <c r="S309" s="3192"/>
      <c r="T309" s="3192"/>
      <c r="U309" s="3192"/>
    </row>
    <row r="310" spans="1:21" s="959" customFormat="1" ht="14.25" customHeight="1">
      <c r="A310" s="3157" t="s">
        <v>1156</v>
      </c>
      <c r="B310" s="3157" t="s">
        <v>2966</v>
      </c>
      <c r="C310" s="3157">
        <v>5150</v>
      </c>
      <c r="D310" s="3157">
        <v>5110</v>
      </c>
      <c r="E310" s="3157">
        <v>6500</v>
      </c>
      <c r="F310" s="3163">
        <v>880</v>
      </c>
      <c r="G310" s="3163">
        <v>3080</v>
      </c>
      <c r="I310" s="970"/>
      <c r="J310" s="3192"/>
      <c r="K310" s="3192"/>
      <c r="L310" s="3192"/>
      <c r="M310" s="3192"/>
      <c r="N310" s="3192"/>
      <c r="O310" s="3192"/>
      <c r="P310" s="3192"/>
      <c r="Q310" s="3192"/>
      <c r="R310" s="3192"/>
      <c r="S310" s="3192"/>
      <c r="T310" s="3192"/>
      <c r="U310" s="3192"/>
    </row>
    <row r="311" spans="1:21" s="959" customFormat="1" ht="14.25" customHeight="1">
      <c r="A311" s="3157" t="s">
        <v>1156</v>
      </c>
      <c r="B311" s="3157" t="s">
        <v>2967</v>
      </c>
      <c r="C311" s="3157">
        <v>4750</v>
      </c>
      <c r="D311" s="3157">
        <v>4710</v>
      </c>
      <c r="E311" s="3157">
        <v>5510</v>
      </c>
      <c r="F311" s="3163">
        <v>880</v>
      </c>
      <c r="G311" s="3163">
        <v>2840</v>
      </c>
      <c r="I311" s="970"/>
      <c r="J311" s="3192"/>
      <c r="K311" s="3192"/>
      <c r="L311" s="3192"/>
      <c r="M311" s="3192"/>
      <c r="N311" s="3192"/>
      <c r="O311" s="3192"/>
      <c r="P311" s="3192"/>
      <c r="Q311" s="3192"/>
      <c r="R311" s="3192"/>
      <c r="S311" s="3192"/>
      <c r="T311" s="3192"/>
      <c r="U311" s="3192"/>
    </row>
    <row r="312" spans="1:21" s="959" customFormat="1" ht="14.25" customHeight="1">
      <c r="A312" s="3157" t="s">
        <v>1156</v>
      </c>
      <c r="B312" s="3157" t="s">
        <v>2968</v>
      </c>
      <c r="C312" s="3157">
        <v>4690</v>
      </c>
      <c r="D312" s="3157">
        <v>4640</v>
      </c>
      <c r="E312" s="3157">
        <v>5420</v>
      </c>
      <c r="F312" s="3163">
        <v>800</v>
      </c>
      <c r="G312" s="3163">
        <v>2800</v>
      </c>
      <c r="I312" s="970"/>
      <c r="J312" s="3192"/>
      <c r="K312" s="3192"/>
      <c r="L312" s="3192"/>
      <c r="M312" s="3192"/>
      <c r="N312" s="3192"/>
      <c r="O312" s="3192"/>
      <c r="P312" s="3192"/>
      <c r="Q312" s="3192"/>
      <c r="R312" s="3192"/>
      <c r="S312" s="3192"/>
      <c r="T312" s="3192"/>
      <c r="U312" s="3192"/>
    </row>
    <row r="313" spans="1:21" s="959" customFormat="1" ht="14.25" customHeight="1">
      <c r="A313" s="3157" t="s">
        <v>1156</v>
      </c>
      <c r="B313" s="3157" t="s">
        <v>2969</v>
      </c>
      <c r="C313" s="3157">
        <v>4810</v>
      </c>
      <c r="D313" s="3157">
        <v>4760</v>
      </c>
      <c r="E313" s="3157">
        <v>5550</v>
      </c>
      <c r="F313" s="3163">
        <v>920</v>
      </c>
      <c r="G313" s="3163">
        <v>2870</v>
      </c>
      <c r="I313" s="970"/>
      <c r="J313" s="3192"/>
      <c r="K313" s="3192"/>
      <c r="L313" s="3192"/>
      <c r="M313" s="3192"/>
      <c r="N313" s="3192"/>
      <c r="O313" s="3192"/>
      <c r="P313" s="3192"/>
      <c r="Q313" s="3192"/>
      <c r="R313" s="3192"/>
      <c r="S313" s="3192"/>
      <c r="T313" s="3192"/>
      <c r="U313" s="3192"/>
    </row>
    <row r="314" spans="1:21" s="959" customFormat="1" ht="14.25" customHeight="1">
      <c r="A314" s="3157" t="s">
        <v>1156</v>
      </c>
      <c r="B314" s="3157" t="s">
        <v>2970</v>
      </c>
      <c r="C314" s="3157"/>
      <c r="D314" s="3157"/>
      <c r="E314" s="3157"/>
      <c r="F314" s="3163">
        <v>1020</v>
      </c>
      <c r="G314" s="3163"/>
      <c r="I314" s="970"/>
      <c r="J314" s="3192"/>
      <c r="K314" s="3192"/>
      <c r="L314" s="3192"/>
      <c r="M314" s="3192"/>
      <c r="N314" s="3192"/>
      <c r="O314" s="3192"/>
      <c r="P314" s="3192"/>
      <c r="Q314" s="3192"/>
      <c r="R314" s="3192"/>
      <c r="S314" s="3192"/>
      <c r="T314" s="3192"/>
      <c r="U314" s="3192"/>
    </row>
    <row r="315" spans="1:21" s="959" customFormat="1" ht="14.25" customHeight="1">
      <c r="A315" s="3157" t="s">
        <v>1156</v>
      </c>
      <c r="B315" s="3157" t="s">
        <v>2971</v>
      </c>
      <c r="C315" s="3157"/>
      <c r="D315" s="3157"/>
      <c r="E315" s="3157"/>
      <c r="F315" s="3163">
        <v>1050</v>
      </c>
      <c r="G315" s="3163"/>
      <c r="I315" s="970"/>
      <c r="J315" s="3192"/>
      <c r="K315" s="3192"/>
      <c r="L315" s="3192"/>
      <c r="M315" s="3192"/>
      <c r="N315" s="3192"/>
      <c r="O315" s="3192"/>
      <c r="P315" s="3192"/>
      <c r="Q315" s="3192"/>
      <c r="R315" s="3192"/>
      <c r="S315" s="3192"/>
      <c r="T315" s="3192"/>
      <c r="U315" s="3192"/>
    </row>
    <row r="316" spans="1:21" s="959" customFormat="1" ht="14.25" customHeight="1">
      <c r="A316" s="3157" t="s">
        <v>1156</v>
      </c>
      <c r="B316" s="3157" t="s">
        <v>2972</v>
      </c>
      <c r="C316" s="3157"/>
      <c r="D316" s="3157"/>
      <c r="E316" s="3157"/>
      <c r="F316" s="3163">
        <v>900</v>
      </c>
      <c r="G316" s="3170"/>
      <c r="I316" s="970"/>
      <c r="J316" s="3192"/>
      <c r="K316" s="3192"/>
      <c r="L316" s="3192"/>
      <c r="M316" s="3192"/>
      <c r="N316" s="3192"/>
      <c r="O316" s="3192"/>
      <c r="P316" s="3192"/>
      <c r="Q316" s="3192"/>
      <c r="R316" s="3192"/>
      <c r="S316" s="3192"/>
      <c r="T316" s="3192"/>
      <c r="U316" s="3192"/>
    </row>
    <row r="317" spans="1:21" s="959" customFormat="1" ht="14.25" customHeight="1">
      <c r="A317" s="1215" t="s">
        <v>1156</v>
      </c>
      <c r="B317" s="1215" t="s">
        <v>2973</v>
      </c>
      <c r="C317" s="1215"/>
      <c r="D317" s="1215"/>
      <c r="E317" s="1215"/>
      <c r="F317" s="3158">
        <v>920</v>
      </c>
      <c r="G317" s="3158"/>
      <c r="I317" s="956"/>
      <c r="J317" s="3192"/>
      <c r="K317" s="3192"/>
      <c r="L317" s="3192"/>
      <c r="M317" s="3192"/>
      <c r="N317" s="3192"/>
      <c r="O317" s="3192"/>
      <c r="P317" s="3192"/>
      <c r="Q317" s="3192"/>
      <c r="R317" s="3192"/>
      <c r="S317" s="3192"/>
      <c r="T317" s="3192"/>
      <c r="U317" s="3192"/>
    </row>
    <row r="318" spans="1:21" s="959" customFormat="1" ht="14.25" customHeight="1">
      <c r="A318" s="3157" t="s">
        <v>1156</v>
      </c>
      <c r="B318" s="3157" t="s">
        <v>2974</v>
      </c>
      <c r="C318" s="3157"/>
      <c r="D318" s="3157"/>
      <c r="E318" s="3157"/>
      <c r="F318" s="3163">
        <v>1080</v>
      </c>
      <c r="G318" s="3165"/>
      <c r="I318" s="956"/>
      <c r="J318" s="3192"/>
      <c r="K318" s="3192"/>
      <c r="L318" s="3192"/>
      <c r="M318" s="3192"/>
      <c r="N318" s="3192"/>
      <c r="O318" s="3192"/>
      <c r="P318" s="3192"/>
      <c r="Q318" s="3192"/>
      <c r="R318" s="3192"/>
      <c r="S318" s="3192"/>
      <c r="T318" s="3192"/>
      <c r="U318" s="3192"/>
    </row>
    <row r="319" spans="1:21" s="959" customFormat="1" ht="14.25" customHeight="1">
      <c r="A319" s="3157" t="s">
        <v>1156</v>
      </c>
      <c r="B319" s="3157" t="s">
        <v>2975</v>
      </c>
      <c r="C319" s="3157"/>
      <c r="D319" s="3157"/>
      <c r="E319" s="3157"/>
      <c r="F319" s="3163">
        <v>1020</v>
      </c>
      <c r="G319" s="3163"/>
      <c r="I319" s="956"/>
      <c r="J319" s="3192"/>
      <c r="K319" s="3192"/>
      <c r="L319" s="3192"/>
      <c r="M319" s="3192"/>
      <c r="N319" s="3192"/>
      <c r="O319" s="3192"/>
      <c r="P319" s="3192"/>
      <c r="Q319" s="3192"/>
      <c r="R319" s="3192"/>
      <c r="S319" s="3192"/>
      <c r="T319" s="3192"/>
      <c r="U319" s="3192"/>
    </row>
    <row r="320" spans="1:21" s="959" customFormat="1" ht="14.25" customHeight="1">
      <c r="A320" s="3157" t="s">
        <v>1156</v>
      </c>
      <c r="B320" s="3157" t="s">
        <v>2976</v>
      </c>
      <c r="C320" s="3157"/>
      <c r="D320" s="3157"/>
      <c r="E320" s="3157"/>
      <c r="F320" s="3163">
        <v>1050</v>
      </c>
      <c r="G320" s="3165"/>
      <c r="I320" s="956"/>
      <c r="J320" s="3192"/>
      <c r="K320" s="3192"/>
      <c r="L320" s="3192"/>
      <c r="M320" s="3192"/>
      <c r="N320" s="3192"/>
      <c r="O320" s="3192"/>
      <c r="P320" s="3192"/>
      <c r="Q320" s="3192"/>
      <c r="R320" s="3192"/>
      <c r="S320" s="3192"/>
      <c r="T320" s="3192"/>
      <c r="U320" s="3192"/>
    </row>
    <row r="321" spans="1:21" s="959" customFormat="1" ht="14.25" customHeight="1">
      <c r="A321" s="3157" t="s">
        <v>1156</v>
      </c>
      <c r="B321" s="3157" t="s">
        <v>2977</v>
      </c>
      <c r="C321" s="3157"/>
      <c r="D321" s="3157"/>
      <c r="E321" s="3157"/>
      <c r="F321" s="3163">
        <v>960</v>
      </c>
      <c r="G321" s="3165"/>
      <c r="I321" s="956"/>
      <c r="J321" s="3192"/>
      <c r="K321" s="3192"/>
      <c r="L321" s="3192"/>
      <c r="M321" s="3192"/>
      <c r="N321" s="3192"/>
      <c r="O321" s="3192"/>
      <c r="P321" s="3192"/>
      <c r="Q321" s="3192"/>
      <c r="R321" s="3192"/>
      <c r="S321" s="3192"/>
      <c r="T321" s="3192"/>
      <c r="U321" s="3192"/>
    </row>
    <row r="322" spans="1:21" s="959" customFormat="1" ht="14.25" customHeight="1">
      <c r="A322" s="3157" t="s">
        <v>1156</v>
      </c>
      <c r="B322" s="3157" t="s">
        <v>2978</v>
      </c>
      <c r="C322" s="3157"/>
      <c r="D322" s="3157"/>
      <c r="E322" s="3157"/>
      <c r="F322" s="3163">
        <v>960</v>
      </c>
      <c r="G322" s="3163"/>
      <c r="I322" s="956"/>
      <c r="J322" s="3192"/>
      <c r="K322" s="3192"/>
      <c r="L322" s="3192"/>
      <c r="M322" s="3192"/>
      <c r="N322" s="3192"/>
      <c r="O322" s="3192"/>
      <c r="P322" s="3192"/>
      <c r="Q322" s="3192"/>
      <c r="R322" s="3192"/>
      <c r="S322" s="3192"/>
      <c r="T322" s="3192"/>
      <c r="U322" s="3192"/>
    </row>
    <row r="323" spans="1:21" s="959" customFormat="1" ht="14.25" customHeight="1">
      <c r="A323" s="3157" t="s">
        <v>1156</v>
      </c>
      <c r="B323" s="3157" t="s">
        <v>2979</v>
      </c>
      <c r="C323" s="3157"/>
      <c r="D323" s="3157"/>
      <c r="E323" s="3157"/>
      <c r="F323" s="3163">
        <v>880</v>
      </c>
      <c r="G323" s="3165"/>
      <c r="I323" s="956"/>
      <c r="J323" s="3192"/>
      <c r="K323" s="3192"/>
      <c r="L323" s="3192"/>
      <c r="M323" s="3192"/>
      <c r="N323" s="3192"/>
      <c r="O323" s="3192"/>
      <c r="P323" s="3192"/>
      <c r="Q323" s="3192"/>
      <c r="R323" s="3192"/>
      <c r="S323" s="3192"/>
      <c r="T323" s="3192"/>
      <c r="U323" s="3192"/>
    </row>
    <row r="324" spans="1:21" s="959" customFormat="1" ht="14.25" customHeight="1">
      <c r="A324" s="3157" t="s">
        <v>1156</v>
      </c>
      <c r="B324" s="3157" t="s">
        <v>2980</v>
      </c>
      <c r="C324" s="3157"/>
      <c r="D324" s="3157"/>
      <c r="E324" s="3157"/>
      <c r="F324" s="3163">
        <v>930</v>
      </c>
      <c r="G324" s="3165"/>
      <c r="I324" s="956"/>
      <c r="J324" s="3192"/>
      <c r="K324" s="3192"/>
      <c r="L324" s="3192"/>
      <c r="M324" s="3192"/>
      <c r="N324" s="3192"/>
      <c r="O324" s="3192"/>
      <c r="P324" s="3192"/>
      <c r="Q324" s="3192"/>
      <c r="R324" s="3192"/>
      <c r="S324" s="3192"/>
      <c r="T324" s="3192"/>
      <c r="U324" s="3192"/>
    </row>
    <row r="325" spans="1:21" s="959" customFormat="1" ht="14.25" customHeight="1">
      <c r="A325" s="3157" t="s">
        <v>1156</v>
      </c>
      <c r="B325" s="3157" t="s">
        <v>2981</v>
      </c>
      <c r="C325" s="3157"/>
      <c r="D325" s="3157"/>
      <c r="E325" s="3157"/>
      <c r="F325" s="3163">
        <v>900</v>
      </c>
      <c r="G325" s="3163"/>
      <c r="I325" s="956"/>
      <c r="J325" s="3192"/>
      <c r="K325" s="3192"/>
      <c r="L325" s="3192"/>
      <c r="M325" s="3192"/>
      <c r="N325" s="3192"/>
      <c r="O325" s="3192"/>
      <c r="P325" s="3192"/>
      <c r="Q325" s="3192"/>
      <c r="R325" s="3192"/>
      <c r="S325" s="3192"/>
      <c r="T325" s="3192"/>
      <c r="U325" s="3192"/>
    </row>
    <row r="326" spans="1:21" s="959" customFormat="1" ht="14.25" customHeight="1" thickBot="1">
      <c r="A326" s="3172" t="s">
        <v>1156</v>
      </c>
      <c r="B326" s="3160" t="s">
        <v>2982</v>
      </c>
      <c r="C326" s="3160"/>
      <c r="D326" s="3160"/>
      <c r="E326" s="3160"/>
      <c r="F326" s="3161">
        <v>790</v>
      </c>
      <c r="G326" s="3176"/>
      <c r="I326" s="956"/>
      <c r="J326" s="3192"/>
      <c r="K326" s="3192"/>
      <c r="L326" s="3192"/>
      <c r="M326" s="3192"/>
      <c r="N326" s="3192"/>
      <c r="O326" s="3192"/>
      <c r="P326" s="3192"/>
      <c r="Q326" s="3192"/>
      <c r="R326" s="3192"/>
      <c r="S326" s="3192"/>
      <c r="T326" s="3192"/>
      <c r="U326" s="3192"/>
    </row>
    <row r="327" spans="1:21" s="959" customFormat="1" ht="14.25" customHeight="1">
      <c r="A327" s="3171" t="s">
        <v>1157</v>
      </c>
      <c r="B327" s="2405" t="s">
        <v>2983</v>
      </c>
      <c r="C327" s="2405">
        <v>3750</v>
      </c>
      <c r="D327" s="2405">
        <v>3710</v>
      </c>
      <c r="E327" s="2405">
        <v>4080</v>
      </c>
      <c r="F327" s="3179">
        <v>860</v>
      </c>
      <c r="G327" s="3179">
        <v>2210</v>
      </c>
      <c r="I327" s="956"/>
      <c r="J327" s="3192"/>
      <c r="K327" s="3192"/>
      <c r="L327" s="3192"/>
      <c r="M327" s="3192"/>
      <c r="N327" s="3192"/>
      <c r="O327" s="3192"/>
      <c r="P327" s="3192"/>
      <c r="Q327" s="3192"/>
      <c r="R327" s="3192"/>
      <c r="S327" s="3192"/>
      <c r="T327" s="3192"/>
      <c r="U327" s="3192"/>
    </row>
    <row r="328" spans="1:21" s="959" customFormat="1" ht="14.25" customHeight="1">
      <c r="A328" s="3157" t="s">
        <v>1157</v>
      </c>
      <c r="B328" s="3157" t="s">
        <v>981</v>
      </c>
      <c r="C328" s="3157">
        <v>3330</v>
      </c>
      <c r="D328" s="3157">
        <v>3290</v>
      </c>
      <c r="E328" s="3157">
        <v>3610</v>
      </c>
      <c r="F328" s="3157">
        <v>850</v>
      </c>
      <c r="G328" s="3157">
        <v>1960</v>
      </c>
      <c r="H328" s="956"/>
      <c r="I328" s="956"/>
      <c r="J328" s="3192"/>
      <c r="K328" s="3192"/>
      <c r="L328" s="3192"/>
      <c r="M328" s="3192"/>
      <c r="N328" s="3192"/>
      <c r="O328" s="3192"/>
      <c r="P328" s="3192"/>
      <c r="Q328" s="3192"/>
      <c r="R328" s="3192"/>
      <c r="S328" s="3192"/>
      <c r="T328" s="3192"/>
      <c r="U328" s="3192"/>
    </row>
    <row r="329" spans="1:21" s="959" customFormat="1" ht="14.25" customHeight="1">
      <c r="A329" s="3157" t="s">
        <v>1157</v>
      </c>
      <c r="B329" s="3157" t="s">
        <v>2984</v>
      </c>
      <c r="C329" s="3157">
        <v>2730</v>
      </c>
      <c r="D329" s="3157">
        <v>2690</v>
      </c>
      <c r="E329" s="3157">
        <v>3100</v>
      </c>
      <c r="F329" s="3157">
        <v>660</v>
      </c>
      <c r="G329" s="3157">
        <v>1610</v>
      </c>
      <c r="H329" s="956"/>
      <c r="I329" s="956"/>
      <c r="J329" s="3192"/>
      <c r="K329" s="3192"/>
      <c r="L329" s="3192"/>
      <c r="M329" s="3192"/>
      <c r="N329" s="3192"/>
      <c r="O329" s="3192"/>
      <c r="P329" s="3192"/>
      <c r="Q329" s="3192"/>
      <c r="R329" s="3192"/>
      <c r="S329" s="3192"/>
      <c r="T329" s="3192"/>
      <c r="U329" s="3192"/>
    </row>
    <row r="330" spans="1:21" s="959" customFormat="1" ht="14.25" customHeight="1">
      <c r="A330" s="3157" t="s">
        <v>1157</v>
      </c>
      <c r="B330" s="3157" t="s">
        <v>2985</v>
      </c>
      <c r="C330" s="3157">
        <v>3270</v>
      </c>
      <c r="D330" s="3157">
        <v>3240</v>
      </c>
      <c r="E330" s="3157">
        <v>3560</v>
      </c>
      <c r="F330" s="3157">
        <v>680</v>
      </c>
      <c r="G330" s="3166">
        <v>1940</v>
      </c>
      <c r="H330" s="956"/>
      <c r="I330" s="956"/>
      <c r="J330" s="3192"/>
      <c r="K330" s="3192"/>
      <c r="L330" s="3192"/>
      <c r="M330" s="3192"/>
      <c r="N330" s="3192"/>
      <c r="O330" s="3192"/>
      <c r="P330" s="3192"/>
      <c r="Q330" s="3192"/>
      <c r="R330" s="3192"/>
      <c r="S330" s="3192"/>
      <c r="T330" s="3192"/>
      <c r="U330" s="3192"/>
    </row>
    <row r="331" spans="1:21" s="959" customFormat="1" ht="14.25" customHeight="1">
      <c r="A331" s="3157" t="s">
        <v>1157</v>
      </c>
      <c r="B331" s="3157" t="s">
        <v>1008</v>
      </c>
      <c r="C331" s="3157">
        <v>3770</v>
      </c>
      <c r="D331" s="3157">
        <v>3740</v>
      </c>
      <c r="E331" s="3157">
        <v>4110</v>
      </c>
      <c r="F331" s="3157">
        <v>730</v>
      </c>
      <c r="G331" s="3157">
        <v>2230</v>
      </c>
      <c r="H331" s="956"/>
      <c r="I331" s="956"/>
      <c r="J331" s="3192"/>
      <c r="K331" s="3192"/>
      <c r="L331" s="3192"/>
      <c r="M331" s="3192"/>
      <c r="N331" s="3192"/>
      <c r="O331" s="3192"/>
      <c r="P331" s="3192"/>
      <c r="Q331" s="3192"/>
      <c r="R331" s="3192"/>
      <c r="S331" s="3192"/>
      <c r="T331" s="3192"/>
      <c r="U331" s="3192"/>
    </row>
    <row r="332" spans="1:21" s="959" customFormat="1" ht="14.25" customHeight="1">
      <c r="A332" s="3157" t="s">
        <v>1157</v>
      </c>
      <c r="B332" s="3157" t="s">
        <v>2986</v>
      </c>
      <c r="C332" s="3157">
        <v>3520</v>
      </c>
      <c r="D332" s="3157">
        <v>3480</v>
      </c>
      <c r="E332" s="3157">
        <v>3830</v>
      </c>
      <c r="F332" s="3157">
        <v>720</v>
      </c>
      <c r="G332" s="3157">
        <v>2090</v>
      </c>
      <c r="H332" s="956"/>
      <c r="I332" s="956"/>
      <c r="J332" s="3192"/>
      <c r="K332" s="3192"/>
      <c r="L332" s="3192"/>
      <c r="M332" s="3192"/>
      <c r="N332" s="3192"/>
      <c r="O332" s="3192"/>
      <c r="P332" s="3192"/>
      <c r="Q332" s="3192"/>
      <c r="R332" s="3192"/>
      <c r="S332" s="3192"/>
      <c r="T332" s="3192"/>
      <c r="U332" s="3192"/>
    </row>
    <row r="333" spans="1:21" s="959" customFormat="1" ht="14.25" customHeight="1">
      <c r="A333" s="3157" t="s">
        <v>1157</v>
      </c>
      <c r="B333" s="3157" t="s">
        <v>2987</v>
      </c>
      <c r="C333" s="3157">
        <v>3840</v>
      </c>
      <c r="D333" s="3157">
        <v>3800</v>
      </c>
      <c r="E333" s="3157">
        <v>4200</v>
      </c>
      <c r="F333" s="3157">
        <v>760</v>
      </c>
      <c r="G333" s="3157">
        <v>2270</v>
      </c>
      <c r="H333" s="956"/>
      <c r="I333" s="956"/>
      <c r="J333" s="3192"/>
      <c r="K333" s="3192"/>
      <c r="L333" s="3192"/>
      <c r="M333" s="3192"/>
      <c r="N333" s="3192"/>
      <c r="O333" s="3192"/>
      <c r="P333" s="3192"/>
      <c r="Q333" s="3192"/>
      <c r="R333" s="3192"/>
      <c r="S333" s="3192"/>
      <c r="T333" s="3192"/>
      <c r="U333" s="3192"/>
    </row>
    <row r="334" spans="1:21" s="959" customFormat="1" ht="14.25" customHeight="1">
      <c r="A334" s="3157" t="s">
        <v>1157</v>
      </c>
      <c r="B334" s="3157" t="s">
        <v>1030</v>
      </c>
      <c r="C334" s="3157">
        <v>3960</v>
      </c>
      <c r="D334" s="3157">
        <v>3910</v>
      </c>
      <c r="E334" s="3157">
        <v>4340</v>
      </c>
      <c r="F334" s="3157">
        <v>780</v>
      </c>
      <c r="G334" s="3157">
        <v>2340</v>
      </c>
      <c r="H334" s="956"/>
      <c r="I334" s="956"/>
      <c r="J334" s="3192"/>
      <c r="K334" s="3192"/>
      <c r="L334" s="3192"/>
      <c r="M334" s="3192"/>
      <c r="N334" s="3192"/>
      <c r="O334" s="3192"/>
      <c r="P334" s="3192"/>
      <c r="Q334" s="3192"/>
      <c r="R334" s="3192"/>
      <c r="S334" s="3192"/>
      <c r="T334" s="3192"/>
      <c r="U334" s="3192"/>
    </row>
    <row r="335" spans="1:21" s="959" customFormat="1" ht="14.25" customHeight="1">
      <c r="A335" s="3157" t="s">
        <v>1157</v>
      </c>
      <c r="B335" s="3157" t="s">
        <v>1040</v>
      </c>
      <c r="C335" s="3157">
        <v>3710</v>
      </c>
      <c r="D335" s="3157">
        <v>3670</v>
      </c>
      <c r="E335" s="3157">
        <v>4030</v>
      </c>
      <c r="F335" s="3157">
        <v>750</v>
      </c>
      <c r="G335" s="3166">
        <v>2200</v>
      </c>
      <c r="H335" s="956"/>
      <c r="I335" s="956"/>
      <c r="J335" s="3192"/>
      <c r="K335" s="3192"/>
      <c r="L335" s="3192"/>
      <c r="M335" s="3192"/>
      <c r="N335" s="3192"/>
      <c r="O335" s="3192"/>
      <c r="P335" s="3192"/>
      <c r="Q335" s="3192"/>
      <c r="R335" s="3192"/>
      <c r="S335" s="3192"/>
      <c r="T335" s="3192"/>
      <c r="U335" s="3192"/>
    </row>
    <row r="336" spans="1:21" s="959" customFormat="1" ht="14.25" customHeight="1">
      <c r="A336" s="3157" t="s">
        <v>1157</v>
      </c>
      <c r="B336" s="3157" t="s">
        <v>2988</v>
      </c>
      <c r="C336" s="3157">
        <v>3570</v>
      </c>
      <c r="D336" s="3157">
        <v>3530</v>
      </c>
      <c r="E336" s="3157">
        <v>3880</v>
      </c>
      <c r="F336" s="3157">
        <v>770</v>
      </c>
      <c r="G336" s="3157">
        <v>2110</v>
      </c>
      <c r="H336" s="956"/>
      <c r="I336" s="956"/>
      <c r="J336" s="3192"/>
      <c r="K336" s="3192"/>
      <c r="L336" s="3192"/>
      <c r="M336" s="3192"/>
      <c r="N336" s="3192"/>
      <c r="O336" s="3192"/>
      <c r="P336" s="3192"/>
      <c r="Q336" s="3192"/>
      <c r="R336" s="3192"/>
      <c r="S336" s="3192"/>
      <c r="T336" s="3192"/>
      <c r="U336" s="3192"/>
    </row>
    <row r="337" spans="1:21" s="959" customFormat="1" ht="14.25" customHeight="1">
      <c r="A337" s="3157" t="s">
        <v>1157</v>
      </c>
      <c r="B337" s="3157" t="s">
        <v>2989</v>
      </c>
      <c r="C337" s="3157">
        <v>3780</v>
      </c>
      <c r="D337" s="3157">
        <v>3750</v>
      </c>
      <c r="E337" s="3157">
        <v>4130</v>
      </c>
      <c r="F337" s="3157">
        <v>750</v>
      </c>
      <c r="G337" s="3157">
        <v>2240</v>
      </c>
      <c r="H337" s="956"/>
      <c r="I337" s="956"/>
      <c r="J337" s="3192"/>
      <c r="K337" s="3192"/>
      <c r="L337" s="3192"/>
      <c r="M337" s="3192"/>
      <c r="N337" s="3192"/>
      <c r="O337" s="3192"/>
      <c r="P337" s="3192"/>
      <c r="Q337" s="3192"/>
      <c r="R337" s="3192"/>
      <c r="S337" s="3192"/>
      <c r="T337" s="3192"/>
      <c r="U337" s="3192"/>
    </row>
    <row r="338" spans="1:21" s="959" customFormat="1" ht="14.25" customHeight="1">
      <c r="A338" s="3157" t="s">
        <v>1157</v>
      </c>
      <c r="B338" s="3157" t="s">
        <v>1068</v>
      </c>
      <c r="C338" s="3157">
        <v>3600</v>
      </c>
      <c r="D338" s="3157">
        <v>3570</v>
      </c>
      <c r="E338" s="3157">
        <v>3920</v>
      </c>
      <c r="F338" s="3157">
        <v>790</v>
      </c>
      <c r="G338" s="3166">
        <v>2140</v>
      </c>
      <c r="H338" s="956"/>
      <c r="I338" s="956"/>
      <c r="J338" s="3192"/>
      <c r="K338" s="3192"/>
      <c r="L338" s="3192"/>
      <c r="M338" s="3192"/>
      <c r="N338" s="3192"/>
      <c r="O338" s="3192"/>
      <c r="P338" s="3192"/>
      <c r="Q338" s="3192"/>
      <c r="R338" s="3192"/>
      <c r="S338" s="3192"/>
      <c r="T338" s="3192"/>
      <c r="U338" s="3192"/>
    </row>
    <row r="339" spans="1:21" s="959" customFormat="1" ht="14.25" customHeight="1">
      <c r="A339" s="3157" t="s">
        <v>1157</v>
      </c>
      <c r="B339" s="3157" t="s">
        <v>1076</v>
      </c>
      <c r="C339" s="3157">
        <v>3540</v>
      </c>
      <c r="D339" s="3157">
        <v>3500</v>
      </c>
      <c r="E339" s="3157">
        <v>3850</v>
      </c>
      <c r="F339" s="3157">
        <v>780</v>
      </c>
      <c r="G339" s="3166">
        <v>2100</v>
      </c>
      <c r="H339" s="956"/>
      <c r="I339" s="956"/>
      <c r="J339" s="3192"/>
      <c r="K339" s="3192"/>
      <c r="L339" s="3192"/>
      <c r="M339" s="3192"/>
      <c r="N339" s="3192"/>
      <c r="O339" s="3192"/>
      <c r="P339" s="3192"/>
      <c r="Q339" s="3192"/>
      <c r="R339" s="3192"/>
      <c r="S339" s="3192"/>
      <c r="T339" s="3192"/>
      <c r="U339" s="3192"/>
    </row>
    <row r="340" spans="1:21" s="959" customFormat="1" ht="14.25" customHeight="1">
      <c r="A340" s="3157" t="s">
        <v>1157</v>
      </c>
      <c r="B340" s="3157" t="s">
        <v>2990</v>
      </c>
      <c r="C340" s="3157">
        <v>3850</v>
      </c>
      <c r="D340" s="3157">
        <v>3810</v>
      </c>
      <c r="E340" s="3157">
        <v>4210</v>
      </c>
      <c r="F340" s="3157">
        <v>750</v>
      </c>
      <c r="G340" s="3166">
        <v>2280</v>
      </c>
      <c r="H340" s="956"/>
      <c r="I340" s="956"/>
      <c r="J340" s="3192"/>
      <c r="K340" s="3192"/>
      <c r="L340" s="3192"/>
      <c r="M340" s="3192"/>
      <c r="N340" s="3192"/>
      <c r="O340" s="3192"/>
      <c r="P340" s="3192"/>
      <c r="Q340" s="3192"/>
      <c r="R340" s="3192"/>
      <c r="S340" s="3192"/>
      <c r="T340" s="3192"/>
      <c r="U340" s="3192"/>
    </row>
    <row r="341" spans="1:21" s="959" customFormat="1" ht="14.25" customHeight="1">
      <c r="A341" s="3157" t="s">
        <v>1157</v>
      </c>
      <c r="B341" s="3157" t="s">
        <v>1054</v>
      </c>
      <c r="C341" s="3157">
        <v>3780</v>
      </c>
      <c r="D341" s="3157">
        <v>3750</v>
      </c>
      <c r="E341" s="3157">
        <v>4140</v>
      </c>
      <c r="F341" s="3157">
        <v>720</v>
      </c>
      <c r="G341" s="3157">
        <v>2240</v>
      </c>
      <c r="H341" s="956"/>
      <c r="I341" s="956"/>
      <c r="J341" s="3192"/>
      <c r="K341" s="3192"/>
      <c r="L341" s="3192"/>
      <c r="M341" s="3192"/>
      <c r="N341" s="3192"/>
      <c r="O341" s="3192"/>
      <c r="P341" s="3192"/>
      <c r="Q341" s="3192"/>
      <c r="R341" s="3192"/>
      <c r="S341" s="3192"/>
      <c r="T341" s="3192"/>
      <c r="U341" s="3192"/>
    </row>
    <row r="342" spans="1:21" s="959" customFormat="1" ht="14.25" customHeight="1">
      <c r="A342" s="3157" t="s">
        <v>1157</v>
      </c>
      <c r="B342" s="3157" t="s">
        <v>2991</v>
      </c>
      <c r="C342" s="3157">
        <v>3670</v>
      </c>
      <c r="D342" s="3157">
        <v>3620</v>
      </c>
      <c r="E342" s="3157">
        <v>3990</v>
      </c>
      <c r="F342" s="3157">
        <v>760</v>
      </c>
      <c r="G342" s="3157">
        <v>2170</v>
      </c>
      <c r="H342" s="956"/>
      <c r="I342" s="956"/>
      <c r="J342" s="3192"/>
      <c r="K342" s="3192"/>
      <c r="L342" s="3192"/>
      <c r="M342" s="3192"/>
      <c r="N342" s="3192"/>
      <c r="O342" s="3192"/>
      <c r="P342" s="3192"/>
      <c r="Q342" s="3192"/>
      <c r="R342" s="3192"/>
      <c r="S342" s="3192"/>
      <c r="T342" s="3192"/>
      <c r="U342" s="3192"/>
    </row>
    <row r="343" spans="1:21" s="959" customFormat="1" ht="14.25" customHeight="1">
      <c r="A343" s="3157" t="s">
        <v>1157</v>
      </c>
      <c r="B343" s="3157" t="s">
        <v>1105</v>
      </c>
      <c r="C343" s="3157">
        <v>3760</v>
      </c>
      <c r="D343" s="3157">
        <v>3720</v>
      </c>
      <c r="E343" s="3157">
        <v>4090</v>
      </c>
      <c r="F343" s="3157">
        <v>780</v>
      </c>
      <c r="G343" s="3157">
        <v>2220</v>
      </c>
      <c r="H343" s="956"/>
      <c r="I343" s="956"/>
      <c r="J343" s="3192"/>
      <c r="K343" s="3192"/>
      <c r="L343" s="3192"/>
      <c r="M343" s="3192"/>
      <c r="N343" s="3192"/>
      <c r="O343" s="3192"/>
      <c r="P343" s="3192"/>
      <c r="Q343" s="3192"/>
      <c r="R343" s="3192"/>
      <c r="S343" s="3192"/>
      <c r="T343" s="3192"/>
      <c r="U343" s="3192"/>
    </row>
    <row r="344" spans="1:21" s="959" customFormat="1" ht="14.25" customHeight="1">
      <c r="A344" s="3157" t="s">
        <v>1157</v>
      </c>
      <c r="B344" s="3157" t="s">
        <v>1113</v>
      </c>
      <c r="C344" s="3157">
        <v>3680</v>
      </c>
      <c r="D344" s="3157">
        <v>3640</v>
      </c>
      <c r="E344" s="3157">
        <v>4010</v>
      </c>
      <c r="F344" s="3157">
        <v>750</v>
      </c>
      <c r="G344" s="3157">
        <v>2180</v>
      </c>
      <c r="H344" s="956"/>
      <c r="I344" s="956"/>
      <c r="J344" s="3192"/>
      <c r="K344" s="3192"/>
      <c r="L344" s="3192"/>
      <c r="M344" s="3192"/>
      <c r="N344" s="3192"/>
      <c r="O344" s="3192"/>
      <c r="P344" s="3192"/>
      <c r="Q344" s="3192"/>
      <c r="R344" s="3192"/>
      <c r="S344" s="3192"/>
      <c r="T344" s="3192"/>
      <c r="U344" s="3192"/>
    </row>
    <row r="345" spans="1:21">
      <c r="A345" s="3166" t="s">
        <v>1157</v>
      </c>
      <c r="B345" s="3166" t="s">
        <v>2992</v>
      </c>
      <c r="C345" s="3166">
        <v>3190</v>
      </c>
      <c r="D345" s="3166">
        <v>3140</v>
      </c>
      <c r="E345" s="3166">
        <v>3450</v>
      </c>
      <c r="F345" s="3166">
        <v>720</v>
      </c>
      <c r="G345" s="3166">
        <v>1880</v>
      </c>
      <c r="H345" s="956"/>
    </row>
    <row r="346" spans="1:21">
      <c r="A346" s="3166" t="s">
        <v>1157</v>
      </c>
      <c r="B346" s="3166" t="s">
        <v>2993</v>
      </c>
      <c r="C346" s="3166">
        <v>3630</v>
      </c>
      <c r="D346" s="3166">
        <v>3590</v>
      </c>
      <c r="E346" s="3166">
        <v>3940</v>
      </c>
      <c r="F346" s="3166">
        <v>730</v>
      </c>
      <c r="G346" s="3166">
        <v>2150</v>
      </c>
      <c r="H346" s="956"/>
    </row>
    <row r="347" spans="1:21">
      <c r="A347" s="3166" t="s">
        <v>1157</v>
      </c>
      <c r="B347" s="3166" t="s">
        <v>1091</v>
      </c>
      <c r="C347" s="3166">
        <v>3860</v>
      </c>
      <c r="D347" s="3166">
        <v>3820</v>
      </c>
      <c r="E347" s="3166">
        <v>4220</v>
      </c>
      <c r="F347" s="3166">
        <v>750</v>
      </c>
      <c r="G347" s="3166">
        <v>2280</v>
      </c>
      <c r="H347" s="956"/>
    </row>
    <row r="348" spans="1:21">
      <c r="A348" s="3166" t="s">
        <v>1157</v>
      </c>
      <c r="B348" s="3166" t="s">
        <v>2994</v>
      </c>
      <c r="C348" s="3166">
        <v>4000</v>
      </c>
      <c r="D348" s="3166">
        <v>3950</v>
      </c>
      <c r="E348" s="3166">
        <v>4430</v>
      </c>
      <c r="F348" s="3166">
        <v>760</v>
      </c>
      <c r="G348" s="3166">
        <v>2360</v>
      </c>
      <c r="H348" s="956"/>
    </row>
    <row r="349" spans="1:21">
      <c r="A349" s="3166" t="s">
        <v>1157</v>
      </c>
      <c r="B349" s="3166" t="s">
        <v>2995</v>
      </c>
      <c r="C349" s="3166">
        <v>3820</v>
      </c>
      <c r="D349" s="3166">
        <v>3780</v>
      </c>
      <c r="E349" s="3166">
        <v>4170</v>
      </c>
      <c r="F349" s="3166">
        <v>710</v>
      </c>
      <c r="G349" s="3166">
        <v>2260</v>
      </c>
      <c r="H349" s="956"/>
    </row>
    <row r="350" spans="1:21">
      <c r="A350" s="3166" t="s">
        <v>1157</v>
      </c>
      <c r="B350" s="3166" t="s">
        <v>2996</v>
      </c>
      <c r="C350" s="3166">
        <v>3760</v>
      </c>
      <c r="D350" s="3166">
        <v>3730</v>
      </c>
      <c r="E350" s="3166">
        <v>4100</v>
      </c>
      <c r="F350" s="3166">
        <v>800</v>
      </c>
      <c r="G350" s="3166">
        <v>2230</v>
      </c>
      <c r="H350" s="956"/>
    </row>
    <row r="351" spans="1:21">
      <c r="A351" s="3166" t="s">
        <v>1157</v>
      </c>
      <c r="B351" s="3166" t="s">
        <v>2997</v>
      </c>
      <c r="C351" s="3166">
        <v>3610</v>
      </c>
      <c r="D351" s="3166">
        <v>3580</v>
      </c>
      <c r="E351" s="3166">
        <v>3930</v>
      </c>
      <c r="F351" s="3166">
        <v>700</v>
      </c>
      <c r="G351" s="3166">
        <v>2140</v>
      </c>
      <c r="H351" s="956"/>
    </row>
    <row r="352" spans="1:21">
      <c r="A352" s="3166" t="s">
        <v>1157</v>
      </c>
      <c r="B352" s="3166" t="s">
        <v>2998</v>
      </c>
      <c r="C352" s="3166">
        <v>3670</v>
      </c>
      <c r="D352" s="3166">
        <v>3630</v>
      </c>
      <c r="E352" s="3166">
        <v>4000</v>
      </c>
      <c r="F352" s="3166">
        <v>750</v>
      </c>
      <c r="G352" s="3166">
        <v>2180</v>
      </c>
      <c r="H352" s="956"/>
    </row>
    <row r="353" spans="1:8">
      <c r="A353" s="3166" t="s">
        <v>1157</v>
      </c>
      <c r="B353" s="3166" t="s">
        <v>2999</v>
      </c>
      <c r="C353" s="3166">
        <v>3190</v>
      </c>
      <c r="D353" s="3166">
        <v>3150</v>
      </c>
      <c r="E353" s="3166">
        <v>3640</v>
      </c>
      <c r="F353" s="3166">
        <v>630</v>
      </c>
      <c r="G353" s="3166">
        <v>1890</v>
      </c>
      <c r="H353" s="956"/>
    </row>
    <row r="354" spans="1:8">
      <c r="A354" s="3166" t="s">
        <v>1157</v>
      </c>
      <c r="B354" s="3166" t="s">
        <v>1129</v>
      </c>
      <c r="C354" s="3166">
        <v>3450</v>
      </c>
      <c r="D354" s="3166">
        <v>3420</v>
      </c>
      <c r="E354" s="3166">
        <v>3960</v>
      </c>
      <c r="F354" s="3166">
        <v>660</v>
      </c>
      <c r="G354" s="3166">
        <v>2050</v>
      </c>
      <c r="H354" s="956"/>
    </row>
    <row r="355" spans="1:8">
      <c r="A355" s="3166" t="s">
        <v>1157</v>
      </c>
      <c r="B355" s="3166" t="s">
        <v>3000</v>
      </c>
      <c r="C355" s="3166">
        <v>3650</v>
      </c>
      <c r="D355" s="3166">
        <v>3610</v>
      </c>
      <c r="E355" s="3166">
        <v>4200</v>
      </c>
      <c r="F355" s="3166">
        <v>640</v>
      </c>
      <c r="G355" s="3166">
        <v>2160</v>
      </c>
      <c r="H355" s="956"/>
    </row>
    <row r="356" spans="1:8">
      <c r="A356" s="3166" t="s">
        <v>1157</v>
      </c>
      <c r="B356" s="3166" t="s">
        <v>3001</v>
      </c>
      <c r="C356" s="3166">
        <v>3260</v>
      </c>
      <c r="D356" s="3166">
        <v>3230</v>
      </c>
      <c r="E356" s="3166">
        <v>3740</v>
      </c>
      <c r="F356" s="3166">
        <v>600</v>
      </c>
      <c r="G356" s="3166">
        <v>1930</v>
      </c>
      <c r="H356" s="956"/>
    </row>
    <row r="357" spans="1:8" ht="14.25" thickBot="1">
      <c r="A357" s="3181" t="s">
        <v>1157</v>
      </c>
      <c r="B357" s="3181" t="s">
        <v>3002</v>
      </c>
      <c r="C357" s="3181">
        <v>3690</v>
      </c>
      <c r="D357" s="3181">
        <v>3650</v>
      </c>
      <c r="E357" s="3181">
        <v>4020</v>
      </c>
      <c r="F357" s="3181">
        <v>700</v>
      </c>
      <c r="G357" s="3181">
        <v>2190</v>
      </c>
      <c r="H357" s="956"/>
    </row>
    <row r="358" spans="1:8">
      <c r="A358" s="3182" t="s">
        <v>2758</v>
      </c>
      <c r="B358" s="3183" t="s">
        <v>3003</v>
      </c>
      <c r="C358" s="3183">
        <v>2080</v>
      </c>
      <c r="D358" s="3183">
        <v>2040</v>
      </c>
      <c r="E358" s="3183">
        <v>2010</v>
      </c>
      <c r="F358" s="3183">
        <v>530</v>
      </c>
      <c r="G358" s="3184">
        <v>1230</v>
      </c>
      <c r="H358" s="956"/>
    </row>
    <row r="359" spans="1:8">
      <c r="A359" s="3185" t="s">
        <v>2758</v>
      </c>
      <c r="B359" s="3166" t="s">
        <v>3004</v>
      </c>
      <c r="C359" s="3166">
        <v>1850</v>
      </c>
      <c r="D359" s="3166">
        <v>1820</v>
      </c>
      <c r="E359" s="3166">
        <v>1780</v>
      </c>
      <c r="F359" s="3166">
        <v>520</v>
      </c>
      <c r="G359" s="3178">
        <v>1100</v>
      </c>
      <c r="H359" s="956"/>
    </row>
    <row r="360" spans="1:8">
      <c r="A360" s="3185" t="s">
        <v>2758</v>
      </c>
      <c r="B360" s="3166" t="s">
        <v>3005</v>
      </c>
      <c r="C360" s="3166">
        <v>2020</v>
      </c>
      <c r="D360" s="3166">
        <v>1990</v>
      </c>
      <c r="E360" s="3166">
        <v>1950</v>
      </c>
      <c r="F360" s="3166">
        <v>500</v>
      </c>
      <c r="G360" s="3178">
        <v>1200</v>
      </c>
      <c r="H360" s="956"/>
    </row>
    <row r="361" spans="1:8">
      <c r="A361" s="3185" t="s">
        <v>2758</v>
      </c>
      <c r="B361" s="3166" t="s">
        <v>999</v>
      </c>
      <c r="C361" s="3166">
        <v>2260</v>
      </c>
      <c r="D361" s="3166">
        <v>2220</v>
      </c>
      <c r="E361" s="3166">
        <v>2180</v>
      </c>
      <c r="F361" s="3166">
        <v>580</v>
      </c>
      <c r="G361" s="3178">
        <v>1340</v>
      </c>
      <c r="H361" s="956"/>
    </row>
    <row r="362" spans="1:8">
      <c r="A362" s="3185" t="s">
        <v>2758</v>
      </c>
      <c r="B362" s="3166" t="s">
        <v>3006</v>
      </c>
      <c r="C362" s="3166">
        <v>2650</v>
      </c>
      <c r="D362" s="3166">
        <v>2610</v>
      </c>
      <c r="E362" s="3166">
        <v>2570</v>
      </c>
      <c r="F362" s="3166">
        <v>630</v>
      </c>
      <c r="G362" s="3178">
        <v>1570</v>
      </c>
      <c r="H362" s="956"/>
    </row>
    <row r="363" spans="1:8">
      <c r="A363" s="3185" t="s">
        <v>2758</v>
      </c>
      <c r="B363" s="3166" t="s">
        <v>3007</v>
      </c>
      <c r="C363" s="3166">
        <v>2390</v>
      </c>
      <c r="D363" s="3166">
        <v>2360</v>
      </c>
      <c r="E363" s="3166">
        <v>2320</v>
      </c>
      <c r="F363" s="3166">
        <v>600</v>
      </c>
      <c r="G363" s="3178">
        <v>1420</v>
      </c>
      <c r="H363" s="956"/>
    </row>
    <row r="364" spans="1:8">
      <c r="A364" s="3185" t="s">
        <v>2758</v>
      </c>
      <c r="B364" s="3166" t="s">
        <v>3008</v>
      </c>
      <c r="C364" s="3166">
        <v>2050</v>
      </c>
      <c r="D364" s="3166">
        <v>2030</v>
      </c>
      <c r="E364" s="3166">
        <v>1990</v>
      </c>
      <c r="F364" s="3166">
        <v>550</v>
      </c>
      <c r="G364" s="3178">
        <v>1220</v>
      </c>
      <c r="H364" s="956"/>
    </row>
    <row r="365" spans="1:8">
      <c r="A365" s="3185" t="s">
        <v>2758</v>
      </c>
      <c r="B365" s="3166" t="s">
        <v>1047</v>
      </c>
      <c r="C365" s="3166">
        <v>2140</v>
      </c>
      <c r="D365" s="3166">
        <v>2100</v>
      </c>
      <c r="E365" s="3166">
        <v>2060</v>
      </c>
      <c r="F365" s="3166">
        <v>540</v>
      </c>
      <c r="G365" s="3178">
        <v>1270</v>
      </c>
      <c r="H365" s="956"/>
    </row>
    <row r="366" spans="1:8">
      <c r="A366" s="3185" t="s">
        <v>2758</v>
      </c>
      <c r="B366" s="3166" t="s">
        <v>3009</v>
      </c>
      <c r="C366" s="3166">
        <v>2410</v>
      </c>
      <c r="D366" s="3166">
        <v>2370</v>
      </c>
      <c r="E366" s="3166">
        <v>2330</v>
      </c>
      <c r="F366" s="3166">
        <v>570</v>
      </c>
      <c r="G366" s="3178">
        <v>1440</v>
      </c>
      <c r="H366" s="956"/>
    </row>
    <row r="367" spans="1:8">
      <c r="A367" s="3185" t="s">
        <v>2758</v>
      </c>
      <c r="B367" s="3166" t="s">
        <v>3010</v>
      </c>
      <c r="C367" s="3166">
        <v>2300</v>
      </c>
      <c r="D367" s="3166">
        <v>2260</v>
      </c>
      <c r="E367" s="3166">
        <v>2220</v>
      </c>
      <c r="F367" s="3166">
        <v>560</v>
      </c>
      <c r="G367" s="3178">
        <v>1370</v>
      </c>
      <c r="H367" s="956"/>
    </row>
    <row r="368" spans="1:8">
      <c r="A368" s="3185" t="s">
        <v>2758</v>
      </c>
      <c r="B368" s="3166" t="s">
        <v>3011</v>
      </c>
      <c r="C368" s="3166">
        <v>2430</v>
      </c>
      <c r="D368" s="3166">
        <v>2390</v>
      </c>
      <c r="E368" s="3166">
        <v>2350</v>
      </c>
      <c r="F368" s="3166">
        <v>570</v>
      </c>
      <c r="G368" s="3178">
        <v>1450</v>
      </c>
      <c r="H368" s="956"/>
    </row>
    <row r="369" spans="1:8">
      <c r="A369" s="3185" t="s">
        <v>2758</v>
      </c>
      <c r="B369" s="3166" t="s">
        <v>1061</v>
      </c>
      <c r="C369" s="3166">
        <v>2320</v>
      </c>
      <c r="D369" s="3166">
        <v>2290</v>
      </c>
      <c r="E369" s="3166">
        <v>2250</v>
      </c>
      <c r="F369" s="3166">
        <v>550</v>
      </c>
      <c r="G369" s="3178">
        <v>1380</v>
      </c>
      <c r="H369" s="956"/>
    </row>
    <row r="370" spans="1:8">
      <c r="A370" s="3185" t="s">
        <v>2758</v>
      </c>
      <c r="B370" s="3166" t="s">
        <v>1069</v>
      </c>
      <c r="C370" s="3166">
        <v>2190</v>
      </c>
      <c r="D370" s="3166">
        <v>2170</v>
      </c>
      <c r="E370" s="3166">
        <v>2130</v>
      </c>
      <c r="F370" s="3166">
        <v>530</v>
      </c>
      <c r="G370" s="3178">
        <v>1310</v>
      </c>
      <c r="H370" s="956"/>
    </row>
    <row r="371" spans="1:8">
      <c r="A371" s="3185" t="s">
        <v>2758</v>
      </c>
      <c r="B371" s="3166" t="s">
        <v>1077</v>
      </c>
      <c r="C371" s="3166">
        <v>2460</v>
      </c>
      <c r="D371" s="3166">
        <v>2420</v>
      </c>
      <c r="E371" s="3166">
        <v>2370</v>
      </c>
      <c r="F371" s="3166">
        <v>560</v>
      </c>
      <c r="G371" s="3178">
        <v>1470</v>
      </c>
      <c r="H371" s="956"/>
    </row>
    <row r="372" spans="1:8">
      <c r="A372" s="3185" t="s">
        <v>2758</v>
      </c>
      <c r="B372" s="3166" t="s">
        <v>3012</v>
      </c>
      <c r="C372" s="3166">
        <v>2250</v>
      </c>
      <c r="D372" s="3166">
        <v>2210</v>
      </c>
      <c r="E372" s="3166">
        <v>2180</v>
      </c>
      <c r="F372" s="3166">
        <v>550</v>
      </c>
      <c r="G372" s="3178">
        <v>1340</v>
      </c>
      <c r="H372" s="956"/>
    </row>
    <row r="373" spans="1:8">
      <c r="A373" s="3185" t="s">
        <v>2758</v>
      </c>
      <c r="B373" s="3166" t="s">
        <v>1106</v>
      </c>
      <c r="C373" s="3166">
        <v>2210</v>
      </c>
      <c r="D373" s="3166">
        <v>2190</v>
      </c>
      <c r="E373" s="3166">
        <v>2150</v>
      </c>
      <c r="F373" s="3166">
        <v>530</v>
      </c>
      <c r="G373" s="3178">
        <v>1320</v>
      </c>
      <c r="H373" s="956"/>
    </row>
    <row r="374" spans="1:8">
      <c r="A374" s="3185" t="s">
        <v>2758</v>
      </c>
      <c r="B374" s="3166" t="s">
        <v>1114</v>
      </c>
      <c r="C374" s="3166">
        <v>2320</v>
      </c>
      <c r="D374" s="3166">
        <v>2280</v>
      </c>
      <c r="E374" s="3166">
        <v>2230</v>
      </c>
      <c r="F374" s="3166">
        <v>580</v>
      </c>
      <c r="G374" s="3178">
        <v>1380</v>
      </c>
      <c r="H374" s="956"/>
    </row>
    <row r="375" spans="1:8">
      <c r="A375" s="3185" t="s">
        <v>2758</v>
      </c>
      <c r="B375" s="3166" t="s">
        <v>3013</v>
      </c>
      <c r="C375" s="3166">
        <v>2090</v>
      </c>
      <c r="D375" s="3166">
        <v>2050</v>
      </c>
      <c r="E375" s="3166">
        <v>2020</v>
      </c>
      <c r="F375" s="3166">
        <v>520</v>
      </c>
      <c r="G375" s="3178">
        <v>1240</v>
      </c>
      <c r="H375" s="956"/>
    </row>
    <row r="376" spans="1:8">
      <c r="A376" s="3185" t="s">
        <v>2758</v>
      </c>
      <c r="B376" s="3166" t="s">
        <v>1126</v>
      </c>
      <c r="C376" s="3166">
        <v>2010</v>
      </c>
      <c r="D376" s="3166">
        <v>1980</v>
      </c>
      <c r="E376" s="3166">
        <v>1940</v>
      </c>
      <c r="F376" s="3166">
        <v>540</v>
      </c>
      <c r="G376" s="3178">
        <v>1190</v>
      </c>
      <c r="H376" s="956"/>
    </row>
    <row r="377" spans="1:8" ht="14.25" thickBot="1">
      <c r="A377" s="3187" t="s">
        <v>2758</v>
      </c>
      <c r="B377" s="3181" t="s">
        <v>3014</v>
      </c>
      <c r="C377" s="3181">
        <v>1930</v>
      </c>
      <c r="D377" s="3181">
        <v>1890</v>
      </c>
      <c r="E377" s="3181">
        <v>1860</v>
      </c>
      <c r="F377" s="3181">
        <v>530</v>
      </c>
      <c r="G377" s="3188">
        <v>1150</v>
      </c>
      <c r="H377" s="956"/>
    </row>
    <row r="378" spans="1:8">
      <c r="A378" s="3182" t="s">
        <v>2759</v>
      </c>
      <c r="B378" s="3183" t="s">
        <v>3015</v>
      </c>
      <c r="C378" s="3183">
        <v>1520</v>
      </c>
      <c r="D378" s="3183">
        <v>1490</v>
      </c>
      <c r="E378" s="3183">
        <v>1460</v>
      </c>
      <c r="F378" s="3183">
        <v>460</v>
      </c>
      <c r="G378" s="3184">
        <v>940</v>
      </c>
      <c r="H378" s="956"/>
    </row>
    <row r="379" spans="1:8">
      <c r="A379" s="3185" t="s">
        <v>2759</v>
      </c>
      <c r="B379" s="3166" t="s">
        <v>3016</v>
      </c>
      <c r="C379" s="3166">
        <v>1500</v>
      </c>
      <c r="D379" s="3166">
        <v>1470</v>
      </c>
      <c r="E379" s="3166">
        <v>1430</v>
      </c>
      <c r="F379" s="3166">
        <v>460</v>
      </c>
      <c r="G379" s="3178">
        <v>920</v>
      </c>
      <c r="H379" s="956"/>
    </row>
    <row r="380" spans="1:8">
      <c r="A380" s="3185" t="s">
        <v>2759</v>
      </c>
      <c r="B380" s="3166" t="s">
        <v>3017</v>
      </c>
      <c r="C380" s="3166">
        <v>1620</v>
      </c>
      <c r="D380" s="3166">
        <v>1590</v>
      </c>
      <c r="E380" s="3166">
        <v>1560</v>
      </c>
      <c r="F380" s="3166">
        <v>480</v>
      </c>
      <c r="G380" s="3178">
        <v>1000</v>
      </c>
      <c r="H380" s="956"/>
    </row>
    <row r="381" spans="1:8">
      <c r="A381" s="3185" t="s">
        <v>2759</v>
      </c>
      <c r="B381" s="3166" t="s">
        <v>3018</v>
      </c>
      <c r="C381" s="3166">
        <v>1460</v>
      </c>
      <c r="D381" s="3166">
        <v>1430</v>
      </c>
      <c r="E381" s="3166">
        <v>1390</v>
      </c>
      <c r="F381" s="3166">
        <v>450</v>
      </c>
      <c r="G381" s="3178">
        <v>900</v>
      </c>
      <c r="H381" s="956"/>
    </row>
    <row r="382" spans="1:8">
      <c r="A382" s="3185" t="s">
        <v>2759</v>
      </c>
      <c r="B382" s="3166" t="s">
        <v>3019</v>
      </c>
      <c r="C382" s="3166">
        <v>1310</v>
      </c>
      <c r="D382" s="3166">
        <v>1280</v>
      </c>
      <c r="E382" s="3166">
        <v>1250</v>
      </c>
      <c r="F382" s="3166">
        <v>440</v>
      </c>
      <c r="G382" s="3178">
        <v>800</v>
      </c>
      <c r="H382" s="956"/>
    </row>
    <row r="383" spans="1:8">
      <c r="A383" s="3185" t="s">
        <v>2759</v>
      </c>
      <c r="B383" s="3166" t="s">
        <v>3020</v>
      </c>
      <c r="C383" s="3166">
        <v>1260</v>
      </c>
      <c r="D383" s="3166">
        <v>1230</v>
      </c>
      <c r="E383" s="3166">
        <v>1200</v>
      </c>
      <c r="F383" s="3166">
        <v>420</v>
      </c>
      <c r="G383" s="3178">
        <v>770</v>
      </c>
      <c r="H383" s="956"/>
    </row>
    <row r="384" spans="1:8" ht="14.25" thickBot="1">
      <c r="A384" s="3186" t="s">
        <v>2759</v>
      </c>
      <c r="B384" s="3180" t="s">
        <v>3021</v>
      </c>
      <c r="C384" s="3180">
        <v>1170</v>
      </c>
      <c r="D384" s="3180">
        <v>1140</v>
      </c>
      <c r="E384" s="3180">
        <v>1120</v>
      </c>
      <c r="F384" s="3180">
        <v>400</v>
      </c>
      <c r="G384" s="3176">
        <v>710</v>
      </c>
      <c r="H384" s="95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F17"/>
  <sheetViews>
    <sheetView workbookViewId="0">
      <selection sqref="A1:XFD1048576"/>
    </sheetView>
  </sheetViews>
  <sheetFormatPr defaultColWidth="8.875" defaultRowHeight="13.5"/>
  <sheetData>
    <row r="1" spans="1:6">
      <c r="A1" s="3791" t="s">
        <v>3184</v>
      </c>
      <c r="B1" s="3791"/>
      <c r="C1" s="3791"/>
      <c r="D1" s="3791"/>
      <c r="E1" s="3791"/>
      <c r="F1" s="3792"/>
    </row>
    <row r="2" spans="1:6">
      <c r="A2" s="3231" t="s">
        <v>3185</v>
      </c>
      <c r="B2" s="1489"/>
      <c r="C2" s="1489"/>
      <c r="D2" s="1489"/>
      <c r="E2" s="1489"/>
      <c r="F2" s="1489"/>
    </row>
    <row r="3" spans="1:6">
      <c r="A3" s="3231" t="s">
        <v>3186</v>
      </c>
      <c r="B3" s="1489"/>
      <c r="C3" s="1489"/>
      <c r="D3" s="1489"/>
      <c r="E3" s="1489"/>
      <c r="F3" s="3232" t="s">
        <v>3187</v>
      </c>
    </row>
    <row r="4" spans="1:6">
      <c r="A4" s="3233" t="s">
        <v>3182</v>
      </c>
      <c r="B4" s="3233" t="s">
        <v>2735</v>
      </c>
      <c r="C4" s="3233" t="s">
        <v>1212</v>
      </c>
      <c r="D4" s="3233" t="s">
        <v>3183</v>
      </c>
      <c r="E4" s="3233" t="s">
        <v>905</v>
      </c>
      <c r="F4" s="3233" t="s">
        <v>3188</v>
      </c>
    </row>
    <row r="5" spans="1:6">
      <c r="A5" s="3234" t="s">
        <v>2757</v>
      </c>
      <c r="B5" s="3233"/>
      <c r="C5" s="3233"/>
      <c r="D5" s="3233"/>
      <c r="E5" s="3233"/>
      <c r="F5" s="3235"/>
    </row>
    <row r="6" spans="1:6">
      <c r="A6" s="3234" t="s">
        <v>990</v>
      </c>
      <c r="B6" s="3236">
        <v>35380</v>
      </c>
      <c r="C6" s="3236">
        <v>35180</v>
      </c>
      <c r="D6" s="3236">
        <v>35030</v>
      </c>
      <c r="E6" s="3236">
        <v>13780</v>
      </c>
      <c r="F6" s="3236">
        <v>25980</v>
      </c>
    </row>
    <row r="7" spans="1:6">
      <c r="A7" s="3234" t="s">
        <v>1031</v>
      </c>
      <c r="B7" s="3236">
        <v>29960</v>
      </c>
      <c r="C7" s="3236">
        <v>29800</v>
      </c>
      <c r="D7" s="3236">
        <v>29690</v>
      </c>
      <c r="E7" s="3236">
        <v>10100</v>
      </c>
      <c r="F7" s="3236">
        <v>21690</v>
      </c>
    </row>
    <row r="8" spans="1:6">
      <c r="A8" s="3234" t="s">
        <v>1145</v>
      </c>
      <c r="B8" s="3236">
        <v>24480</v>
      </c>
      <c r="C8" s="3236">
        <v>24380</v>
      </c>
      <c r="D8" s="3236">
        <v>25590</v>
      </c>
      <c r="E8" s="3236">
        <v>7010</v>
      </c>
      <c r="F8" s="3236">
        <v>17060</v>
      </c>
    </row>
    <row r="9" spans="1:6">
      <c r="A9" s="3234" t="s">
        <v>853</v>
      </c>
      <c r="B9" s="3236">
        <v>19370</v>
      </c>
      <c r="C9" s="3236">
        <v>19290</v>
      </c>
      <c r="D9" s="3236">
        <v>21280</v>
      </c>
      <c r="E9" s="3236">
        <v>4910</v>
      </c>
      <c r="F9" s="3236">
        <v>13090</v>
      </c>
    </row>
    <row r="10" spans="1:6">
      <c r="A10" s="3234" t="s">
        <v>1152</v>
      </c>
      <c r="B10" s="3236">
        <v>15050</v>
      </c>
      <c r="C10" s="3236">
        <v>14980</v>
      </c>
      <c r="D10" s="3236">
        <v>17300</v>
      </c>
      <c r="E10" s="3236">
        <v>3450</v>
      </c>
      <c r="F10" s="3236">
        <v>9900</v>
      </c>
    </row>
    <row r="11" spans="1:6">
      <c r="A11" s="3234" t="s">
        <v>1153</v>
      </c>
      <c r="B11" s="3236">
        <v>11550</v>
      </c>
      <c r="C11" s="3236">
        <v>11490</v>
      </c>
      <c r="D11" s="3236">
        <v>13850</v>
      </c>
      <c r="E11" s="3236">
        <v>2400</v>
      </c>
      <c r="F11" s="3236">
        <v>7390</v>
      </c>
    </row>
    <row r="12" spans="1:6">
      <c r="A12" s="3234" t="s">
        <v>1154</v>
      </c>
      <c r="B12" s="3236">
        <v>8630</v>
      </c>
      <c r="C12" s="3236">
        <v>8580</v>
      </c>
      <c r="D12" s="3236">
        <v>10740</v>
      </c>
      <c r="E12" s="3236">
        <v>1720</v>
      </c>
      <c r="F12" s="3236">
        <v>5420</v>
      </c>
    </row>
    <row r="13" spans="1:6">
      <c r="A13" s="3234" t="s">
        <v>1155</v>
      </c>
      <c r="B13" s="3236">
        <v>6620</v>
      </c>
      <c r="C13" s="3236">
        <v>6580</v>
      </c>
      <c r="D13" s="3236">
        <v>7830</v>
      </c>
      <c r="E13" s="3236">
        <v>1260</v>
      </c>
      <c r="F13" s="3236">
        <v>4040</v>
      </c>
    </row>
    <row r="14" spans="1:6">
      <c r="A14" s="3234" t="s">
        <v>1156</v>
      </c>
      <c r="B14" s="3236">
        <v>4900</v>
      </c>
      <c r="C14" s="3236">
        <v>4860</v>
      </c>
      <c r="D14" s="3236">
        <v>5540</v>
      </c>
      <c r="E14" s="3236">
        <v>950</v>
      </c>
      <c r="F14" s="3236">
        <v>2930</v>
      </c>
    </row>
    <row r="15" spans="1:6">
      <c r="A15" s="3234" t="s">
        <v>1157</v>
      </c>
      <c r="B15" s="3236">
        <v>3380</v>
      </c>
      <c r="C15" s="3236">
        <v>3340</v>
      </c>
      <c r="D15" s="3236">
        <v>3630</v>
      </c>
      <c r="E15" s="3236">
        <v>730</v>
      </c>
      <c r="F15" s="3236">
        <v>1990</v>
      </c>
    </row>
    <row r="16" spans="1:6">
      <c r="A16" s="3234" t="s">
        <v>2758</v>
      </c>
      <c r="B16" s="3236">
        <v>2230</v>
      </c>
      <c r="C16" s="3236">
        <v>2200</v>
      </c>
      <c r="D16" s="3236">
        <v>2180</v>
      </c>
      <c r="E16" s="3236">
        <v>570</v>
      </c>
      <c r="F16" s="3236">
        <v>1330</v>
      </c>
    </row>
    <row r="17" spans="1:6">
      <c r="A17" s="3234" t="s">
        <v>2759</v>
      </c>
      <c r="B17" s="3236">
        <v>1390</v>
      </c>
      <c r="C17" s="3236">
        <v>1360</v>
      </c>
      <c r="D17" s="3236">
        <v>1340</v>
      </c>
      <c r="E17" s="3236">
        <v>450</v>
      </c>
      <c r="F17" s="3236">
        <v>860</v>
      </c>
    </row>
  </sheetData>
  <sheetProtection password="CEE9" sheet="1" objects="1" scenarios="1"/>
  <mergeCells count="1">
    <mergeCell ref="A1:F1"/>
  </mergeCells>
  <phoneticPr fontId="22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60"/>
  <sheetViews>
    <sheetView topLeftCell="A341" zoomScale="70" zoomScaleNormal="70" workbookViewId="0">
      <selection activeCell="A341" sqref="A1:XFD1048576"/>
    </sheetView>
  </sheetViews>
  <sheetFormatPr defaultColWidth="9" defaultRowHeight="13.5"/>
  <cols>
    <col min="1" max="1" width="9" style="938"/>
    <col min="2" max="16384" width="9" style="920"/>
  </cols>
  <sheetData>
    <row r="1" spans="1:14" ht="14.25">
      <c r="A1" s="3084" t="s">
        <v>2771</v>
      </c>
      <c r="B1" s="919"/>
      <c r="C1" s="919"/>
      <c r="D1" s="919"/>
      <c r="E1" s="919"/>
      <c r="F1" s="919"/>
      <c r="G1" s="919"/>
      <c r="H1" s="919"/>
      <c r="I1" s="919"/>
      <c r="J1" s="919"/>
      <c r="K1" s="919"/>
      <c r="L1" s="919"/>
      <c r="M1" s="919"/>
      <c r="N1" s="919"/>
    </row>
    <row r="2" spans="1:14">
      <c r="A2" s="921" t="s">
        <v>1548</v>
      </c>
      <c r="B2" s="922" t="s">
        <v>990</v>
      </c>
      <c r="C2" s="922" t="s">
        <v>1031</v>
      </c>
      <c r="D2" s="922" t="s">
        <v>1145</v>
      </c>
      <c r="E2" s="922" t="s">
        <v>853</v>
      </c>
      <c r="F2" s="922" t="s">
        <v>1152</v>
      </c>
      <c r="G2" s="922" t="s">
        <v>1153</v>
      </c>
      <c r="H2" s="923" t="s">
        <v>1154</v>
      </c>
      <c r="I2" s="923" t="s">
        <v>1155</v>
      </c>
      <c r="J2" s="924" t="s">
        <v>1156</v>
      </c>
      <c r="K2" s="924" t="s">
        <v>1157</v>
      </c>
      <c r="L2" s="924" t="s">
        <v>2758</v>
      </c>
      <c r="M2" s="924" t="s">
        <v>2759</v>
      </c>
    </row>
    <row r="3" spans="1:14">
      <c r="A3" s="921">
        <v>1</v>
      </c>
      <c r="B3" s="930">
        <v>1.2574000000000001</v>
      </c>
      <c r="C3" s="930">
        <v>1.2574000000000001</v>
      </c>
      <c r="D3" s="930">
        <v>1.2299</v>
      </c>
      <c r="E3" s="930">
        <v>1.2299</v>
      </c>
      <c r="F3" s="930">
        <v>1.2299</v>
      </c>
      <c r="G3" s="930">
        <v>1.2299</v>
      </c>
      <c r="H3" s="930">
        <v>1.2299</v>
      </c>
      <c r="I3" s="930">
        <v>1.2333000000000001</v>
      </c>
      <c r="J3" s="930">
        <v>1.2333000000000001</v>
      </c>
      <c r="K3" s="930">
        <v>1.2333000000000001</v>
      </c>
      <c r="L3" s="930">
        <v>1.2333000000000001</v>
      </c>
      <c r="M3" s="930">
        <v>1.2333000000000001</v>
      </c>
    </row>
    <row r="4" spans="1:14">
      <c r="A4" s="921">
        <v>1.1000000000000001</v>
      </c>
      <c r="B4" s="930">
        <v>1.2283999999999999</v>
      </c>
      <c r="C4" s="930">
        <v>1.2283999999999999</v>
      </c>
      <c r="D4" s="930">
        <v>1.1984999999999999</v>
      </c>
      <c r="E4" s="930">
        <v>1.1984999999999999</v>
      </c>
      <c r="F4" s="930">
        <v>1.1984999999999999</v>
      </c>
      <c r="G4" s="930">
        <v>1.1984999999999999</v>
      </c>
      <c r="H4" s="930">
        <v>1.1984999999999999</v>
      </c>
      <c r="I4" s="930">
        <v>1.1899</v>
      </c>
      <c r="J4" s="930">
        <v>1.1899</v>
      </c>
      <c r="K4" s="930">
        <v>1.1899</v>
      </c>
      <c r="L4" s="930">
        <v>1.1899</v>
      </c>
      <c r="M4" s="930">
        <v>1.1899</v>
      </c>
    </row>
    <row r="5" spans="1:14">
      <c r="A5" s="921">
        <v>1.2</v>
      </c>
      <c r="B5" s="930">
        <v>1.2031000000000001</v>
      </c>
      <c r="C5" s="930">
        <v>1.2031000000000001</v>
      </c>
      <c r="D5" s="930">
        <v>1.1711</v>
      </c>
      <c r="E5" s="930">
        <v>1.1711</v>
      </c>
      <c r="F5" s="930">
        <v>1.1711</v>
      </c>
      <c r="G5" s="930">
        <v>1.1711</v>
      </c>
      <c r="H5" s="930">
        <v>1.1711</v>
      </c>
      <c r="I5" s="930">
        <v>1.1528</v>
      </c>
      <c r="J5" s="930">
        <v>1.1528</v>
      </c>
      <c r="K5" s="930">
        <v>1.1528</v>
      </c>
      <c r="L5" s="930">
        <v>1.1528</v>
      </c>
      <c r="M5" s="930">
        <v>1.1528</v>
      </c>
    </row>
    <row r="6" spans="1:14">
      <c r="A6" s="921">
        <v>1.3</v>
      </c>
      <c r="B6" s="930">
        <v>1.1811</v>
      </c>
      <c r="C6" s="930">
        <v>1.1811</v>
      </c>
      <c r="D6" s="930">
        <v>1.1472</v>
      </c>
      <c r="E6" s="930">
        <v>1.1472</v>
      </c>
      <c r="F6" s="930">
        <v>1.1472</v>
      </c>
      <c r="G6" s="930">
        <v>1.1472</v>
      </c>
      <c r="H6" s="930">
        <v>1.1472</v>
      </c>
      <c r="I6" s="930">
        <v>1.1214</v>
      </c>
      <c r="J6" s="930">
        <v>1.1214</v>
      </c>
      <c r="K6" s="930">
        <v>1.1214</v>
      </c>
      <c r="L6" s="930">
        <v>1.1214</v>
      </c>
      <c r="M6" s="930">
        <v>1.1214</v>
      </c>
    </row>
    <row r="7" spans="1:14">
      <c r="A7" s="921">
        <v>1.4</v>
      </c>
      <c r="B7" s="930">
        <v>1.1619999999999999</v>
      </c>
      <c r="C7" s="930">
        <v>1.1619999999999999</v>
      </c>
      <c r="D7" s="930">
        <v>1.1265000000000001</v>
      </c>
      <c r="E7" s="930">
        <v>1.1265000000000001</v>
      </c>
      <c r="F7" s="930">
        <v>1.1265000000000001</v>
      </c>
      <c r="G7" s="930">
        <v>1.1265000000000001</v>
      </c>
      <c r="H7" s="930">
        <v>1.1265000000000001</v>
      </c>
      <c r="I7" s="930">
        <v>1.0948</v>
      </c>
      <c r="J7" s="930">
        <v>1.0948</v>
      </c>
      <c r="K7" s="930">
        <v>1.0948</v>
      </c>
      <c r="L7" s="930">
        <v>1.0948</v>
      </c>
      <c r="M7" s="930">
        <v>1.0948</v>
      </c>
    </row>
    <row r="8" spans="1:14">
      <c r="A8" s="921">
        <v>1.5</v>
      </c>
      <c r="B8" s="930">
        <v>1.1453</v>
      </c>
      <c r="C8" s="930">
        <v>1.1453</v>
      </c>
      <c r="D8" s="930">
        <v>1.1084000000000001</v>
      </c>
      <c r="E8" s="930">
        <v>1.1084000000000001</v>
      </c>
      <c r="F8" s="930">
        <v>1.1084000000000001</v>
      </c>
      <c r="G8" s="930">
        <v>1.1084000000000001</v>
      </c>
      <c r="H8" s="930">
        <v>1.1084000000000001</v>
      </c>
      <c r="I8" s="930">
        <v>1.0725</v>
      </c>
      <c r="J8" s="930">
        <v>1.0725</v>
      </c>
      <c r="K8" s="930">
        <v>1.0725</v>
      </c>
      <c r="L8" s="930">
        <v>1.0725</v>
      </c>
      <c r="M8" s="930">
        <v>1.0725</v>
      </c>
    </row>
    <row r="9" spans="1:14">
      <c r="A9" s="921">
        <v>1.6</v>
      </c>
      <c r="B9" s="930">
        <v>1.1306</v>
      </c>
      <c r="C9" s="930">
        <v>1.1306</v>
      </c>
      <c r="D9" s="930">
        <v>1.0924</v>
      </c>
      <c r="E9" s="930">
        <v>1.0924</v>
      </c>
      <c r="F9" s="930">
        <v>1.0924</v>
      </c>
      <c r="G9" s="930">
        <v>1.0924</v>
      </c>
      <c r="H9" s="930">
        <v>1.0924</v>
      </c>
      <c r="I9" s="930">
        <v>1.0538000000000001</v>
      </c>
      <c r="J9" s="930">
        <v>1.0538000000000001</v>
      </c>
      <c r="K9" s="930">
        <v>1.0538000000000001</v>
      </c>
      <c r="L9" s="930">
        <v>1.0538000000000001</v>
      </c>
      <c r="M9" s="930">
        <v>1.0538000000000001</v>
      </c>
    </row>
    <row r="10" spans="1:14">
      <c r="A10" s="921">
        <v>1.7</v>
      </c>
      <c r="B10" s="930">
        <v>1.1175999999999999</v>
      </c>
      <c r="C10" s="930">
        <v>1.1175999999999999</v>
      </c>
      <c r="D10" s="930">
        <v>1.0783</v>
      </c>
      <c r="E10" s="930">
        <v>1.0783</v>
      </c>
      <c r="F10" s="930">
        <v>1.0783</v>
      </c>
      <c r="G10" s="930">
        <v>1.0783</v>
      </c>
      <c r="H10" s="930">
        <v>1.0783</v>
      </c>
      <c r="I10" s="930">
        <v>1.0379</v>
      </c>
      <c r="J10" s="930">
        <v>1.0379</v>
      </c>
      <c r="K10" s="930">
        <v>1.0379</v>
      </c>
      <c r="L10" s="930">
        <v>1.0379</v>
      </c>
      <c r="M10" s="930">
        <v>1.0379</v>
      </c>
    </row>
    <row r="11" spans="1:14">
      <c r="A11" s="921">
        <v>1.8</v>
      </c>
      <c r="B11" s="930">
        <v>1.1057999999999999</v>
      </c>
      <c r="C11" s="930">
        <v>1.1057999999999999</v>
      </c>
      <c r="D11" s="930">
        <v>1.0653999999999999</v>
      </c>
      <c r="E11" s="930">
        <v>1.0653999999999999</v>
      </c>
      <c r="F11" s="930">
        <v>1.0653999999999999</v>
      </c>
      <c r="G11" s="930">
        <v>1.0653999999999999</v>
      </c>
      <c r="H11" s="930">
        <v>1.0653999999999999</v>
      </c>
      <c r="I11" s="930">
        <v>1.0241</v>
      </c>
      <c r="J11" s="930">
        <v>1.0241</v>
      </c>
      <c r="K11" s="930">
        <v>1.0241</v>
      </c>
      <c r="L11" s="930">
        <v>1.0241</v>
      </c>
      <c r="M11" s="930">
        <v>1.0241</v>
      </c>
    </row>
    <row r="12" spans="1:14">
      <c r="A12" s="921">
        <v>1.9</v>
      </c>
      <c r="B12" s="930">
        <v>1.0949</v>
      </c>
      <c r="C12" s="930">
        <v>1.0949</v>
      </c>
      <c r="D12" s="930">
        <v>1.0537000000000001</v>
      </c>
      <c r="E12" s="930">
        <v>1.0537000000000001</v>
      </c>
      <c r="F12" s="930">
        <v>1.0537000000000001</v>
      </c>
      <c r="G12" s="930">
        <v>1.0537000000000001</v>
      </c>
      <c r="H12" s="930">
        <v>1.0537000000000001</v>
      </c>
      <c r="I12" s="930">
        <v>1.0117</v>
      </c>
      <c r="J12" s="930">
        <v>1.0117</v>
      </c>
      <c r="K12" s="930">
        <v>1.0117</v>
      </c>
      <c r="L12" s="930">
        <v>1.0117</v>
      </c>
      <c r="M12" s="930">
        <v>1.0117</v>
      </c>
    </row>
    <row r="13" spans="1:14">
      <c r="A13" s="921">
        <v>2</v>
      </c>
      <c r="B13" s="930">
        <v>1.0847</v>
      </c>
      <c r="C13" s="930">
        <v>1.0847</v>
      </c>
      <c r="D13" s="930">
        <v>1.0427</v>
      </c>
      <c r="E13" s="930">
        <v>1.0427</v>
      </c>
      <c r="F13" s="930">
        <v>1.0427</v>
      </c>
      <c r="G13" s="930">
        <v>1.0427</v>
      </c>
      <c r="H13" s="930">
        <v>1.0427</v>
      </c>
      <c r="I13" s="930">
        <v>1</v>
      </c>
      <c r="J13" s="930">
        <v>1</v>
      </c>
      <c r="K13" s="930">
        <v>1</v>
      </c>
      <c r="L13" s="930">
        <v>1</v>
      </c>
      <c r="M13" s="930">
        <v>1</v>
      </c>
    </row>
    <row r="14" spans="1:14">
      <c r="A14" s="921">
        <v>2.1</v>
      </c>
      <c r="B14" s="930">
        <v>1.0749</v>
      </c>
      <c r="C14" s="930">
        <v>1.0749</v>
      </c>
      <c r="D14" s="930">
        <v>1.0327999999999999</v>
      </c>
      <c r="E14" s="930">
        <v>1.0327999999999999</v>
      </c>
      <c r="F14" s="930">
        <v>1.0327999999999999</v>
      </c>
      <c r="G14" s="930">
        <v>1.0327999999999999</v>
      </c>
      <c r="H14" s="930">
        <v>1.0327999999999999</v>
      </c>
      <c r="I14" s="930">
        <v>0.98819999999999997</v>
      </c>
      <c r="J14" s="930">
        <v>0.98819999999999997</v>
      </c>
      <c r="K14" s="930">
        <v>0.98819999999999997</v>
      </c>
      <c r="L14" s="930">
        <v>0.98819999999999997</v>
      </c>
      <c r="M14" s="930">
        <v>0.98819999999999997</v>
      </c>
    </row>
    <row r="15" spans="1:14">
      <c r="A15" s="921">
        <v>2.2000000000000002</v>
      </c>
      <c r="B15" s="930">
        <v>1.0663</v>
      </c>
      <c r="C15" s="930">
        <v>1.0663</v>
      </c>
      <c r="D15" s="930">
        <v>1.0237000000000001</v>
      </c>
      <c r="E15" s="930">
        <v>1.0237000000000001</v>
      </c>
      <c r="F15" s="930">
        <v>1.0237000000000001</v>
      </c>
      <c r="G15" s="930">
        <v>1.0237000000000001</v>
      </c>
      <c r="H15" s="930">
        <v>1.0237000000000001</v>
      </c>
      <c r="I15" s="930">
        <v>0.9768</v>
      </c>
      <c r="J15" s="930">
        <v>0.9768</v>
      </c>
      <c r="K15" s="930">
        <v>0.9768</v>
      </c>
      <c r="L15" s="930">
        <v>0.9768</v>
      </c>
      <c r="M15" s="930">
        <v>0.9768</v>
      </c>
    </row>
    <row r="16" spans="1:14">
      <c r="A16" s="921">
        <v>2.2999999999999998</v>
      </c>
      <c r="B16" s="930">
        <v>1.0584</v>
      </c>
      <c r="C16" s="930">
        <v>1.0584</v>
      </c>
      <c r="D16" s="930">
        <v>1.0152000000000001</v>
      </c>
      <c r="E16" s="930">
        <v>1.0152000000000001</v>
      </c>
      <c r="F16" s="930">
        <v>1.0152000000000001</v>
      </c>
      <c r="G16" s="930">
        <v>1.0152000000000001</v>
      </c>
      <c r="H16" s="930">
        <v>1.0152000000000001</v>
      </c>
      <c r="I16" s="930">
        <v>0.96609999999999996</v>
      </c>
      <c r="J16" s="930">
        <v>0.96609999999999996</v>
      </c>
      <c r="K16" s="930">
        <v>0.96609999999999996</v>
      </c>
      <c r="L16" s="930">
        <v>0.96609999999999996</v>
      </c>
      <c r="M16" s="930">
        <v>0.96609999999999996</v>
      </c>
    </row>
    <row r="17" spans="1:13">
      <c r="A17" s="921">
        <v>2.4</v>
      </c>
      <c r="B17" s="930">
        <v>1.0511999999999999</v>
      </c>
      <c r="C17" s="930">
        <v>1.0511999999999999</v>
      </c>
      <c r="D17" s="930">
        <v>1.0074000000000001</v>
      </c>
      <c r="E17" s="930">
        <v>1.0074000000000001</v>
      </c>
      <c r="F17" s="930">
        <v>1.0074000000000001</v>
      </c>
      <c r="G17" s="930">
        <v>1.0074000000000001</v>
      </c>
      <c r="H17" s="930">
        <v>1.0074000000000001</v>
      </c>
      <c r="I17" s="930">
        <v>0.95579999999999998</v>
      </c>
      <c r="J17" s="930">
        <v>0.95579999999999998</v>
      </c>
      <c r="K17" s="930">
        <v>0.95579999999999998</v>
      </c>
      <c r="L17" s="930">
        <v>0.95579999999999998</v>
      </c>
      <c r="M17" s="930">
        <v>0.95579999999999998</v>
      </c>
    </row>
    <row r="18" spans="1:13">
      <c r="A18" s="921">
        <v>2.5</v>
      </c>
      <c r="B18" s="930">
        <v>1.0445</v>
      </c>
      <c r="C18" s="930">
        <v>1.0445</v>
      </c>
      <c r="D18" s="930">
        <v>1</v>
      </c>
      <c r="E18" s="930">
        <v>1</v>
      </c>
      <c r="F18" s="930">
        <v>1</v>
      </c>
      <c r="G18" s="930">
        <v>1</v>
      </c>
      <c r="H18" s="930">
        <v>1</v>
      </c>
      <c r="I18" s="930">
        <v>0.94620000000000004</v>
      </c>
      <c r="J18" s="930">
        <v>0.94620000000000004</v>
      </c>
      <c r="K18" s="930">
        <v>0.94620000000000004</v>
      </c>
      <c r="L18" s="930">
        <v>0.94620000000000004</v>
      </c>
      <c r="M18" s="930">
        <v>0.94620000000000004</v>
      </c>
    </row>
    <row r="19" spans="1:13">
      <c r="A19" s="921">
        <v>2.6</v>
      </c>
      <c r="B19" s="930">
        <v>1.0386</v>
      </c>
      <c r="C19" s="930">
        <v>1.0386</v>
      </c>
      <c r="D19" s="930">
        <v>0.99350000000000005</v>
      </c>
      <c r="E19" s="930">
        <v>0.99350000000000005</v>
      </c>
      <c r="F19" s="930">
        <v>0.99350000000000005</v>
      </c>
      <c r="G19" s="930">
        <v>0.99350000000000005</v>
      </c>
      <c r="H19" s="930">
        <v>0.99350000000000005</v>
      </c>
      <c r="I19" s="930">
        <v>0.93710000000000004</v>
      </c>
      <c r="J19" s="930">
        <v>0.93710000000000004</v>
      </c>
      <c r="K19" s="930">
        <v>0.93710000000000004</v>
      </c>
      <c r="L19" s="930">
        <v>0.93710000000000004</v>
      </c>
      <c r="M19" s="930">
        <v>0.93710000000000004</v>
      </c>
    </row>
    <row r="20" spans="1:13">
      <c r="A20" s="921">
        <v>2.7</v>
      </c>
      <c r="B20" s="930">
        <v>1.0331999999999999</v>
      </c>
      <c r="C20" s="930">
        <v>1.0331999999999999</v>
      </c>
      <c r="D20" s="930">
        <v>0.98770000000000002</v>
      </c>
      <c r="E20" s="930">
        <v>0.98770000000000002</v>
      </c>
      <c r="F20" s="930">
        <v>0.98770000000000002</v>
      </c>
      <c r="G20" s="930">
        <v>0.98770000000000002</v>
      </c>
      <c r="H20" s="930">
        <v>0.98770000000000002</v>
      </c>
      <c r="I20" s="930">
        <v>0.92859999999999998</v>
      </c>
      <c r="J20" s="930">
        <v>0.92859999999999998</v>
      </c>
      <c r="K20" s="930">
        <v>0.92859999999999998</v>
      </c>
      <c r="L20" s="930">
        <v>0.92859999999999998</v>
      </c>
      <c r="M20" s="930">
        <v>0.92859999999999998</v>
      </c>
    </row>
    <row r="21" spans="1:13">
      <c r="A21" s="921">
        <v>2.8</v>
      </c>
      <c r="B21" s="930">
        <v>1.0282</v>
      </c>
      <c r="C21" s="930">
        <v>1.0282</v>
      </c>
      <c r="D21" s="930">
        <v>0.98260000000000003</v>
      </c>
      <c r="E21" s="930">
        <v>0.98260000000000003</v>
      </c>
      <c r="F21" s="930">
        <v>0.98260000000000003</v>
      </c>
      <c r="G21" s="930">
        <v>0.98260000000000003</v>
      </c>
      <c r="H21" s="930">
        <v>0.98260000000000003</v>
      </c>
      <c r="I21" s="930">
        <v>0.92069999999999996</v>
      </c>
      <c r="J21" s="930">
        <v>0.92069999999999996</v>
      </c>
      <c r="K21" s="930">
        <v>0.92069999999999996</v>
      </c>
      <c r="L21" s="930">
        <v>0.92069999999999996</v>
      </c>
      <c r="M21" s="930">
        <v>0.92069999999999996</v>
      </c>
    </row>
    <row r="22" spans="1:13">
      <c r="A22" s="921">
        <v>2.9</v>
      </c>
      <c r="B22" s="930">
        <v>1.0235000000000001</v>
      </c>
      <c r="C22" s="930">
        <v>1.0235000000000001</v>
      </c>
      <c r="D22" s="930">
        <v>0.97770000000000001</v>
      </c>
      <c r="E22" s="930">
        <v>0.97770000000000001</v>
      </c>
      <c r="F22" s="930">
        <v>0.97770000000000001</v>
      </c>
      <c r="G22" s="930">
        <v>0.97770000000000001</v>
      </c>
      <c r="H22" s="930">
        <v>0.97770000000000001</v>
      </c>
      <c r="I22" s="930">
        <v>0.9133</v>
      </c>
      <c r="J22" s="930">
        <v>0.9133</v>
      </c>
      <c r="K22" s="930">
        <v>0.9133</v>
      </c>
      <c r="L22" s="930">
        <v>0.9133</v>
      </c>
      <c r="M22" s="930">
        <v>0.9133</v>
      </c>
    </row>
    <row r="23" spans="1:13">
      <c r="A23" s="937">
        <v>3</v>
      </c>
      <c r="B23" s="930">
        <v>1.0190999999999999</v>
      </c>
      <c r="C23" s="930">
        <v>1.0190999999999999</v>
      </c>
      <c r="D23" s="930">
        <v>0.97299999999999998</v>
      </c>
      <c r="E23" s="930">
        <v>0.97299999999999998</v>
      </c>
      <c r="F23" s="930">
        <v>0.97299999999999998</v>
      </c>
      <c r="G23" s="930">
        <v>0.97299999999999998</v>
      </c>
      <c r="H23" s="930">
        <v>0.97299999999999998</v>
      </c>
      <c r="I23" s="930">
        <v>0.90629999999999999</v>
      </c>
      <c r="J23" s="930">
        <v>0.90629999999999999</v>
      </c>
      <c r="K23" s="930">
        <v>0.90629999999999999</v>
      </c>
      <c r="L23" s="930">
        <v>0.90629999999999999</v>
      </c>
      <c r="M23" s="930">
        <v>0.90629999999999999</v>
      </c>
    </row>
    <row r="24" spans="1:13">
      <c r="A24" s="937">
        <v>3.1</v>
      </c>
      <c r="B24" s="930">
        <v>1.0148999999999999</v>
      </c>
      <c r="C24" s="930">
        <v>1.0148999999999999</v>
      </c>
      <c r="D24" s="930">
        <v>0.96840000000000004</v>
      </c>
      <c r="E24" s="930">
        <v>0.96840000000000004</v>
      </c>
      <c r="F24" s="930">
        <v>0.96840000000000004</v>
      </c>
      <c r="G24" s="930">
        <v>0.96840000000000004</v>
      </c>
      <c r="H24" s="930">
        <v>0.96840000000000004</v>
      </c>
      <c r="I24" s="930">
        <v>0.89959999999999996</v>
      </c>
      <c r="J24" s="930">
        <v>0.89959999999999996</v>
      </c>
      <c r="K24" s="930">
        <v>0.89959999999999996</v>
      </c>
      <c r="L24" s="930">
        <v>0.89959999999999996</v>
      </c>
      <c r="M24" s="930">
        <v>0.89959999999999996</v>
      </c>
    </row>
    <row r="25" spans="1:13">
      <c r="A25" s="937">
        <v>3.2</v>
      </c>
      <c r="B25" s="930">
        <v>1.0108999999999999</v>
      </c>
      <c r="C25" s="930">
        <v>1.0108999999999999</v>
      </c>
      <c r="D25" s="930">
        <v>0.96399999999999997</v>
      </c>
      <c r="E25" s="930">
        <v>0.96399999999999997</v>
      </c>
      <c r="F25" s="930">
        <v>0.96399999999999997</v>
      </c>
      <c r="G25" s="930">
        <v>0.96399999999999997</v>
      </c>
      <c r="H25" s="930">
        <v>0.96399999999999997</v>
      </c>
      <c r="I25" s="930">
        <v>0.89319999999999999</v>
      </c>
      <c r="J25" s="930">
        <v>0.89319999999999999</v>
      </c>
      <c r="K25" s="930">
        <v>0.89319999999999999</v>
      </c>
      <c r="L25" s="930">
        <v>0.89319999999999999</v>
      </c>
      <c r="M25" s="930">
        <v>0.89319999999999999</v>
      </c>
    </row>
    <row r="26" spans="1:13">
      <c r="A26" s="937">
        <v>3.3</v>
      </c>
      <c r="B26" s="930">
        <v>1.0071000000000001</v>
      </c>
      <c r="C26" s="930">
        <v>1.0071000000000001</v>
      </c>
      <c r="D26" s="930">
        <v>0.95979999999999999</v>
      </c>
      <c r="E26" s="930">
        <v>0.95979999999999999</v>
      </c>
      <c r="F26" s="930">
        <v>0.95979999999999999</v>
      </c>
      <c r="G26" s="930">
        <v>0.95979999999999999</v>
      </c>
      <c r="H26" s="930">
        <v>0.95979999999999999</v>
      </c>
      <c r="I26" s="930">
        <v>0.8871</v>
      </c>
      <c r="J26" s="930">
        <v>0.8871</v>
      </c>
      <c r="K26" s="930">
        <v>0.8871</v>
      </c>
      <c r="L26" s="930">
        <v>0.8871</v>
      </c>
      <c r="M26" s="930">
        <v>0.8871</v>
      </c>
    </row>
    <row r="27" spans="1:13">
      <c r="A27" s="937">
        <v>3.4</v>
      </c>
      <c r="B27" s="930">
        <v>1.0035000000000001</v>
      </c>
      <c r="C27" s="930">
        <v>1.0035000000000001</v>
      </c>
      <c r="D27" s="930">
        <v>0.95579999999999998</v>
      </c>
      <c r="E27" s="930">
        <v>0.95579999999999998</v>
      </c>
      <c r="F27" s="930">
        <v>0.95579999999999998</v>
      </c>
      <c r="G27" s="930">
        <v>0.95579999999999998</v>
      </c>
      <c r="H27" s="930">
        <v>0.95579999999999998</v>
      </c>
      <c r="I27" s="930">
        <v>0.88119999999999998</v>
      </c>
      <c r="J27" s="930">
        <v>0.88119999999999998</v>
      </c>
      <c r="K27" s="930">
        <v>0.88119999999999998</v>
      </c>
      <c r="L27" s="930">
        <v>0.88119999999999998</v>
      </c>
      <c r="M27" s="930">
        <v>0.88119999999999998</v>
      </c>
    </row>
    <row r="28" spans="1:13">
      <c r="A28" s="937">
        <v>3.5</v>
      </c>
      <c r="B28" s="930">
        <v>1</v>
      </c>
      <c r="C28" s="930">
        <v>1</v>
      </c>
      <c r="D28" s="930">
        <v>0.95199999999999996</v>
      </c>
      <c r="E28" s="930">
        <v>0.95199999999999996</v>
      </c>
      <c r="F28" s="930">
        <v>0.95199999999999996</v>
      </c>
      <c r="G28" s="930">
        <v>0.95199999999999996</v>
      </c>
      <c r="H28" s="930">
        <v>0.95199999999999996</v>
      </c>
      <c r="I28" s="930">
        <v>0.87549999999999994</v>
      </c>
      <c r="J28" s="930">
        <v>0.87549999999999994</v>
      </c>
      <c r="K28" s="930">
        <v>0.87549999999999994</v>
      </c>
      <c r="L28" s="930">
        <v>0.87549999999999994</v>
      </c>
      <c r="M28" s="930">
        <v>0.87549999999999994</v>
      </c>
    </row>
    <row r="29" spans="1:13">
      <c r="A29" s="937">
        <v>3.6</v>
      </c>
      <c r="B29" s="930">
        <v>0.99660000000000004</v>
      </c>
      <c r="C29" s="930">
        <v>0.99660000000000004</v>
      </c>
      <c r="D29" s="930">
        <v>0.94840000000000002</v>
      </c>
      <c r="E29" s="930">
        <v>0.94840000000000002</v>
      </c>
      <c r="F29" s="930">
        <v>0.94840000000000002</v>
      </c>
      <c r="G29" s="930">
        <v>0.94840000000000002</v>
      </c>
      <c r="H29" s="930">
        <v>0.94840000000000002</v>
      </c>
      <c r="I29" s="930">
        <v>0.87</v>
      </c>
      <c r="J29" s="930">
        <v>0.87</v>
      </c>
      <c r="K29" s="930">
        <v>0.87</v>
      </c>
      <c r="L29" s="930">
        <v>0.87</v>
      </c>
      <c r="M29" s="930">
        <v>0.87</v>
      </c>
    </row>
    <row r="30" spans="1:13">
      <c r="A30" s="937">
        <v>3.7</v>
      </c>
      <c r="B30" s="930">
        <v>0.99329999999999996</v>
      </c>
      <c r="C30" s="930">
        <v>0.99329999999999996</v>
      </c>
      <c r="D30" s="930">
        <v>0.94499999999999995</v>
      </c>
      <c r="E30" s="930">
        <v>0.94499999999999995</v>
      </c>
      <c r="F30" s="930">
        <v>0.94499999999999995</v>
      </c>
      <c r="G30" s="930">
        <v>0.94499999999999995</v>
      </c>
      <c r="H30" s="930">
        <v>0.94499999999999995</v>
      </c>
      <c r="I30" s="930">
        <v>0.86470000000000002</v>
      </c>
      <c r="J30" s="930">
        <v>0.86470000000000002</v>
      </c>
      <c r="K30" s="930">
        <v>0.86470000000000002</v>
      </c>
      <c r="L30" s="930">
        <v>0.86470000000000002</v>
      </c>
      <c r="M30" s="930">
        <v>0.86470000000000002</v>
      </c>
    </row>
    <row r="31" spans="1:13">
      <c r="A31" s="937">
        <v>3.8</v>
      </c>
      <c r="B31" s="930">
        <v>0.99009999999999998</v>
      </c>
      <c r="C31" s="930">
        <v>0.99009999999999998</v>
      </c>
      <c r="D31" s="930">
        <v>0.94169999999999998</v>
      </c>
      <c r="E31" s="930">
        <v>0.94169999999999998</v>
      </c>
      <c r="F31" s="930">
        <v>0.94169999999999998</v>
      </c>
      <c r="G31" s="930">
        <v>0.94169999999999998</v>
      </c>
      <c r="H31" s="930">
        <v>0.94169999999999998</v>
      </c>
      <c r="I31" s="930">
        <v>0.85960000000000003</v>
      </c>
      <c r="J31" s="930">
        <v>0.85960000000000003</v>
      </c>
      <c r="K31" s="930">
        <v>0.85960000000000003</v>
      </c>
      <c r="L31" s="930">
        <v>0.85960000000000003</v>
      </c>
      <c r="M31" s="930">
        <v>0.85960000000000003</v>
      </c>
    </row>
    <row r="32" spans="1:13">
      <c r="A32" s="937">
        <v>3.9</v>
      </c>
      <c r="B32" s="930">
        <v>0.98699999999999999</v>
      </c>
      <c r="C32" s="930">
        <v>0.98699999999999999</v>
      </c>
      <c r="D32" s="930">
        <v>0.9385</v>
      </c>
      <c r="E32" s="930">
        <v>0.9385</v>
      </c>
      <c r="F32" s="930">
        <v>0.9385</v>
      </c>
      <c r="G32" s="930">
        <v>0.9385</v>
      </c>
      <c r="H32" s="930">
        <v>0.9385</v>
      </c>
      <c r="I32" s="930">
        <v>0.85470000000000002</v>
      </c>
      <c r="J32" s="930">
        <v>0.85470000000000002</v>
      </c>
      <c r="K32" s="930">
        <v>0.85470000000000002</v>
      </c>
      <c r="L32" s="930">
        <v>0.85470000000000002</v>
      </c>
      <c r="M32" s="930">
        <v>0.85470000000000002</v>
      </c>
    </row>
    <row r="33" spans="1:13">
      <c r="A33" s="937">
        <v>4</v>
      </c>
      <c r="B33" s="930">
        <v>0.98399999999999999</v>
      </c>
      <c r="C33" s="930">
        <v>0.98399999999999999</v>
      </c>
      <c r="D33" s="930">
        <v>0.93540000000000001</v>
      </c>
      <c r="E33" s="930">
        <v>0.93540000000000001</v>
      </c>
      <c r="F33" s="930">
        <v>0.93540000000000001</v>
      </c>
      <c r="G33" s="930">
        <v>0.93540000000000001</v>
      </c>
      <c r="H33" s="930">
        <v>0.93540000000000001</v>
      </c>
      <c r="I33" s="930">
        <v>0.84989999999999999</v>
      </c>
      <c r="J33" s="930">
        <v>0.84989999999999999</v>
      </c>
      <c r="K33" s="930">
        <v>0.84989999999999999</v>
      </c>
      <c r="L33" s="930">
        <v>0.84989999999999999</v>
      </c>
      <c r="M33" s="930">
        <v>0.84989999999999999</v>
      </c>
    </row>
    <row r="34" spans="1:13">
      <c r="A34" s="937">
        <v>4.0999999999999996</v>
      </c>
      <c r="B34" s="930">
        <v>0.98109999999999997</v>
      </c>
      <c r="C34" s="930">
        <v>0.98109999999999997</v>
      </c>
      <c r="D34" s="930">
        <v>0.93240000000000001</v>
      </c>
      <c r="E34" s="930">
        <v>0.93240000000000001</v>
      </c>
      <c r="F34" s="930">
        <v>0.93240000000000001</v>
      </c>
      <c r="G34" s="930">
        <v>0.93240000000000001</v>
      </c>
      <c r="H34" s="930">
        <v>0.93240000000000001</v>
      </c>
      <c r="I34" s="930">
        <v>0.84519999999999995</v>
      </c>
      <c r="J34" s="930">
        <v>0.84519999999999995</v>
      </c>
      <c r="K34" s="930">
        <v>0.84519999999999995</v>
      </c>
      <c r="L34" s="930">
        <v>0.84519999999999995</v>
      </c>
      <c r="M34" s="930">
        <v>0.84519999999999995</v>
      </c>
    </row>
    <row r="35" spans="1:13">
      <c r="A35" s="937">
        <v>4.2</v>
      </c>
      <c r="B35" s="930">
        <v>0.97829999999999995</v>
      </c>
      <c r="C35" s="930">
        <v>0.97829999999999995</v>
      </c>
      <c r="D35" s="930">
        <v>0.92949999999999999</v>
      </c>
      <c r="E35" s="930">
        <v>0.92949999999999999</v>
      </c>
      <c r="F35" s="930">
        <v>0.92949999999999999</v>
      </c>
      <c r="G35" s="930">
        <v>0.92949999999999999</v>
      </c>
      <c r="H35" s="930">
        <v>0.92949999999999999</v>
      </c>
      <c r="I35" s="930">
        <v>0.84060000000000001</v>
      </c>
      <c r="J35" s="930">
        <v>0.84060000000000001</v>
      </c>
      <c r="K35" s="930">
        <v>0.84060000000000001</v>
      </c>
      <c r="L35" s="930">
        <v>0.84060000000000001</v>
      </c>
      <c r="M35" s="930">
        <v>0.84060000000000001</v>
      </c>
    </row>
    <row r="36" spans="1:13">
      <c r="A36" s="937">
        <v>4.3</v>
      </c>
      <c r="B36" s="930">
        <v>0.97560000000000002</v>
      </c>
      <c r="C36" s="930">
        <v>0.97560000000000002</v>
      </c>
      <c r="D36" s="930">
        <v>0.92669999999999997</v>
      </c>
      <c r="E36" s="930">
        <v>0.92669999999999997</v>
      </c>
      <c r="F36" s="930">
        <v>0.92669999999999997</v>
      </c>
      <c r="G36" s="930">
        <v>0.92669999999999997</v>
      </c>
      <c r="H36" s="930">
        <v>0.92669999999999997</v>
      </c>
      <c r="I36" s="930">
        <v>0.83609999999999995</v>
      </c>
      <c r="J36" s="930">
        <v>0.83609999999999995</v>
      </c>
      <c r="K36" s="930">
        <v>0.83609999999999995</v>
      </c>
      <c r="L36" s="930">
        <v>0.83609999999999995</v>
      </c>
      <c r="M36" s="930">
        <v>0.83609999999999995</v>
      </c>
    </row>
    <row r="37" spans="1:13">
      <c r="A37" s="937">
        <v>4.4000000000000004</v>
      </c>
      <c r="B37" s="930">
        <v>0.97299999999999998</v>
      </c>
      <c r="C37" s="930">
        <v>0.97299999999999998</v>
      </c>
      <c r="D37" s="930">
        <v>0.92400000000000004</v>
      </c>
      <c r="E37" s="930">
        <v>0.92400000000000004</v>
      </c>
      <c r="F37" s="930">
        <v>0.92400000000000004</v>
      </c>
      <c r="G37" s="930">
        <v>0.92400000000000004</v>
      </c>
      <c r="H37" s="930">
        <v>0.92400000000000004</v>
      </c>
      <c r="I37" s="930">
        <v>0.83169999999999999</v>
      </c>
      <c r="J37" s="930">
        <v>0.83169999999999999</v>
      </c>
      <c r="K37" s="930">
        <v>0.83169999999999999</v>
      </c>
      <c r="L37" s="930">
        <v>0.83169999999999999</v>
      </c>
      <c r="M37" s="930">
        <v>0.83169999999999999</v>
      </c>
    </row>
    <row r="38" spans="1:13">
      <c r="A38" s="937">
        <v>4.5</v>
      </c>
      <c r="B38" s="930">
        <v>0.97050000000000003</v>
      </c>
      <c r="C38" s="930">
        <v>0.97050000000000003</v>
      </c>
      <c r="D38" s="930">
        <v>0.92130000000000001</v>
      </c>
      <c r="E38" s="930">
        <v>0.92130000000000001</v>
      </c>
      <c r="F38" s="930">
        <v>0.92130000000000001</v>
      </c>
      <c r="G38" s="930">
        <v>0.92130000000000001</v>
      </c>
      <c r="H38" s="930">
        <v>0.92130000000000001</v>
      </c>
      <c r="I38" s="930">
        <v>0.82740000000000002</v>
      </c>
      <c r="J38" s="930">
        <v>0.82740000000000002</v>
      </c>
      <c r="K38" s="930">
        <v>0.82740000000000002</v>
      </c>
      <c r="L38" s="930">
        <v>0.82740000000000002</v>
      </c>
      <c r="M38" s="930">
        <v>0.82740000000000002</v>
      </c>
    </row>
    <row r="39" spans="1:13">
      <c r="A39" s="937">
        <v>4.5999999999999996</v>
      </c>
      <c r="B39" s="930">
        <v>0.96809999999999996</v>
      </c>
      <c r="C39" s="930">
        <v>0.96809999999999996</v>
      </c>
      <c r="D39" s="930">
        <v>0.91869999999999996</v>
      </c>
      <c r="E39" s="930">
        <v>0.91869999999999996</v>
      </c>
      <c r="F39" s="930">
        <v>0.91869999999999996</v>
      </c>
      <c r="G39" s="930">
        <v>0.91869999999999996</v>
      </c>
      <c r="H39" s="930">
        <v>0.91869999999999996</v>
      </c>
      <c r="I39" s="930">
        <v>0.82320000000000004</v>
      </c>
      <c r="J39" s="930">
        <v>0.82320000000000004</v>
      </c>
      <c r="K39" s="930">
        <v>0.82320000000000004</v>
      </c>
      <c r="L39" s="930">
        <v>0.82320000000000004</v>
      </c>
      <c r="M39" s="930">
        <v>0.82320000000000004</v>
      </c>
    </row>
    <row r="40" spans="1:13">
      <c r="A40" s="937">
        <v>4.7</v>
      </c>
      <c r="B40" s="930">
        <v>0.96579999999999999</v>
      </c>
      <c r="C40" s="930">
        <v>0.96579999999999999</v>
      </c>
      <c r="D40" s="930">
        <v>0.91610000000000003</v>
      </c>
      <c r="E40" s="930">
        <v>0.91610000000000003</v>
      </c>
      <c r="F40" s="930">
        <v>0.91610000000000003</v>
      </c>
      <c r="G40" s="930">
        <v>0.91610000000000003</v>
      </c>
      <c r="H40" s="930">
        <v>0.91610000000000003</v>
      </c>
      <c r="I40" s="930">
        <v>0.81910000000000005</v>
      </c>
      <c r="J40" s="930">
        <v>0.81910000000000005</v>
      </c>
      <c r="K40" s="930">
        <v>0.81910000000000005</v>
      </c>
      <c r="L40" s="930">
        <v>0.81910000000000005</v>
      </c>
      <c r="M40" s="930">
        <v>0.81910000000000005</v>
      </c>
    </row>
    <row r="41" spans="1:13">
      <c r="A41" s="937">
        <v>4.8</v>
      </c>
      <c r="B41" s="930">
        <v>0.96360000000000001</v>
      </c>
      <c r="C41" s="930">
        <v>0.96360000000000001</v>
      </c>
      <c r="D41" s="930">
        <v>0.91349999999999998</v>
      </c>
      <c r="E41" s="930">
        <v>0.91349999999999998</v>
      </c>
      <c r="F41" s="930">
        <v>0.91349999999999998</v>
      </c>
      <c r="G41" s="930">
        <v>0.91349999999999998</v>
      </c>
      <c r="H41" s="930">
        <v>0.91349999999999998</v>
      </c>
      <c r="I41" s="930">
        <v>0.81510000000000005</v>
      </c>
      <c r="J41" s="930">
        <v>0.81510000000000005</v>
      </c>
      <c r="K41" s="930">
        <v>0.81510000000000005</v>
      </c>
      <c r="L41" s="930">
        <v>0.81510000000000005</v>
      </c>
      <c r="M41" s="930">
        <v>0.81510000000000005</v>
      </c>
    </row>
    <row r="42" spans="1:13">
      <c r="A42" s="937">
        <v>4.9000000000000004</v>
      </c>
      <c r="B42" s="930">
        <v>0.96150000000000002</v>
      </c>
      <c r="C42" s="930">
        <v>0.96150000000000002</v>
      </c>
      <c r="D42" s="930">
        <v>0.91100000000000003</v>
      </c>
      <c r="E42" s="930">
        <v>0.91100000000000003</v>
      </c>
      <c r="F42" s="930">
        <v>0.91100000000000003</v>
      </c>
      <c r="G42" s="930">
        <v>0.91100000000000003</v>
      </c>
      <c r="H42" s="930">
        <v>0.91100000000000003</v>
      </c>
      <c r="I42" s="930">
        <v>0.81110000000000004</v>
      </c>
      <c r="J42" s="930">
        <v>0.81110000000000004</v>
      </c>
      <c r="K42" s="930">
        <v>0.81110000000000004</v>
      </c>
      <c r="L42" s="930">
        <v>0.81110000000000004</v>
      </c>
      <c r="M42" s="930">
        <v>0.81110000000000004</v>
      </c>
    </row>
    <row r="43" spans="1:13">
      <c r="A43" s="937">
        <v>5</v>
      </c>
      <c r="B43" s="930">
        <v>0.95940000000000003</v>
      </c>
      <c r="C43" s="930">
        <v>0.95940000000000003</v>
      </c>
      <c r="D43" s="930">
        <v>0.90849999999999997</v>
      </c>
      <c r="E43" s="930">
        <v>0.90849999999999997</v>
      </c>
      <c r="F43" s="930">
        <v>0.90849999999999997</v>
      </c>
      <c r="G43" s="930">
        <v>0.90849999999999997</v>
      </c>
      <c r="H43" s="930">
        <v>0.90849999999999997</v>
      </c>
      <c r="I43" s="930">
        <v>0.80720000000000003</v>
      </c>
      <c r="J43" s="930">
        <v>0.80720000000000003</v>
      </c>
      <c r="K43" s="930">
        <v>0.80720000000000003</v>
      </c>
      <c r="L43" s="930">
        <v>0.80720000000000003</v>
      </c>
      <c r="M43" s="930">
        <v>0.80720000000000003</v>
      </c>
    </row>
    <row r="44" spans="1:13">
      <c r="A44" s="937">
        <v>5.0999999999999996</v>
      </c>
      <c r="B44" s="930">
        <v>0.95740000000000003</v>
      </c>
      <c r="C44" s="930">
        <v>0.95740000000000003</v>
      </c>
      <c r="D44" s="930">
        <v>0.90600000000000003</v>
      </c>
      <c r="E44" s="930">
        <v>0.90600000000000003</v>
      </c>
      <c r="F44" s="930">
        <v>0.90600000000000003</v>
      </c>
      <c r="G44" s="930">
        <v>0.90600000000000003</v>
      </c>
      <c r="H44" s="930">
        <v>0.90600000000000003</v>
      </c>
      <c r="I44" s="930">
        <v>0.80330000000000001</v>
      </c>
      <c r="J44" s="930">
        <v>0.80330000000000001</v>
      </c>
      <c r="K44" s="930">
        <v>0.80330000000000001</v>
      </c>
      <c r="L44" s="930">
        <v>0.80330000000000001</v>
      </c>
      <c r="M44" s="930">
        <v>0.80330000000000001</v>
      </c>
    </row>
    <row r="45" spans="1:13">
      <c r="A45" s="937">
        <v>5.2</v>
      </c>
      <c r="B45" s="930">
        <v>0.95540000000000003</v>
      </c>
      <c r="C45" s="930">
        <v>0.95540000000000003</v>
      </c>
      <c r="D45" s="930">
        <v>0.90349999999999997</v>
      </c>
      <c r="E45" s="930">
        <v>0.90349999999999997</v>
      </c>
      <c r="F45" s="930">
        <v>0.90349999999999997</v>
      </c>
      <c r="G45" s="930">
        <v>0.90349999999999997</v>
      </c>
      <c r="H45" s="930">
        <v>0.90349999999999997</v>
      </c>
      <c r="I45" s="930">
        <v>0.79949999999999999</v>
      </c>
      <c r="J45" s="930">
        <v>0.79949999999999999</v>
      </c>
      <c r="K45" s="930">
        <v>0.79949999999999999</v>
      </c>
      <c r="L45" s="930">
        <v>0.79949999999999999</v>
      </c>
      <c r="M45" s="930">
        <v>0.79949999999999999</v>
      </c>
    </row>
    <row r="46" spans="1:13">
      <c r="A46" s="937">
        <v>5.3</v>
      </c>
      <c r="B46" s="930">
        <v>0.95350000000000001</v>
      </c>
      <c r="C46" s="930">
        <v>0.95350000000000001</v>
      </c>
      <c r="D46" s="930">
        <v>0.90110000000000001</v>
      </c>
      <c r="E46" s="930">
        <v>0.90110000000000001</v>
      </c>
      <c r="F46" s="930">
        <v>0.90110000000000001</v>
      </c>
      <c r="G46" s="930">
        <v>0.90110000000000001</v>
      </c>
      <c r="H46" s="930">
        <v>0.90110000000000001</v>
      </c>
      <c r="I46" s="930">
        <v>0.79569999999999996</v>
      </c>
      <c r="J46" s="930">
        <v>0.79569999999999996</v>
      </c>
      <c r="K46" s="930">
        <v>0.79569999999999996</v>
      </c>
      <c r="L46" s="930">
        <v>0.79569999999999996</v>
      </c>
      <c r="M46" s="930">
        <v>0.79569999999999996</v>
      </c>
    </row>
    <row r="47" spans="1:13">
      <c r="A47" s="937">
        <v>5.4</v>
      </c>
      <c r="B47" s="930">
        <v>0.9516</v>
      </c>
      <c r="C47" s="930">
        <v>0.9516</v>
      </c>
      <c r="D47" s="930">
        <v>0.89870000000000005</v>
      </c>
      <c r="E47" s="930">
        <v>0.89870000000000005</v>
      </c>
      <c r="F47" s="930">
        <v>0.89870000000000005</v>
      </c>
      <c r="G47" s="930">
        <v>0.89870000000000005</v>
      </c>
      <c r="H47" s="930">
        <v>0.89870000000000005</v>
      </c>
      <c r="I47" s="930">
        <v>0.79200000000000004</v>
      </c>
      <c r="J47" s="930">
        <v>0.79200000000000004</v>
      </c>
      <c r="K47" s="930">
        <v>0.79200000000000004</v>
      </c>
      <c r="L47" s="930">
        <v>0.79200000000000004</v>
      </c>
      <c r="M47" s="930">
        <v>0.79200000000000004</v>
      </c>
    </row>
    <row r="48" spans="1:13">
      <c r="A48" s="937">
        <v>5.5</v>
      </c>
      <c r="B48" s="930">
        <v>0.94979999999999998</v>
      </c>
      <c r="C48" s="930">
        <v>0.94979999999999998</v>
      </c>
      <c r="D48" s="930">
        <v>0.89629999999999999</v>
      </c>
      <c r="E48" s="930">
        <v>0.89629999999999999</v>
      </c>
      <c r="F48" s="930">
        <v>0.89629999999999999</v>
      </c>
      <c r="G48" s="930">
        <v>0.89629999999999999</v>
      </c>
      <c r="H48" s="930">
        <v>0.89629999999999999</v>
      </c>
      <c r="I48" s="930">
        <v>0.7883</v>
      </c>
      <c r="J48" s="930">
        <v>0.7883</v>
      </c>
      <c r="K48" s="930">
        <v>0.7883</v>
      </c>
      <c r="L48" s="930">
        <v>0.7883</v>
      </c>
      <c r="M48" s="930">
        <v>0.7883</v>
      </c>
    </row>
    <row r="49" spans="1:13">
      <c r="A49" s="937">
        <v>5.6</v>
      </c>
      <c r="B49" s="930">
        <v>0.94799999999999995</v>
      </c>
      <c r="C49" s="930">
        <v>0.94799999999999995</v>
      </c>
      <c r="D49" s="930">
        <v>0.89390000000000003</v>
      </c>
      <c r="E49" s="930">
        <v>0.89390000000000003</v>
      </c>
      <c r="F49" s="930">
        <v>0.89390000000000003</v>
      </c>
      <c r="G49" s="930">
        <v>0.89390000000000003</v>
      </c>
      <c r="H49" s="930">
        <v>0.89390000000000003</v>
      </c>
      <c r="I49" s="930">
        <v>0.78469999999999995</v>
      </c>
      <c r="J49" s="930">
        <v>0.78469999999999995</v>
      </c>
      <c r="K49" s="930">
        <v>0.78469999999999995</v>
      </c>
      <c r="L49" s="930">
        <v>0.78469999999999995</v>
      </c>
      <c r="M49" s="930">
        <v>0.78469999999999995</v>
      </c>
    </row>
    <row r="50" spans="1:13">
      <c r="A50" s="937">
        <v>5.7</v>
      </c>
      <c r="B50" s="930">
        <v>0.94620000000000004</v>
      </c>
      <c r="C50" s="930">
        <v>0.94620000000000004</v>
      </c>
      <c r="D50" s="930">
        <v>0.89149999999999996</v>
      </c>
      <c r="E50" s="930">
        <v>0.89149999999999996</v>
      </c>
      <c r="F50" s="930">
        <v>0.89149999999999996</v>
      </c>
      <c r="G50" s="930">
        <v>0.89149999999999996</v>
      </c>
      <c r="H50" s="930">
        <v>0.89149999999999996</v>
      </c>
      <c r="I50" s="930">
        <v>0.78110000000000002</v>
      </c>
      <c r="J50" s="930">
        <v>0.78110000000000002</v>
      </c>
      <c r="K50" s="930">
        <v>0.78110000000000002</v>
      </c>
      <c r="L50" s="930">
        <v>0.78110000000000002</v>
      </c>
      <c r="M50" s="930">
        <v>0.78110000000000002</v>
      </c>
    </row>
    <row r="51" spans="1:13">
      <c r="A51" s="937">
        <v>5.8</v>
      </c>
      <c r="B51" s="930">
        <v>0.94450000000000001</v>
      </c>
      <c r="C51" s="930">
        <v>0.94450000000000001</v>
      </c>
      <c r="D51" s="930">
        <v>0.88919999999999999</v>
      </c>
      <c r="E51" s="930">
        <v>0.88919999999999999</v>
      </c>
      <c r="F51" s="930">
        <v>0.88919999999999999</v>
      </c>
      <c r="G51" s="930">
        <v>0.88919999999999999</v>
      </c>
      <c r="H51" s="930">
        <v>0.88919999999999999</v>
      </c>
      <c r="I51" s="930">
        <v>0.77759999999999996</v>
      </c>
      <c r="J51" s="930">
        <v>0.77759999999999996</v>
      </c>
      <c r="K51" s="930">
        <v>0.77759999999999996</v>
      </c>
      <c r="L51" s="930">
        <v>0.77759999999999996</v>
      </c>
      <c r="M51" s="930">
        <v>0.77759999999999996</v>
      </c>
    </row>
    <row r="52" spans="1:13">
      <c r="A52" s="937">
        <v>5.9</v>
      </c>
      <c r="B52" s="930">
        <v>0.94279999999999997</v>
      </c>
      <c r="C52" s="930">
        <v>0.94279999999999997</v>
      </c>
      <c r="D52" s="930">
        <v>0.88690000000000002</v>
      </c>
      <c r="E52" s="930">
        <v>0.88690000000000002</v>
      </c>
      <c r="F52" s="930">
        <v>0.88690000000000002</v>
      </c>
      <c r="G52" s="930">
        <v>0.88690000000000002</v>
      </c>
      <c r="H52" s="930">
        <v>0.88690000000000002</v>
      </c>
      <c r="I52" s="930">
        <v>0.77410000000000001</v>
      </c>
      <c r="J52" s="930">
        <v>0.77410000000000001</v>
      </c>
      <c r="K52" s="930">
        <v>0.77410000000000001</v>
      </c>
      <c r="L52" s="930">
        <v>0.77410000000000001</v>
      </c>
      <c r="M52" s="930">
        <v>0.77410000000000001</v>
      </c>
    </row>
    <row r="53" spans="1:13">
      <c r="A53" s="921">
        <v>6</v>
      </c>
      <c r="B53" s="930">
        <v>0.94110000000000005</v>
      </c>
      <c r="C53" s="930">
        <v>0.94110000000000005</v>
      </c>
      <c r="D53" s="930">
        <v>0.88460000000000005</v>
      </c>
      <c r="E53" s="930">
        <v>0.88460000000000005</v>
      </c>
      <c r="F53" s="930">
        <v>0.88460000000000005</v>
      </c>
      <c r="G53" s="930">
        <v>0.88460000000000005</v>
      </c>
      <c r="H53" s="930">
        <v>0.88460000000000005</v>
      </c>
      <c r="I53" s="930">
        <v>0.77070000000000005</v>
      </c>
      <c r="J53" s="930">
        <v>0.77070000000000005</v>
      </c>
      <c r="K53" s="930">
        <v>0.77070000000000005</v>
      </c>
      <c r="L53" s="930">
        <v>0.77070000000000005</v>
      </c>
      <c r="M53" s="930">
        <v>0.77070000000000005</v>
      </c>
    </row>
    <row r="54" spans="1:13">
      <c r="A54" s="921">
        <v>6.1</v>
      </c>
      <c r="B54" s="930">
        <v>0.93940000000000001</v>
      </c>
      <c r="C54" s="930">
        <v>0.93940000000000001</v>
      </c>
      <c r="D54" s="930">
        <v>0.88229999999999997</v>
      </c>
      <c r="E54" s="930">
        <v>0.88229999999999997</v>
      </c>
      <c r="F54" s="930">
        <v>0.88229999999999997</v>
      </c>
      <c r="G54" s="930">
        <v>0.88229999999999997</v>
      </c>
      <c r="H54" s="930">
        <v>0.88229999999999997</v>
      </c>
      <c r="I54" s="930">
        <v>0.76729999999999998</v>
      </c>
      <c r="J54" s="930">
        <v>0.76729999999999998</v>
      </c>
      <c r="K54" s="930">
        <v>0.76729999999999998</v>
      </c>
      <c r="L54" s="930">
        <v>0.76729999999999998</v>
      </c>
      <c r="M54" s="930">
        <v>0.76729999999999998</v>
      </c>
    </row>
    <row r="55" spans="1:13">
      <c r="A55" s="921">
        <v>6.2</v>
      </c>
      <c r="B55" s="930">
        <v>0.93769999999999998</v>
      </c>
      <c r="C55" s="930">
        <v>0.93769999999999998</v>
      </c>
      <c r="D55" s="930">
        <v>0.88</v>
      </c>
      <c r="E55" s="930">
        <v>0.88</v>
      </c>
      <c r="F55" s="930">
        <v>0.88</v>
      </c>
      <c r="G55" s="930">
        <v>0.88</v>
      </c>
      <c r="H55" s="930">
        <v>0.88</v>
      </c>
      <c r="I55" s="930">
        <v>0.76400000000000001</v>
      </c>
      <c r="J55" s="930">
        <v>0.76400000000000001</v>
      </c>
      <c r="K55" s="930">
        <v>0.76400000000000001</v>
      </c>
      <c r="L55" s="930">
        <v>0.76400000000000001</v>
      </c>
      <c r="M55" s="930">
        <v>0.76400000000000001</v>
      </c>
    </row>
    <row r="56" spans="1:13">
      <c r="A56" s="921">
        <v>6.3</v>
      </c>
      <c r="B56" s="930">
        <v>0.93610000000000004</v>
      </c>
      <c r="C56" s="930">
        <v>0.93610000000000004</v>
      </c>
      <c r="D56" s="930">
        <v>0.87780000000000002</v>
      </c>
      <c r="E56" s="930">
        <v>0.87780000000000002</v>
      </c>
      <c r="F56" s="930">
        <v>0.87780000000000002</v>
      </c>
      <c r="G56" s="930">
        <v>0.87780000000000002</v>
      </c>
      <c r="H56" s="930">
        <v>0.87780000000000002</v>
      </c>
      <c r="I56" s="930">
        <v>0.76070000000000004</v>
      </c>
      <c r="J56" s="930">
        <v>0.76070000000000004</v>
      </c>
      <c r="K56" s="930">
        <v>0.76070000000000004</v>
      </c>
      <c r="L56" s="930">
        <v>0.76070000000000004</v>
      </c>
      <c r="M56" s="930">
        <v>0.76070000000000004</v>
      </c>
    </row>
    <row r="57" spans="1:13">
      <c r="A57" s="921">
        <v>6.4</v>
      </c>
      <c r="B57" s="930">
        <v>0.9345</v>
      </c>
      <c r="C57" s="930">
        <v>0.9345</v>
      </c>
      <c r="D57" s="930">
        <v>0.87560000000000004</v>
      </c>
      <c r="E57" s="930">
        <v>0.87560000000000004</v>
      </c>
      <c r="F57" s="930">
        <v>0.87560000000000004</v>
      </c>
      <c r="G57" s="930">
        <v>0.87560000000000004</v>
      </c>
      <c r="H57" s="930">
        <v>0.87560000000000004</v>
      </c>
      <c r="I57" s="930">
        <v>0.75749999999999995</v>
      </c>
      <c r="J57" s="930">
        <v>0.75749999999999995</v>
      </c>
      <c r="K57" s="930">
        <v>0.75749999999999995</v>
      </c>
      <c r="L57" s="930">
        <v>0.75749999999999995</v>
      </c>
      <c r="M57" s="930">
        <v>0.75749999999999995</v>
      </c>
    </row>
    <row r="58" spans="1:13">
      <c r="A58" s="921">
        <v>6.5</v>
      </c>
      <c r="B58" s="930">
        <v>0.93289999999999995</v>
      </c>
      <c r="C58" s="930">
        <v>0.93289999999999995</v>
      </c>
      <c r="D58" s="930">
        <v>0.87339999999999995</v>
      </c>
      <c r="E58" s="930">
        <v>0.87339999999999995</v>
      </c>
      <c r="F58" s="930">
        <v>0.87339999999999995</v>
      </c>
      <c r="G58" s="930">
        <v>0.87339999999999995</v>
      </c>
      <c r="H58" s="930">
        <v>0.87339999999999995</v>
      </c>
      <c r="I58" s="930">
        <v>0.75429999999999997</v>
      </c>
      <c r="J58" s="930">
        <v>0.75429999999999997</v>
      </c>
      <c r="K58" s="930">
        <v>0.75429999999999997</v>
      </c>
      <c r="L58" s="930">
        <v>0.75429999999999997</v>
      </c>
      <c r="M58" s="930">
        <v>0.75429999999999997</v>
      </c>
    </row>
    <row r="59" spans="1:13">
      <c r="A59" s="937">
        <v>6.6</v>
      </c>
      <c r="B59" s="930">
        <v>0.93130000000000002</v>
      </c>
      <c r="C59" s="930">
        <v>0.93130000000000002</v>
      </c>
      <c r="D59" s="930">
        <v>0.87119999999999997</v>
      </c>
      <c r="E59" s="930">
        <v>0.87119999999999997</v>
      </c>
      <c r="F59" s="930">
        <v>0.87119999999999997</v>
      </c>
      <c r="G59" s="930">
        <v>0.87119999999999997</v>
      </c>
      <c r="H59" s="930">
        <v>0.87119999999999997</v>
      </c>
      <c r="I59" s="930">
        <v>0.75119999999999998</v>
      </c>
      <c r="J59" s="930">
        <v>0.75119999999999998</v>
      </c>
      <c r="K59" s="930">
        <v>0.75119999999999998</v>
      </c>
      <c r="L59" s="930">
        <v>0.75119999999999998</v>
      </c>
      <c r="M59" s="930">
        <v>0.75119999999999998</v>
      </c>
    </row>
    <row r="60" spans="1:13">
      <c r="A60" s="921">
        <v>6.7</v>
      </c>
      <c r="B60" s="930">
        <v>0.92969999999999997</v>
      </c>
      <c r="C60" s="930">
        <v>0.92969999999999997</v>
      </c>
      <c r="D60" s="930">
        <v>0.86899999999999999</v>
      </c>
      <c r="E60" s="930">
        <v>0.86899999999999999</v>
      </c>
      <c r="F60" s="930">
        <v>0.86899999999999999</v>
      </c>
      <c r="G60" s="930">
        <v>0.86899999999999999</v>
      </c>
      <c r="H60" s="930">
        <v>0.86899999999999999</v>
      </c>
      <c r="I60" s="930">
        <v>0.74809999999999999</v>
      </c>
      <c r="J60" s="930">
        <v>0.74809999999999999</v>
      </c>
      <c r="K60" s="930">
        <v>0.74809999999999999</v>
      </c>
      <c r="L60" s="930">
        <v>0.74809999999999999</v>
      </c>
      <c r="M60" s="930">
        <v>0.74809999999999999</v>
      </c>
    </row>
    <row r="61" spans="1:13">
      <c r="A61" s="921">
        <v>6.8</v>
      </c>
      <c r="B61" s="930">
        <v>0.92820000000000003</v>
      </c>
      <c r="C61" s="930">
        <v>0.92820000000000003</v>
      </c>
      <c r="D61" s="930">
        <v>0.8669</v>
      </c>
      <c r="E61" s="930">
        <v>0.8669</v>
      </c>
      <c r="F61" s="930">
        <v>0.8669</v>
      </c>
      <c r="G61" s="930">
        <v>0.8669</v>
      </c>
      <c r="H61" s="930">
        <v>0.8669</v>
      </c>
      <c r="I61" s="930">
        <v>0.74509999999999998</v>
      </c>
      <c r="J61" s="930">
        <v>0.74509999999999998</v>
      </c>
      <c r="K61" s="930">
        <v>0.74509999999999998</v>
      </c>
      <c r="L61" s="930">
        <v>0.74509999999999998</v>
      </c>
      <c r="M61" s="930">
        <v>0.74509999999999998</v>
      </c>
    </row>
    <row r="62" spans="1:13">
      <c r="A62" s="921">
        <v>6.9</v>
      </c>
      <c r="B62" s="930">
        <v>0.92669999999999997</v>
      </c>
      <c r="C62" s="930">
        <v>0.92669999999999997</v>
      </c>
      <c r="D62" s="930">
        <v>0.86480000000000001</v>
      </c>
      <c r="E62" s="930">
        <v>0.86480000000000001</v>
      </c>
      <c r="F62" s="930">
        <v>0.86480000000000001</v>
      </c>
      <c r="G62" s="930">
        <v>0.86480000000000001</v>
      </c>
      <c r="H62" s="930">
        <v>0.86480000000000001</v>
      </c>
      <c r="I62" s="930">
        <v>0.74209999999999998</v>
      </c>
      <c r="J62" s="930">
        <v>0.74209999999999998</v>
      </c>
      <c r="K62" s="930">
        <v>0.74209999999999998</v>
      </c>
      <c r="L62" s="930">
        <v>0.74209999999999998</v>
      </c>
      <c r="M62" s="930">
        <v>0.74209999999999998</v>
      </c>
    </row>
    <row r="63" spans="1:13">
      <c r="A63" s="921">
        <v>7</v>
      </c>
      <c r="B63" s="930">
        <v>0.92520000000000002</v>
      </c>
      <c r="C63" s="930">
        <v>0.92520000000000002</v>
      </c>
      <c r="D63" s="930">
        <v>0.86270000000000002</v>
      </c>
      <c r="E63" s="930">
        <v>0.86270000000000002</v>
      </c>
      <c r="F63" s="930">
        <v>0.86270000000000002</v>
      </c>
      <c r="G63" s="930">
        <v>0.86270000000000002</v>
      </c>
      <c r="H63" s="930">
        <v>0.86270000000000002</v>
      </c>
      <c r="I63" s="930">
        <v>0.73919999999999997</v>
      </c>
      <c r="J63" s="930">
        <v>0.73919999999999997</v>
      </c>
      <c r="K63" s="930">
        <v>0.73919999999999997</v>
      </c>
      <c r="L63" s="930">
        <v>0.73919999999999997</v>
      </c>
      <c r="M63" s="930">
        <v>0.73919999999999997</v>
      </c>
    </row>
    <row r="64" spans="1:13">
      <c r="A64" s="921">
        <v>7.1</v>
      </c>
      <c r="B64" s="930">
        <v>0.92369999999999997</v>
      </c>
      <c r="C64" s="930">
        <v>0.92369999999999997</v>
      </c>
      <c r="D64" s="930">
        <v>0.86060000000000003</v>
      </c>
      <c r="E64" s="930">
        <v>0.86060000000000003</v>
      </c>
      <c r="F64" s="930">
        <v>0.86060000000000003</v>
      </c>
      <c r="G64" s="930">
        <v>0.86060000000000003</v>
      </c>
      <c r="H64" s="930">
        <v>0.86060000000000003</v>
      </c>
      <c r="I64" s="930">
        <v>0.73629999999999995</v>
      </c>
      <c r="J64" s="930">
        <v>0.73629999999999995</v>
      </c>
      <c r="K64" s="930">
        <v>0.73629999999999995</v>
      </c>
      <c r="L64" s="930">
        <v>0.73629999999999995</v>
      </c>
      <c r="M64" s="930">
        <v>0.73629999999999995</v>
      </c>
    </row>
    <row r="65" spans="1:13">
      <c r="A65" s="921">
        <v>7.2</v>
      </c>
      <c r="B65" s="930">
        <v>0.92220000000000002</v>
      </c>
      <c r="C65" s="930">
        <v>0.92220000000000002</v>
      </c>
      <c r="D65" s="930">
        <v>0.85850000000000004</v>
      </c>
      <c r="E65" s="930">
        <v>0.85850000000000004</v>
      </c>
      <c r="F65" s="930">
        <v>0.85850000000000004</v>
      </c>
      <c r="G65" s="930">
        <v>0.85850000000000004</v>
      </c>
      <c r="H65" s="930">
        <v>0.85850000000000004</v>
      </c>
      <c r="I65" s="930">
        <v>0.73350000000000004</v>
      </c>
      <c r="J65" s="930">
        <v>0.73350000000000004</v>
      </c>
      <c r="K65" s="930">
        <v>0.73350000000000004</v>
      </c>
      <c r="L65" s="930">
        <v>0.73350000000000004</v>
      </c>
      <c r="M65" s="930">
        <v>0.73350000000000004</v>
      </c>
    </row>
    <row r="66" spans="1:13">
      <c r="A66" s="921">
        <v>7.3</v>
      </c>
      <c r="B66" s="930">
        <v>0.92069999999999996</v>
      </c>
      <c r="C66" s="930">
        <v>0.92069999999999996</v>
      </c>
      <c r="D66" s="930">
        <v>0.85650000000000004</v>
      </c>
      <c r="E66" s="930">
        <v>0.85650000000000004</v>
      </c>
      <c r="F66" s="930">
        <v>0.85650000000000004</v>
      </c>
      <c r="G66" s="930">
        <v>0.85650000000000004</v>
      </c>
      <c r="H66" s="930">
        <v>0.85650000000000004</v>
      </c>
      <c r="I66" s="930">
        <v>0.73070000000000002</v>
      </c>
      <c r="J66" s="930">
        <v>0.73070000000000002</v>
      </c>
      <c r="K66" s="930">
        <v>0.73070000000000002</v>
      </c>
      <c r="L66" s="930">
        <v>0.73070000000000002</v>
      </c>
      <c r="M66" s="930">
        <v>0.73070000000000002</v>
      </c>
    </row>
    <row r="67" spans="1:13">
      <c r="A67" s="921">
        <v>7.4</v>
      </c>
      <c r="B67" s="930">
        <v>0.91930000000000001</v>
      </c>
      <c r="C67" s="930">
        <v>0.91930000000000001</v>
      </c>
      <c r="D67" s="930">
        <v>0.85450000000000004</v>
      </c>
      <c r="E67" s="930">
        <v>0.85450000000000004</v>
      </c>
      <c r="F67" s="930">
        <v>0.85450000000000004</v>
      </c>
      <c r="G67" s="930">
        <v>0.85450000000000004</v>
      </c>
      <c r="H67" s="930">
        <v>0.85450000000000004</v>
      </c>
      <c r="I67" s="930">
        <v>0.72799999999999998</v>
      </c>
      <c r="J67" s="930">
        <v>0.72799999999999998</v>
      </c>
      <c r="K67" s="930">
        <v>0.72799999999999998</v>
      </c>
      <c r="L67" s="930">
        <v>0.72799999999999998</v>
      </c>
      <c r="M67" s="930">
        <v>0.72799999999999998</v>
      </c>
    </row>
    <row r="68" spans="1:13">
      <c r="A68" s="921">
        <v>7.5</v>
      </c>
      <c r="B68" s="930">
        <v>0.91790000000000005</v>
      </c>
      <c r="C68" s="930">
        <v>0.91790000000000005</v>
      </c>
      <c r="D68" s="930">
        <v>0.85250000000000004</v>
      </c>
      <c r="E68" s="930">
        <v>0.85250000000000004</v>
      </c>
      <c r="F68" s="930">
        <v>0.85250000000000004</v>
      </c>
      <c r="G68" s="930">
        <v>0.85250000000000004</v>
      </c>
      <c r="H68" s="930">
        <v>0.85250000000000004</v>
      </c>
      <c r="I68" s="930">
        <v>0.72529999999999994</v>
      </c>
      <c r="J68" s="930">
        <v>0.72529999999999994</v>
      </c>
      <c r="K68" s="930">
        <v>0.72529999999999994</v>
      </c>
      <c r="L68" s="930">
        <v>0.72529999999999994</v>
      </c>
      <c r="M68" s="930">
        <v>0.72529999999999994</v>
      </c>
    </row>
    <row r="69" spans="1:13">
      <c r="A69" s="921">
        <v>7.6</v>
      </c>
      <c r="B69" s="930">
        <v>0.91649999999999998</v>
      </c>
      <c r="C69" s="930">
        <v>0.91649999999999998</v>
      </c>
      <c r="D69" s="930">
        <v>0.85050000000000003</v>
      </c>
      <c r="E69" s="930">
        <v>0.85050000000000003</v>
      </c>
      <c r="F69" s="930">
        <v>0.85050000000000003</v>
      </c>
      <c r="G69" s="930">
        <v>0.85050000000000003</v>
      </c>
      <c r="H69" s="930">
        <v>0.85050000000000003</v>
      </c>
      <c r="I69" s="930">
        <v>0.72260000000000002</v>
      </c>
      <c r="J69" s="930">
        <v>0.72260000000000002</v>
      </c>
      <c r="K69" s="930">
        <v>0.72260000000000002</v>
      </c>
      <c r="L69" s="930">
        <v>0.72260000000000002</v>
      </c>
      <c r="M69" s="930">
        <v>0.72260000000000002</v>
      </c>
    </row>
    <row r="70" spans="1:13">
      <c r="A70" s="921">
        <v>7.7</v>
      </c>
      <c r="B70" s="930">
        <v>0.91510000000000002</v>
      </c>
      <c r="C70" s="930">
        <v>0.91510000000000002</v>
      </c>
      <c r="D70" s="930">
        <v>0.84850000000000003</v>
      </c>
      <c r="E70" s="930">
        <v>0.84850000000000003</v>
      </c>
      <c r="F70" s="930">
        <v>0.84850000000000003</v>
      </c>
      <c r="G70" s="930">
        <v>0.84850000000000003</v>
      </c>
      <c r="H70" s="930">
        <v>0.84850000000000003</v>
      </c>
      <c r="I70" s="930">
        <v>0.72</v>
      </c>
      <c r="J70" s="930">
        <v>0.72</v>
      </c>
      <c r="K70" s="930">
        <v>0.72</v>
      </c>
      <c r="L70" s="930">
        <v>0.72</v>
      </c>
      <c r="M70" s="930">
        <v>0.72</v>
      </c>
    </row>
    <row r="71" spans="1:13">
      <c r="A71" s="921">
        <v>7.8</v>
      </c>
      <c r="B71" s="930">
        <v>0.91369999999999996</v>
      </c>
      <c r="C71" s="930">
        <v>0.91369999999999996</v>
      </c>
      <c r="D71" s="930">
        <v>0.84660000000000002</v>
      </c>
      <c r="E71" s="930">
        <v>0.84660000000000002</v>
      </c>
      <c r="F71" s="930">
        <v>0.84660000000000002</v>
      </c>
      <c r="G71" s="930">
        <v>0.84660000000000002</v>
      </c>
      <c r="H71" s="930">
        <v>0.84660000000000002</v>
      </c>
      <c r="I71" s="930">
        <v>0.71740000000000004</v>
      </c>
      <c r="J71" s="930">
        <v>0.71740000000000004</v>
      </c>
      <c r="K71" s="930">
        <v>0.71740000000000004</v>
      </c>
      <c r="L71" s="930">
        <v>0.71740000000000004</v>
      </c>
      <c r="M71" s="930">
        <v>0.71740000000000004</v>
      </c>
    </row>
    <row r="72" spans="1:13">
      <c r="A72" s="921">
        <v>7.9</v>
      </c>
      <c r="B72" s="930">
        <v>0.9123</v>
      </c>
      <c r="C72" s="930">
        <v>0.9123</v>
      </c>
      <c r="D72" s="930">
        <v>0.84470000000000001</v>
      </c>
      <c r="E72" s="930">
        <v>0.84470000000000001</v>
      </c>
      <c r="F72" s="930">
        <v>0.84470000000000001</v>
      </c>
      <c r="G72" s="930">
        <v>0.84470000000000001</v>
      </c>
      <c r="H72" s="930">
        <v>0.84470000000000001</v>
      </c>
      <c r="I72" s="930">
        <v>0.71479999999999999</v>
      </c>
      <c r="J72" s="930">
        <v>0.71479999999999999</v>
      </c>
      <c r="K72" s="930">
        <v>0.71479999999999999</v>
      </c>
      <c r="L72" s="930">
        <v>0.71479999999999999</v>
      </c>
      <c r="M72" s="930">
        <v>0.71479999999999999</v>
      </c>
    </row>
    <row r="73" spans="1:13">
      <c r="A73" s="921">
        <v>8</v>
      </c>
      <c r="B73" s="930">
        <v>0.91090000000000004</v>
      </c>
      <c r="C73" s="930">
        <v>0.91090000000000004</v>
      </c>
      <c r="D73" s="930">
        <v>0.84279999999999999</v>
      </c>
      <c r="E73" s="930">
        <v>0.84279999999999999</v>
      </c>
      <c r="F73" s="930">
        <v>0.84279999999999999</v>
      </c>
      <c r="G73" s="930">
        <v>0.84279999999999999</v>
      </c>
      <c r="H73" s="930">
        <v>0.84279999999999999</v>
      </c>
      <c r="I73" s="930">
        <v>0.71230000000000004</v>
      </c>
      <c r="J73" s="930">
        <v>0.71230000000000004</v>
      </c>
      <c r="K73" s="930">
        <v>0.71230000000000004</v>
      </c>
      <c r="L73" s="930">
        <v>0.71230000000000004</v>
      </c>
      <c r="M73" s="930">
        <v>0.71230000000000004</v>
      </c>
    </row>
    <row r="74" spans="1:13">
      <c r="A74" s="921">
        <v>8.1</v>
      </c>
      <c r="B74" s="930">
        <v>0.90959999999999996</v>
      </c>
      <c r="C74" s="930">
        <v>0.90959999999999996</v>
      </c>
      <c r="D74" s="930">
        <v>0.84089999999999998</v>
      </c>
      <c r="E74" s="930">
        <v>0.84089999999999998</v>
      </c>
      <c r="F74" s="930">
        <v>0.84089999999999998</v>
      </c>
      <c r="G74" s="930">
        <v>0.84089999999999998</v>
      </c>
      <c r="H74" s="930">
        <v>0.84089999999999998</v>
      </c>
      <c r="I74" s="930">
        <v>0.70979999999999999</v>
      </c>
      <c r="J74" s="930">
        <v>0.70979999999999999</v>
      </c>
      <c r="K74" s="930">
        <v>0.70979999999999999</v>
      </c>
      <c r="L74" s="930">
        <v>0.70979999999999999</v>
      </c>
      <c r="M74" s="930">
        <v>0.70979999999999999</v>
      </c>
    </row>
    <row r="75" spans="1:13">
      <c r="A75" s="921">
        <v>8.1999999999999993</v>
      </c>
      <c r="B75" s="930">
        <v>0.9083</v>
      </c>
      <c r="C75" s="930">
        <v>0.9083</v>
      </c>
      <c r="D75" s="930">
        <v>0.83899999999999997</v>
      </c>
      <c r="E75" s="930">
        <v>0.83899999999999997</v>
      </c>
      <c r="F75" s="930">
        <v>0.83899999999999997</v>
      </c>
      <c r="G75" s="930">
        <v>0.83899999999999997</v>
      </c>
      <c r="H75" s="930">
        <v>0.83899999999999997</v>
      </c>
      <c r="I75" s="930">
        <v>0.70730000000000004</v>
      </c>
      <c r="J75" s="930">
        <v>0.70730000000000004</v>
      </c>
      <c r="K75" s="930">
        <v>0.70730000000000004</v>
      </c>
      <c r="L75" s="930">
        <v>0.70730000000000004</v>
      </c>
      <c r="M75" s="930">
        <v>0.70730000000000004</v>
      </c>
    </row>
    <row r="76" spans="1:13">
      <c r="A76" s="921">
        <v>8.3000000000000007</v>
      </c>
      <c r="B76" s="930">
        <v>0.90700000000000003</v>
      </c>
      <c r="C76" s="930">
        <v>0.90700000000000003</v>
      </c>
      <c r="D76" s="930">
        <v>0.83720000000000006</v>
      </c>
      <c r="E76" s="930">
        <v>0.83720000000000006</v>
      </c>
      <c r="F76" s="930">
        <v>0.83720000000000006</v>
      </c>
      <c r="G76" s="930">
        <v>0.83720000000000006</v>
      </c>
      <c r="H76" s="930">
        <v>0.83720000000000006</v>
      </c>
      <c r="I76" s="930">
        <v>0.70489999999999997</v>
      </c>
      <c r="J76" s="930">
        <v>0.70489999999999997</v>
      </c>
      <c r="K76" s="930">
        <v>0.70489999999999997</v>
      </c>
      <c r="L76" s="930">
        <v>0.70489999999999997</v>
      </c>
      <c r="M76" s="930">
        <v>0.70489999999999997</v>
      </c>
    </row>
    <row r="77" spans="1:13">
      <c r="A77" s="921">
        <v>8.4</v>
      </c>
      <c r="B77" s="930">
        <v>0.90569999999999995</v>
      </c>
      <c r="C77" s="930">
        <v>0.90569999999999995</v>
      </c>
      <c r="D77" s="930">
        <v>0.83540000000000003</v>
      </c>
      <c r="E77" s="930">
        <v>0.83540000000000003</v>
      </c>
      <c r="F77" s="930">
        <v>0.83540000000000003</v>
      </c>
      <c r="G77" s="930">
        <v>0.83540000000000003</v>
      </c>
      <c r="H77" s="930">
        <v>0.83540000000000003</v>
      </c>
      <c r="I77" s="930">
        <v>0.70250000000000001</v>
      </c>
      <c r="J77" s="930">
        <v>0.70250000000000001</v>
      </c>
      <c r="K77" s="930">
        <v>0.70250000000000001</v>
      </c>
      <c r="L77" s="930">
        <v>0.70250000000000001</v>
      </c>
      <c r="M77" s="930">
        <v>0.70250000000000001</v>
      </c>
    </row>
    <row r="78" spans="1:13">
      <c r="A78" s="921">
        <v>8.5</v>
      </c>
      <c r="B78" s="930">
        <v>0.90439999999999998</v>
      </c>
      <c r="C78" s="930">
        <v>0.90439999999999998</v>
      </c>
      <c r="D78" s="930">
        <v>0.83360000000000001</v>
      </c>
      <c r="E78" s="930">
        <v>0.83360000000000001</v>
      </c>
      <c r="F78" s="930">
        <v>0.83360000000000001</v>
      </c>
      <c r="G78" s="930">
        <v>0.83360000000000001</v>
      </c>
      <c r="H78" s="930">
        <v>0.83360000000000001</v>
      </c>
      <c r="I78" s="930">
        <v>0.70009999999999994</v>
      </c>
      <c r="J78" s="930">
        <v>0.70009999999999994</v>
      </c>
      <c r="K78" s="930">
        <v>0.70009999999999994</v>
      </c>
      <c r="L78" s="930">
        <v>0.70009999999999994</v>
      </c>
      <c r="M78" s="930">
        <v>0.70009999999999994</v>
      </c>
    </row>
    <row r="79" spans="1:13">
      <c r="A79" s="921">
        <v>8.6</v>
      </c>
      <c r="B79" s="930">
        <v>0.90310000000000001</v>
      </c>
      <c r="C79" s="930">
        <v>0.90310000000000001</v>
      </c>
      <c r="D79" s="930">
        <v>0.83179999999999998</v>
      </c>
      <c r="E79" s="930">
        <v>0.83179999999999998</v>
      </c>
      <c r="F79" s="930">
        <v>0.83179999999999998</v>
      </c>
      <c r="G79" s="930">
        <v>0.83179999999999998</v>
      </c>
      <c r="H79" s="930">
        <v>0.83179999999999998</v>
      </c>
      <c r="I79" s="930">
        <v>0.69779999999999998</v>
      </c>
      <c r="J79" s="930">
        <v>0.69779999999999998</v>
      </c>
      <c r="K79" s="930">
        <v>0.69779999999999998</v>
      </c>
      <c r="L79" s="930">
        <v>0.69779999999999998</v>
      </c>
      <c r="M79" s="930">
        <v>0.69779999999999998</v>
      </c>
    </row>
    <row r="80" spans="1:13">
      <c r="A80" s="921">
        <v>8.6999999999999993</v>
      </c>
      <c r="B80" s="930">
        <v>0.90180000000000005</v>
      </c>
      <c r="C80" s="930">
        <v>0.90180000000000005</v>
      </c>
      <c r="D80" s="930">
        <v>0.83</v>
      </c>
      <c r="E80" s="930">
        <v>0.83</v>
      </c>
      <c r="F80" s="930">
        <v>0.83</v>
      </c>
      <c r="G80" s="930">
        <v>0.83</v>
      </c>
      <c r="H80" s="930">
        <v>0.83</v>
      </c>
      <c r="I80" s="930">
        <v>0.69550000000000001</v>
      </c>
      <c r="J80" s="930">
        <v>0.69550000000000001</v>
      </c>
      <c r="K80" s="930">
        <v>0.69550000000000001</v>
      </c>
      <c r="L80" s="930">
        <v>0.69550000000000001</v>
      </c>
      <c r="M80" s="930">
        <v>0.69550000000000001</v>
      </c>
    </row>
    <row r="81" spans="1:14">
      <c r="A81" s="921">
        <v>8.8000000000000007</v>
      </c>
      <c r="B81" s="930">
        <v>0.90059999999999996</v>
      </c>
      <c r="C81" s="930">
        <v>0.90059999999999996</v>
      </c>
      <c r="D81" s="930">
        <v>0.82830000000000004</v>
      </c>
      <c r="E81" s="930">
        <v>0.82830000000000004</v>
      </c>
      <c r="F81" s="930">
        <v>0.82830000000000004</v>
      </c>
      <c r="G81" s="930">
        <v>0.82830000000000004</v>
      </c>
      <c r="H81" s="930">
        <v>0.82830000000000004</v>
      </c>
      <c r="I81" s="930">
        <v>0.69320000000000004</v>
      </c>
      <c r="J81" s="930">
        <v>0.69320000000000004</v>
      </c>
      <c r="K81" s="930">
        <v>0.69320000000000004</v>
      </c>
      <c r="L81" s="930">
        <v>0.69320000000000004</v>
      </c>
      <c r="M81" s="930">
        <v>0.69320000000000004</v>
      </c>
    </row>
    <row r="82" spans="1:14">
      <c r="A82" s="921">
        <v>8.9</v>
      </c>
      <c r="B82" s="930">
        <v>0.89939999999999998</v>
      </c>
      <c r="C82" s="930">
        <v>0.89939999999999998</v>
      </c>
      <c r="D82" s="930">
        <v>0.8266</v>
      </c>
      <c r="E82" s="930">
        <v>0.8266</v>
      </c>
      <c r="F82" s="930">
        <v>0.8266</v>
      </c>
      <c r="G82" s="930">
        <v>0.8266</v>
      </c>
      <c r="H82" s="930">
        <v>0.8266</v>
      </c>
      <c r="I82" s="930">
        <v>0.69099999999999995</v>
      </c>
      <c r="J82" s="930">
        <v>0.69099999999999995</v>
      </c>
      <c r="K82" s="930">
        <v>0.69099999999999995</v>
      </c>
      <c r="L82" s="930">
        <v>0.69099999999999995</v>
      </c>
      <c r="M82" s="930">
        <v>0.69099999999999995</v>
      </c>
    </row>
    <row r="83" spans="1:14">
      <c r="A83" s="921">
        <v>9</v>
      </c>
      <c r="B83" s="930">
        <v>0.8982</v>
      </c>
      <c r="C83" s="930">
        <v>0.8982</v>
      </c>
      <c r="D83" s="930">
        <v>0.82489999999999997</v>
      </c>
      <c r="E83" s="930">
        <v>0.82489999999999997</v>
      </c>
      <c r="F83" s="930">
        <v>0.82489999999999997</v>
      </c>
      <c r="G83" s="930">
        <v>0.82489999999999997</v>
      </c>
      <c r="H83" s="930">
        <v>0.82489999999999997</v>
      </c>
      <c r="I83" s="930">
        <v>0.68879999999999997</v>
      </c>
      <c r="J83" s="930">
        <v>0.68879999999999997</v>
      </c>
      <c r="K83" s="930">
        <v>0.68879999999999997</v>
      </c>
      <c r="L83" s="930">
        <v>0.68879999999999997</v>
      </c>
      <c r="M83" s="930">
        <v>0.68879999999999997</v>
      </c>
    </row>
    <row r="84" spans="1:14">
      <c r="A84" s="921">
        <v>9.1</v>
      </c>
      <c r="B84" s="930">
        <v>0.89700000000000002</v>
      </c>
      <c r="C84" s="930">
        <v>0.89700000000000002</v>
      </c>
      <c r="D84" s="930">
        <v>0.82320000000000004</v>
      </c>
      <c r="E84" s="930">
        <v>0.82320000000000004</v>
      </c>
      <c r="F84" s="930">
        <v>0.82320000000000004</v>
      </c>
      <c r="G84" s="930">
        <v>0.82320000000000004</v>
      </c>
      <c r="H84" s="930">
        <v>0.82320000000000004</v>
      </c>
      <c r="I84" s="930">
        <v>0.68659999999999999</v>
      </c>
      <c r="J84" s="930">
        <v>0.68659999999999999</v>
      </c>
      <c r="K84" s="930">
        <v>0.68659999999999999</v>
      </c>
      <c r="L84" s="930">
        <v>0.68659999999999999</v>
      </c>
      <c r="M84" s="930">
        <v>0.68659999999999999</v>
      </c>
    </row>
    <row r="85" spans="1:14">
      <c r="A85" s="921">
        <v>9.1999999999999993</v>
      </c>
      <c r="B85" s="930">
        <v>0.89580000000000004</v>
      </c>
      <c r="C85" s="930">
        <v>0.89580000000000004</v>
      </c>
      <c r="D85" s="930">
        <v>0.82150000000000001</v>
      </c>
      <c r="E85" s="930">
        <v>0.82150000000000001</v>
      </c>
      <c r="F85" s="930">
        <v>0.82150000000000001</v>
      </c>
      <c r="G85" s="930">
        <v>0.82150000000000001</v>
      </c>
      <c r="H85" s="930">
        <v>0.82150000000000001</v>
      </c>
      <c r="I85" s="930">
        <v>0.6845</v>
      </c>
      <c r="J85" s="930">
        <v>0.6845</v>
      </c>
      <c r="K85" s="930">
        <v>0.6845</v>
      </c>
      <c r="L85" s="930">
        <v>0.6845</v>
      </c>
      <c r="M85" s="930">
        <v>0.6845</v>
      </c>
    </row>
    <row r="86" spans="1:14">
      <c r="A86" s="921">
        <v>9.3000000000000007</v>
      </c>
      <c r="B86" s="930">
        <v>0.89459999999999995</v>
      </c>
      <c r="C86" s="930">
        <v>0.89459999999999995</v>
      </c>
      <c r="D86" s="930">
        <v>0.81989999999999996</v>
      </c>
      <c r="E86" s="930">
        <v>0.81989999999999996</v>
      </c>
      <c r="F86" s="930">
        <v>0.81989999999999996</v>
      </c>
      <c r="G86" s="930">
        <v>0.81989999999999996</v>
      </c>
      <c r="H86" s="930">
        <v>0.81989999999999996</v>
      </c>
      <c r="I86" s="930">
        <v>0.68240000000000001</v>
      </c>
      <c r="J86" s="930">
        <v>0.68240000000000001</v>
      </c>
      <c r="K86" s="930">
        <v>0.68240000000000001</v>
      </c>
      <c r="L86" s="930">
        <v>0.68240000000000001</v>
      </c>
      <c r="M86" s="930">
        <v>0.68240000000000001</v>
      </c>
    </row>
    <row r="87" spans="1:14">
      <c r="A87" s="921">
        <v>9.4</v>
      </c>
      <c r="B87" s="930">
        <v>0.89339999999999997</v>
      </c>
      <c r="C87" s="930">
        <v>0.89339999999999997</v>
      </c>
      <c r="D87" s="930">
        <v>0.81830000000000003</v>
      </c>
      <c r="E87" s="930">
        <v>0.81830000000000003</v>
      </c>
      <c r="F87" s="930">
        <v>0.81830000000000003</v>
      </c>
      <c r="G87" s="930">
        <v>0.81830000000000003</v>
      </c>
      <c r="H87" s="930">
        <v>0.81830000000000003</v>
      </c>
      <c r="I87" s="930">
        <v>0.68030000000000002</v>
      </c>
      <c r="J87" s="930">
        <v>0.68030000000000002</v>
      </c>
      <c r="K87" s="930">
        <v>0.68030000000000002</v>
      </c>
      <c r="L87" s="930">
        <v>0.68030000000000002</v>
      </c>
      <c r="M87" s="930">
        <v>0.68030000000000002</v>
      </c>
    </row>
    <row r="88" spans="1:14">
      <c r="A88" s="921">
        <v>9.5</v>
      </c>
      <c r="B88" s="930">
        <v>0.89229999999999998</v>
      </c>
      <c r="C88" s="930">
        <v>0.89229999999999998</v>
      </c>
      <c r="D88" s="930">
        <v>0.81669999999999998</v>
      </c>
      <c r="E88" s="930">
        <v>0.81669999999999998</v>
      </c>
      <c r="F88" s="930">
        <v>0.81669999999999998</v>
      </c>
      <c r="G88" s="930">
        <v>0.81669999999999998</v>
      </c>
      <c r="H88" s="930">
        <v>0.81669999999999998</v>
      </c>
      <c r="I88" s="930">
        <v>0.67830000000000001</v>
      </c>
      <c r="J88" s="930">
        <v>0.67830000000000001</v>
      </c>
      <c r="K88" s="930">
        <v>0.67830000000000001</v>
      </c>
      <c r="L88" s="930">
        <v>0.67830000000000001</v>
      </c>
      <c r="M88" s="930">
        <v>0.67830000000000001</v>
      </c>
    </row>
    <row r="89" spans="1:14">
      <c r="A89" s="921">
        <v>9.6</v>
      </c>
      <c r="B89" s="930">
        <v>0.89119999999999999</v>
      </c>
      <c r="C89" s="930">
        <v>0.89119999999999999</v>
      </c>
      <c r="D89" s="930">
        <v>0.81510000000000005</v>
      </c>
      <c r="E89" s="930">
        <v>0.81510000000000005</v>
      </c>
      <c r="F89" s="930">
        <v>0.81510000000000005</v>
      </c>
      <c r="G89" s="930">
        <v>0.81510000000000005</v>
      </c>
      <c r="H89" s="930">
        <v>0.81510000000000005</v>
      </c>
      <c r="I89" s="930">
        <v>0.67630000000000001</v>
      </c>
      <c r="J89" s="930">
        <v>0.67630000000000001</v>
      </c>
      <c r="K89" s="930">
        <v>0.67630000000000001</v>
      </c>
      <c r="L89" s="930">
        <v>0.67630000000000001</v>
      </c>
      <c r="M89" s="930">
        <v>0.67630000000000001</v>
      </c>
    </row>
    <row r="90" spans="1:14">
      <c r="A90" s="921">
        <v>9.6999999999999993</v>
      </c>
      <c r="B90" s="930">
        <v>0.8901</v>
      </c>
      <c r="C90" s="930">
        <v>0.8901</v>
      </c>
      <c r="D90" s="930">
        <v>0.8135</v>
      </c>
      <c r="E90" s="930">
        <v>0.8135</v>
      </c>
      <c r="F90" s="930">
        <v>0.8135</v>
      </c>
      <c r="G90" s="930">
        <v>0.8135</v>
      </c>
      <c r="H90" s="930">
        <v>0.8135</v>
      </c>
      <c r="I90" s="930">
        <v>0.67430000000000001</v>
      </c>
      <c r="J90" s="930">
        <v>0.67430000000000001</v>
      </c>
      <c r="K90" s="930">
        <v>0.67430000000000001</v>
      </c>
      <c r="L90" s="930">
        <v>0.67430000000000001</v>
      </c>
      <c r="M90" s="930">
        <v>0.67430000000000001</v>
      </c>
    </row>
    <row r="91" spans="1:14">
      <c r="A91" s="921">
        <v>9.8000000000000007</v>
      </c>
      <c r="B91" s="930">
        <v>0.88900000000000001</v>
      </c>
      <c r="C91" s="930">
        <v>0.88900000000000001</v>
      </c>
      <c r="D91" s="930">
        <v>0.81200000000000006</v>
      </c>
      <c r="E91" s="930">
        <v>0.81200000000000006</v>
      </c>
      <c r="F91" s="930">
        <v>0.81200000000000006</v>
      </c>
      <c r="G91" s="930">
        <v>0.81200000000000006</v>
      </c>
      <c r="H91" s="930">
        <v>0.81200000000000006</v>
      </c>
      <c r="I91" s="930">
        <v>0.6724</v>
      </c>
      <c r="J91" s="930">
        <v>0.6724</v>
      </c>
      <c r="K91" s="930">
        <v>0.6724</v>
      </c>
      <c r="L91" s="930">
        <v>0.6724</v>
      </c>
      <c r="M91" s="930">
        <v>0.6724</v>
      </c>
    </row>
    <row r="92" spans="1:14">
      <c r="A92" s="937">
        <v>9.9</v>
      </c>
      <c r="B92" s="930">
        <v>0.88790000000000002</v>
      </c>
      <c r="C92" s="930">
        <v>0.88790000000000002</v>
      </c>
      <c r="D92" s="930">
        <v>0.8105</v>
      </c>
      <c r="E92" s="930">
        <v>0.8105</v>
      </c>
      <c r="F92" s="930">
        <v>0.8105</v>
      </c>
      <c r="G92" s="930">
        <v>0.8105</v>
      </c>
      <c r="H92" s="930">
        <v>0.8105</v>
      </c>
      <c r="I92" s="930">
        <v>0.67049999999999998</v>
      </c>
      <c r="J92" s="930">
        <v>0.67049999999999998</v>
      </c>
      <c r="K92" s="930">
        <v>0.67049999999999998</v>
      </c>
      <c r="L92" s="930">
        <v>0.67049999999999998</v>
      </c>
      <c r="M92" s="930">
        <v>0.67049999999999998</v>
      </c>
    </row>
    <row r="93" spans="1:14" ht="14.25">
      <c r="A93" s="3084" t="s">
        <v>2772</v>
      </c>
      <c r="B93" s="930"/>
      <c r="C93" s="930"/>
      <c r="D93" s="930"/>
      <c r="E93" s="930"/>
      <c r="F93" s="930"/>
      <c r="G93" s="930"/>
      <c r="H93" s="930"/>
      <c r="I93" s="930"/>
      <c r="J93" s="930"/>
      <c r="K93" s="930"/>
      <c r="L93" s="930"/>
      <c r="M93" s="930"/>
    </row>
    <row r="94" spans="1:14">
      <c r="A94" s="937" t="s">
        <v>1548</v>
      </c>
      <c r="B94" s="930" t="s">
        <v>990</v>
      </c>
      <c r="C94" s="930" t="s">
        <v>1031</v>
      </c>
      <c r="D94" s="930" t="s">
        <v>1145</v>
      </c>
      <c r="E94" s="930" t="s">
        <v>853</v>
      </c>
      <c r="F94" s="930" t="s">
        <v>1152</v>
      </c>
      <c r="G94" s="930" t="s">
        <v>1153</v>
      </c>
      <c r="H94" s="930" t="s">
        <v>1154</v>
      </c>
      <c r="I94" s="930" t="s">
        <v>1155</v>
      </c>
      <c r="J94" s="930" t="s">
        <v>1156</v>
      </c>
      <c r="K94" s="930" t="s">
        <v>1157</v>
      </c>
      <c r="L94" s="930" t="s">
        <v>2758</v>
      </c>
      <c r="M94" s="930" t="s">
        <v>2759</v>
      </c>
      <c r="N94" s="920" t="e">
        <f>SUMPRODUCT((A95:A184=ROUNDDOWN([5]基准地价修正!G3,1))*(B94:M94=[5]基准地价修正!G2)*(B95:M184))</f>
        <v>#REF!</v>
      </c>
    </row>
    <row r="95" spans="1:14">
      <c r="A95" s="937">
        <v>1</v>
      </c>
      <c r="B95" s="930">
        <v>1.2501</v>
      </c>
      <c r="C95" s="930">
        <v>1.2501</v>
      </c>
      <c r="D95" s="930">
        <v>1.2158</v>
      </c>
      <c r="E95" s="930">
        <v>1.2158</v>
      </c>
      <c r="F95" s="930">
        <v>1.2158</v>
      </c>
      <c r="G95" s="930">
        <v>1.2158</v>
      </c>
      <c r="H95" s="930">
        <v>1.2158</v>
      </c>
      <c r="I95" s="930">
        <v>1.2302</v>
      </c>
      <c r="J95" s="930">
        <v>1.2302</v>
      </c>
      <c r="K95" s="930">
        <v>1.2302</v>
      </c>
      <c r="L95" s="930">
        <v>1.2302</v>
      </c>
      <c r="M95" s="930">
        <v>1.2302</v>
      </c>
    </row>
    <row r="96" spans="1:14">
      <c r="A96" s="937">
        <v>1.1000000000000001</v>
      </c>
      <c r="B96" s="930">
        <v>1.2310000000000001</v>
      </c>
      <c r="C96" s="930">
        <v>1.2310000000000001</v>
      </c>
      <c r="D96" s="930">
        <v>1.1947000000000001</v>
      </c>
      <c r="E96" s="930">
        <v>1.1947000000000001</v>
      </c>
      <c r="F96" s="930">
        <v>1.1947000000000001</v>
      </c>
      <c r="G96" s="930">
        <v>1.1947000000000001</v>
      </c>
      <c r="H96" s="930">
        <v>1.1947000000000001</v>
      </c>
      <c r="I96" s="930">
        <v>1.2008000000000001</v>
      </c>
      <c r="J96" s="930">
        <v>1.2008000000000001</v>
      </c>
      <c r="K96" s="930">
        <v>1.2008000000000001</v>
      </c>
      <c r="L96" s="930">
        <v>1.2008000000000001</v>
      </c>
      <c r="M96" s="930">
        <v>1.2008000000000001</v>
      </c>
    </row>
    <row r="97" spans="1:14">
      <c r="A97" s="937">
        <v>1.2</v>
      </c>
      <c r="B97" s="930">
        <v>1.2130000000000001</v>
      </c>
      <c r="C97" s="930">
        <v>1.2130000000000001</v>
      </c>
      <c r="D97" s="930">
        <v>1.1748000000000001</v>
      </c>
      <c r="E97" s="930">
        <v>1.1748000000000001</v>
      </c>
      <c r="F97" s="930">
        <v>1.1748000000000001</v>
      </c>
      <c r="G97" s="930">
        <v>1.1748000000000001</v>
      </c>
      <c r="H97" s="930">
        <v>1.1748000000000001</v>
      </c>
      <c r="I97" s="930">
        <v>1.173</v>
      </c>
      <c r="J97" s="930">
        <v>1.173</v>
      </c>
      <c r="K97" s="930">
        <v>1.173</v>
      </c>
      <c r="L97" s="930">
        <v>1.173</v>
      </c>
      <c r="M97" s="930">
        <v>1.173</v>
      </c>
    </row>
    <row r="98" spans="1:14">
      <c r="A98" s="937">
        <v>1.3</v>
      </c>
      <c r="B98" s="930">
        <v>1.196</v>
      </c>
      <c r="C98" s="930">
        <v>1.196</v>
      </c>
      <c r="D98" s="930">
        <v>1.1559999999999999</v>
      </c>
      <c r="E98" s="930">
        <v>1.1559999999999999</v>
      </c>
      <c r="F98" s="930">
        <v>1.1559999999999999</v>
      </c>
      <c r="G98" s="930">
        <v>1.1559999999999999</v>
      </c>
      <c r="H98" s="930">
        <v>1.1559999999999999</v>
      </c>
      <c r="I98" s="930">
        <v>1.1468</v>
      </c>
      <c r="J98" s="930">
        <v>1.1468</v>
      </c>
      <c r="K98" s="930">
        <v>1.1468</v>
      </c>
      <c r="L98" s="930">
        <v>1.1468</v>
      </c>
      <c r="M98" s="930">
        <v>1.1468</v>
      </c>
    </row>
    <row r="99" spans="1:14">
      <c r="A99" s="937">
        <v>1.4</v>
      </c>
      <c r="B99" s="930">
        <v>1.18</v>
      </c>
      <c r="C99" s="930">
        <v>1.18</v>
      </c>
      <c r="D99" s="930">
        <v>1.1382000000000001</v>
      </c>
      <c r="E99" s="930">
        <v>1.1382000000000001</v>
      </c>
      <c r="F99" s="930">
        <v>1.1382000000000001</v>
      </c>
      <c r="G99" s="930">
        <v>1.1382000000000001</v>
      </c>
      <c r="H99" s="930">
        <v>1.1382000000000001</v>
      </c>
      <c r="I99" s="930">
        <v>1.1220000000000001</v>
      </c>
      <c r="J99" s="930">
        <v>1.1220000000000001</v>
      </c>
      <c r="K99" s="930">
        <v>1.1220000000000001</v>
      </c>
      <c r="L99" s="930">
        <v>1.1220000000000001</v>
      </c>
      <c r="M99" s="930">
        <v>1.1220000000000001</v>
      </c>
    </row>
    <row r="100" spans="1:14">
      <c r="A100" s="937">
        <v>1.5</v>
      </c>
      <c r="B100" s="930">
        <v>1.1649</v>
      </c>
      <c r="C100" s="930">
        <v>1.1649</v>
      </c>
      <c r="D100" s="930">
        <v>1.1214999999999999</v>
      </c>
      <c r="E100" s="930">
        <v>1.1214999999999999</v>
      </c>
      <c r="F100" s="930">
        <v>1.1214999999999999</v>
      </c>
      <c r="G100" s="930">
        <v>1.1214999999999999</v>
      </c>
      <c r="H100" s="930">
        <v>1.1214999999999999</v>
      </c>
      <c r="I100" s="930">
        <v>1.0985</v>
      </c>
      <c r="J100" s="930">
        <v>1.0985</v>
      </c>
      <c r="K100" s="930">
        <v>1.0985</v>
      </c>
      <c r="L100" s="930">
        <v>1.0985</v>
      </c>
      <c r="M100" s="930">
        <v>1.0985</v>
      </c>
    </row>
    <row r="101" spans="1:14">
      <c r="A101" s="937">
        <v>1.6</v>
      </c>
      <c r="B101" s="930">
        <v>1.1507000000000001</v>
      </c>
      <c r="C101" s="930">
        <v>1.1507000000000001</v>
      </c>
      <c r="D101" s="930">
        <v>1.1056999999999999</v>
      </c>
      <c r="E101" s="930">
        <v>1.1056999999999999</v>
      </c>
      <c r="F101" s="930">
        <v>1.1056999999999999</v>
      </c>
      <c r="G101" s="930">
        <v>1.1056999999999999</v>
      </c>
      <c r="H101" s="930">
        <v>1.1056999999999999</v>
      </c>
      <c r="I101" s="930">
        <v>1.0764</v>
      </c>
      <c r="J101" s="930">
        <v>1.0764</v>
      </c>
      <c r="K101" s="930">
        <v>1.0764</v>
      </c>
      <c r="L101" s="930">
        <v>1.0764</v>
      </c>
      <c r="M101" s="930">
        <v>1.0764</v>
      </c>
    </row>
    <row r="102" spans="1:14">
      <c r="A102" s="937">
        <v>1.7</v>
      </c>
      <c r="B102" s="930">
        <v>1.1373</v>
      </c>
      <c r="C102" s="930">
        <v>1.1373</v>
      </c>
      <c r="D102" s="930">
        <v>1.0908</v>
      </c>
      <c r="E102" s="930">
        <v>1.0908</v>
      </c>
      <c r="F102" s="930">
        <v>1.0908</v>
      </c>
      <c r="G102" s="930">
        <v>1.0908</v>
      </c>
      <c r="H102" s="930">
        <v>1.0908</v>
      </c>
      <c r="I102" s="930">
        <v>1.0556000000000001</v>
      </c>
      <c r="J102" s="930">
        <v>1.0556000000000001</v>
      </c>
      <c r="K102" s="930">
        <v>1.0556000000000001</v>
      </c>
      <c r="L102" s="930">
        <v>1.0556000000000001</v>
      </c>
      <c r="M102" s="930">
        <v>1.0556000000000001</v>
      </c>
    </row>
    <row r="103" spans="1:14">
      <c r="A103" s="937">
        <v>1.8</v>
      </c>
      <c r="B103" s="930">
        <v>1.1247</v>
      </c>
      <c r="C103" s="930">
        <v>1.1247</v>
      </c>
      <c r="D103" s="930">
        <v>1.0768</v>
      </c>
      <c r="E103" s="930">
        <v>1.0768</v>
      </c>
      <c r="F103" s="930">
        <v>1.0768</v>
      </c>
      <c r="G103" s="930">
        <v>1.0768</v>
      </c>
      <c r="H103" s="930">
        <v>1.0768</v>
      </c>
      <c r="I103" s="930">
        <v>1.0359</v>
      </c>
      <c r="J103" s="930">
        <v>1.0359</v>
      </c>
      <c r="K103" s="930">
        <v>1.0359</v>
      </c>
      <c r="L103" s="930">
        <v>1.0359</v>
      </c>
      <c r="M103" s="930">
        <v>1.0359</v>
      </c>
    </row>
    <row r="104" spans="1:14" ht="14.25">
      <c r="A104" s="921">
        <v>1.9</v>
      </c>
      <c r="B104" s="922">
        <v>1.1128</v>
      </c>
      <c r="C104" s="922">
        <v>1.1128</v>
      </c>
      <c r="D104" s="922">
        <v>1.0637000000000001</v>
      </c>
      <c r="E104" s="922">
        <v>1.0637000000000001</v>
      </c>
      <c r="F104" s="922">
        <v>1.0637000000000001</v>
      </c>
      <c r="G104" s="922">
        <v>1.0637000000000001</v>
      </c>
      <c r="H104" s="923">
        <v>1.0637000000000001</v>
      </c>
      <c r="I104" s="923">
        <v>1.0174000000000001</v>
      </c>
      <c r="J104" s="924">
        <v>1.0174000000000001</v>
      </c>
      <c r="K104" s="924">
        <v>1.0174000000000001</v>
      </c>
      <c r="L104" s="924">
        <v>1.0174000000000001</v>
      </c>
      <c r="M104" s="924">
        <v>1.0174000000000001</v>
      </c>
      <c r="N104" s="919"/>
    </row>
    <row r="105" spans="1:14">
      <c r="A105" s="921">
        <v>2</v>
      </c>
      <c r="B105" s="930">
        <v>1.1016999999999999</v>
      </c>
      <c r="C105" s="930">
        <v>1.1016999999999999</v>
      </c>
      <c r="D105" s="930">
        <v>1.0512999999999999</v>
      </c>
      <c r="E105" s="930">
        <v>1.0512999999999999</v>
      </c>
      <c r="F105" s="930">
        <v>1.0512999999999999</v>
      </c>
      <c r="G105" s="930">
        <v>1.0512999999999999</v>
      </c>
      <c r="H105" s="930">
        <v>1.0512999999999999</v>
      </c>
      <c r="I105" s="930">
        <v>1</v>
      </c>
      <c r="J105" s="930">
        <v>1</v>
      </c>
      <c r="K105" s="930">
        <v>1</v>
      </c>
      <c r="L105" s="930">
        <v>1</v>
      </c>
      <c r="M105" s="930">
        <v>1</v>
      </c>
    </row>
    <row r="106" spans="1:14">
      <c r="A106" s="921">
        <v>2.1</v>
      </c>
      <c r="B106" s="930">
        <v>1.0912999999999999</v>
      </c>
      <c r="C106" s="930">
        <v>1.0912999999999999</v>
      </c>
      <c r="D106" s="930">
        <v>1.0397000000000001</v>
      </c>
      <c r="E106" s="930">
        <v>1.0397000000000001</v>
      </c>
      <c r="F106" s="930">
        <v>1.0397000000000001</v>
      </c>
      <c r="G106" s="930">
        <v>1.0397000000000001</v>
      </c>
      <c r="H106" s="930">
        <v>1.0397000000000001</v>
      </c>
      <c r="I106" s="930">
        <v>0.98360000000000003</v>
      </c>
      <c r="J106" s="930">
        <v>0.98360000000000003</v>
      </c>
      <c r="K106" s="930">
        <v>0.98360000000000003</v>
      </c>
      <c r="L106" s="930">
        <v>0.98360000000000003</v>
      </c>
      <c r="M106" s="930">
        <v>0.98360000000000003</v>
      </c>
    </row>
    <row r="107" spans="1:14">
      <c r="A107" s="921">
        <v>2.2000000000000002</v>
      </c>
      <c r="B107" s="930">
        <v>1.0814999999999999</v>
      </c>
      <c r="C107" s="930">
        <v>1.0814999999999999</v>
      </c>
      <c r="D107" s="930">
        <v>1.0287999999999999</v>
      </c>
      <c r="E107" s="930">
        <v>1.0287999999999999</v>
      </c>
      <c r="F107" s="930">
        <v>1.0287999999999999</v>
      </c>
      <c r="G107" s="930">
        <v>1.0287999999999999</v>
      </c>
      <c r="H107" s="930">
        <v>1.0287999999999999</v>
      </c>
      <c r="I107" s="930">
        <v>0.96819999999999995</v>
      </c>
      <c r="J107" s="930">
        <v>0.96819999999999995</v>
      </c>
      <c r="K107" s="930">
        <v>0.96819999999999995</v>
      </c>
      <c r="L107" s="930">
        <v>0.96819999999999995</v>
      </c>
      <c r="M107" s="930">
        <v>0.96819999999999995</v>
      </c>
    </row>
    <row r="108" spans="1:14">
      <c r="A108" s="921">
        <v>2.2999999999999998</v>
      </c>
      <c r="B108" s="930">
        <v>1.0724</v>
      </c>
      <c r="C108" s="930">
        <v>1.0724</v>
      </c>
      <c r="D108" s="930">
        <v>1.0185999999999999</v>
      </c>
      <c r="E108" s="930">
        <v>1.0185999999999999</v>
      </c>
      <c r="F108" s="930">
        <v>1.0185999999999999</v>
      </c>
      <c r="G108" s="930">
        <v>1.0185999999999999</v>
      </c>
      <c r="H108" s="930">
        <v>1.0185999999999999</v>
      </c>
      <c r="I108" s="930">
        <v>0.95369999999999999</v>
      </c>
      <c r="J108" s="930">
        <v>0.95369999999999999</v>
      </c>
      <c r="K108" s="930">
        <v>0.95369999999999999</v>
      </c>
      <c r="L108" s="930">
        <v>0.95369999999999999</v>
      </c>
      <c r="M108" s="930">
        <v>0.95369999999999999</v>
      </c>
    </row>
    <row r="109" spans="1:14">
      <c r="A109" s="921">
        <v>2.4</v>
      </c>
      <c r="B109" s="930">
        <v>1.0638000000000001</v>
      </c>
      <c r="C109" s="930">
        <v>1.0638000000000001</v>
      </c>
      <c r="D109" s="930">
        <v>1.0089999999999999</v>
      </c>
      <c r="E109" s="930">
        <v>1.0089999999999999</v>
      </c>
      <c r="F109" s="930">
        <v>1.0089999999999999</v>
      </c>
      <c r="G109" s="930">
        <v>1.0089999999999999</v>
      </c>
      <c r="H109" s="930">
        <v>1.0089999999999999</v>
      </c>
      <c r="I109" s="930">
        <v>0.94010000000000005</v>
      </c>
      <c r="J109" s="930">
        <v>0.94010000000000005</v>
      </c>
      <c r="K109" s="930">
        <v>0.94010000000000005</v>
      </c>
      <c r="L109" s="930">
        <v>0.94010000000000005</v>
      </c>
      <c r="M109" s="930">
        <v>0.94010000000000005</v>
      </c>
    </row>
    <row r="110" spans="1:14">
      <c r="A110" s="921">
        <v>2.5</v>
      </c>
      <c r="B110" s="930">
        <v>1.0558000000000001</v>
      </c>
      <c r="C110" s="930">
        <v>1.0558000000000001</v>
      </c>
      <c r="D110" s="930">
        <v>1</v>
      </c>
      <c r="E110" s="930">
        <v>1</v>
      </c>
      <c r="F110" s="930">
        <v>1</v>
      </c>
      <c r="G110" s="930">
        <v>1</v>
      </c>
      <c r="H110" s="930">
        <v>1</v>
      </c>
      <c r="I110" s="930">
        <v>0.9274</v>
      </c>
      <c r="J110" s="930">
        <v>0.9274</v>
      </c>
      <c r="K110" s="930">
        <v>0.9274</v>
      </c>
      <c r="L110" s="930">
        <v>0.9274</v>
      </c>
      <c r="M110" s="930">
        <v>0.9274</v>
      </c>
    </row>
    <row r="111" spans="1:14">
      <c r="A111" s="921">
        <v>2.6</v>
      </c>
      <c r="B111" s="930">
        <v>1.0483</v>
      </c>
      <c r="C111" s="930">
        <v>1.0483</v>
      </c>
      <c r="D111" s="930">
        <v>0.99160000000000004</v>
      </c>
      <c r="E111" s="930">
        <v>0.99160000000000004</v>
      </c>
      <c r="F111" s="930">
        <v>0.99160000000000004</v>
      </c>
      <c r="G111" s="930">
        <v>0.99160000000000004</v>
      </c>
      <c r="H111" s="930">
        <v>0.99160000000000004</v>
      </c>
      <c r="I111" s="930">
        <v>0.91539999999999999</v>
      </c>
      <c r="J111" s="930">
        <v>0.91539999999999999</v>
      </c>
      <c r="K111" s="930">
        <v>0.91539999999999999</v>
      </c>
      <c r="L111" s="930">
        <v>0.91539999999999999</v>
      </c>
      <c r="M111" s="930">
        <v>0.91539999999999999</v>
      </c>
    </row>
    <row r="112" spans="1:14">
      <c r="A112" s="921">
        <v>2.7</v>
      </c>
      <c r="B112" s="930">
        <v>1.0412999999999999</v>
      </c>
      <c r="C112" s="930">
        <v>1.0412999999999999</v>
      </c>
      <c r="D112" s="930">
        <v>0.98370000000000002</v>
      </c>
      <c r="E112" s="930">
        <v>0.98370000000000002</v>
      </c>
      <c r="F112" s="930">
        <v>0.98370000000000002</v>
      </c>
      <c r="G112" s="930">
        <v>0.98370000000000002</v>
      </c>
      <c r="H112" s="930">
        <v>0.98370000000000002</v>
      </c>
      <c r="I112" s="930">
        <v>0.90429999999999999</v>
      </c>
      <c r="J112" s="930">
        <v>0.90429999999999999</v>
      </c>
      <c r="K112" s="930">
        <v>0.90429999999999999</v>
      </c>
      <c r="L112" s="930">
        <v>0.90429999999999999</v>
      </c>
      <c r="M112" s="930">
        <v>0.90429999999999999</v>
      </c>
    </row>
    <row r="113" spans="1:13">
      <c r="A113" s="921">
        <v>2.8</v>
      </c>
      <c r="B113" s="930">
        <v>1.0347999999999999</v>
      </c>
      <c r="C113" s="930">
        <v>1.0347999999999999</v>
      </c>
      <c r="D113" s="930">
        <v>0.97640000000000005</v>
      </c>
      <c r="E113" s="930">
        <v>0.97640000000000005</v>
      </c>
      <c r="F113" s="930">
        <v>0.97640000000000005</v>
      </c>
      <c r="G113" s="930">
        <v>0.97640000000000005</v>
      </c>
      <c r="H113" s="930">
        <v>0.97640000000000005</v>
      </c>
      <c r="I113" s="930">
        <v>0.89370000000000005</v>
      </c>
      <c r="J113" s="930">
        <v>0.89370000000000005</v>
      </c>
      <c r="K113" s="930">
        <v>0.89370000000000005</v>
      </c>
      <c r="L113" s="930">
        <v>0.89370000000000005</v>
      </c>
      <c r="M113" s="930">
        <v>0.89370000000000005</v>
      </c>
    </row>
    <row r="114" spans="1:13">
      <c r="A114" s="921">
        <v>2.9</v>
      </c>
      <c r="B114" s="930">
        <v>1.0286999999999999</v>
      </c>
      <c r="C114" s="930">
        <v>1.0286999999999999</v>
      </c>
      <c r="D114" s="930">
        <v>0.96950000000000003</v>
      </c>
      <c r="E114" s="930">
        <v>0.96950000000000003</v>
      </c>
      <c r="F114" s="930">
        <v>0.96950000000000003</v>
      </c>
      <c r="G114" s="930">
        <v>0.96950000000000003</v>
      </c>
      <c r="H114" s="930">
        <v>0.96950000000000003</v>
      </c>
      <c r="I114" s="930">
        <v>0.88390000000000002</v>
      </c>
      <c r="J114" s="930">
        <v>0.88390000000000002</v>
      </c>
      <c r="K114" s="930">
        <v>0.88390000000000002</v>
      </c>
      <c r="L114" s="930">
        <v>0.88390000000000002</v>
      </c>
      <c r="M114" s="930">
        <v>0.88390000000000002</v>
      </c>
    </row>
    <row r="115" spans="1:13">
      <c r="A115" s="921">
        <v>3</v>
      </c>
      <c r="B115" s="930">
        <v>1.0229999999999999</v>
      </c>
      <c r="C115" s="930">
        <v>1.0229999999999999</v>
      </c>
      <c r="D115" s="930">
        <v>0.96309999999999996</v>
      </c>
      <c r="E115" s="930">
        <v>0.96309999999999996</v>
      </c>
      <c r="F115" s="930">
        <v>0.96309999999999996</v>
      </c>
      <c r="G115" s="930">
        <v>0.96309999999999996</v>
      </c>
      <c r="H115" s="930">
        <v>0.96309999999999996</v>
      </c>
      <c r="I115" s="930">
        <v>0.87460000000000004</v>
      </c>
      <c r="J115" s="930">
        <v>0.87460000000000004</v>
      </c>
      <c r="K115" s="930">
        <v>0.87460000000000004</v>
      </c>
      <c r="L115" s="930">
        <v>0.87460000000000004</v>
      </c>
      <c r="M115" s="930">
        <v>0.87460000000000004</v>
      </c>
    </row>
    <row r="116" spans="1:13">
      <c r="A116" s="921">
        <v>3.1</v>
      </c>
      <c r="B116" s="930">
        <v>1.0177</v>
      </c>
      <c r="C116" s="930">
        <v>1.0177</v>
      </c>
      <c r="D116" s="930">
        <v>0.95709999999999995</v>
      </c>
      <c r="E116" s="930">
        <v>0.95709999999999995</v>
      </c>
      <c r="F116" s="930">
        <v>0.95709999999999995</v>
      </c>
      <c r="G116" s="930">
        <v>0.95709999999999995</v>
      </c>
      <c r="H116" s="930">
        <v>0.95709999999999995</v>
      </c>
      <c r="I116" s="930">
        <v>0.8659</v>
      </c>
      <c r="J116" s="930">
        <v>0.8659</v>
      </c>
      <c r="K116" s="930">
        <v>0.8659</v>
      </c>
      <c r="L116" s="930">
        <v>0.8659</v>
      </c>
      <c r="M116" s="930">
        <v>0.8659</v>
      </c>
    </row>
    <row r="117" spans="1:13">
      <c r="A117" s="921">
        <v>3.2</v>
      </c>
      <c r="B117" s="930">
        <v>1.0127999999999999</v>
      </c>
      <c r="C117" s="930">
        <v>1.0127999999999999</v>
      </c>
      <c r="D117" s="930">
        <v>0.9516</v>
      </c>
      <c r="E117" s="930">
        <v>0.9516</v>
      </c>
      <c r="F117" s="930">
        <v>0.9516</v>
      </c>
      <c r="G117" s="930">
        <v>0.9516</v>
      </c>
      <c r="H117" s="930">
        <v>0.9516</v>
      </c>
      <c r="I117" s="930">
        <v>0.85780000000000001</v>
      </c>
      <c r="J117" s="930">
        <v>0.85780000000000001</v>
      </c>
      <c r="K117" s="930">
        <v>0.85780000000000001</v>
      </c>
      <c r="L117" s="930">
        <v>0.85780000000000001</v>
      </c>
      <c r="M117" s="930">
        <v>0.85780000000000001</v>
      </c>
    </row>
    <row r="118" spans="1:13">
      <c r="A118" s="921">
        <v>3.3</v>
      </c>
      <c r="B118" s="930">
        <v>1.0082</v>
      </c>
      <c r="C118" s="930">
        <v>1.0082</v>
      </c>
      <c r="D118" s="930">
        <v>0.94640000000000002</v>
      </c>
      <c r="E118" s="930">
        <v>0.94640000000000002</v>
      </c>
      <c r="F118" s="930">
        <v>0.94640000000000002</v>
      </c>
      <c r="G118" s="930">
        <v>0.94640000000000002</v>
      </c>
      <c r="H118" s="930">
        <v>0.94640000000000002</v>
      </c>
      <c r="I118" s="930">
        <v>0.85029999999999994</v>
      </c>
      <c r="J118" s="930">
        <v>0.85029999999999994</v>
      </c>
      <c r="K118" s="930">
        <v>0.85029999999999994</v>
      </c>
      <c r="L118" s="930">
        <v>0.85029999999999994</v>
      </c>
      <c r="M118" s="930">
        <v>0.85029999999999994</v>
      </c>
    </row>
    <row r="119" spans="1:13">
      <c r="A119" s="921">
        <v>3.4</v>
      </c>
      <c r="B119" s="930">
        <v>1.004</v>
      </c>
      <c r="C119" s="930">
        <v>1.004</v>
      </c>
      <c r="D119" s="930">
        <v>0.9415</v>
      </c>
      <c r="E119" s="930">
        <v>0.9415</v>
      </c>
      <c r="F119" s="930">
        <v>0.9415</v>
      </c>
      <c r="G119" s="930">
        <v>0.9415</v>
      </c>
      <c r="H119" s="930">
        <v>0.9415</v>
      </c>
      <c r="I119" s="930">
        <v>0.84319999999999995</v>
      </c>
      <c r="J119" s="930">
        <v>0.84319999999999995</v>
      </c>
      <c r="K119" s="930">
        <v>0.84319999999999995</v>
      </c>
      <c r="L119" s="930">
        <v>0.84319999999999995</v>
      </c>
      <c r="M119" s="930">
        <v>0.84319999999999995</v>
      </c>
    </row>
    <row r="120" spans="1:13">
      <c r="A120" s="921">
        <v>3.5</v>
      </c>
      <c r="B120" s="930">
        <v>1</v>
      </c>
      <c r="C120" s="930">
        <v>1</v>
      </c>
      <c r="D120" s="930">
        <v>0.93700000000000006</v>
      </c>
      <c r="E120" s="930">
        <v>0.93700000000000006</v>
      </c>
      <c r="F120" s="930">
        <v>0.93700000000000006</v>
      </c>
      <c r="G120" s="930">
        <v>0.93700000000000006</v>
      </c>
      <c r="H120" s="930">
        <v>0.93700000000000006</v>
      </c>
      <c r="I120" s="930">
        <v>0.83660000000000001</v>
      </c>
      <c r="J120" s="930">
        <v>0.83660000000000001</v>
      </c>
      <c r="K120" s="930">
        <v>0.83660000000000001</v>
      </c>
      <c r="L120" s="930">
        <v>0.83660000000000001</v>
      </c>
      <c r="M120" s="930">
        <v>0.83660000000000001</v>
      </c>
    </row>
    <row r="121" spans="1:13">
      <c r="A121" s="921">
        <v>3.6</v>
      </c>
      <c r="B121" s="930">
        <v>0.99629999999999996</v>
      </c>
      <c r="C121" s="930">
        <v>0.99629999999999996</v>
      </c>
      <c r="D121" s="930">
        <v>0.93279999999999996</v>
      </c>
      <c r="E121" s="930">
        <v>0.93279999999999996</v>
      </c>
      <c r="F121" s="930">
        <v>0.93279999999999996</v>
      </c>
      <c r="G121" s="930">
        <v>0.93279999999999996</v>
      </c>
      <c r="H121" s="930">
        <v>0.93279999999999996</v>
      </c>
      <c r="I121" s="930">
        <v>0.83040000000000003</v>
      </c>
      <c r="J121" s="930">
        <v>0.83040000000000003</v>
      </c>
      <c r="K121" s="930">
        <v>0.83040000000000003</v>
      </c>
      <c r="L121" s="930">
        <v>0.83040000000000003</v>
      </c>
      <c r="M121" s="930">
        <v>0.83040000000000003</v>
      </c>
    </row>
    <row r="122" spans="1:13">
      <c r="A122" s="921">
        <v>3.7</v>
      </c>
      <c r="B122" s="930">
        <v>0.9929</v>
      </c>
      <c r="C122" s="930">
        <v>0.9929</v>
      </c>
      <c r="D122" s="930">
        <v>0.92879999999999996</v>
      </c>
      <c r="E122" s="930">
        <v>0.92879999999999996</v>
      </c>
      <c r="F122" s="930">
        <v>0.92879999999999996</v>
      </c>
      <c r="G122" s="930">
        <v>0.92879999999999996</v>
      </c>
      <c r="H122" s="930">
        <v>0.92879999999999996</v>
      </c>
      <c r="I122" s="930">
        <v>0.8246</v>
      </c>
      <c r="J122" s="930">
        <v>0.8246</v>
      </c>
      <c r="K122" s="930">
        <v>0.8246</v>
      </c>
      <c r="L122" s="930">
        <v>0.8246</v>
      </c>
      <c r="M122" s="930">
        <v>0.8246</v>
      </c>
    </row>
    <row r="123" spans="1:13">
      <c r="A123" s="921">
        <v>3.8</v>
      </c>
      <c r="B123" s="930">
        <v>0.98970000000000002</v>
      </c>
      <c r="C123" s="930">
        <v>0.98970000000000002</v>
      </c>
      <c r="D123" s="930">
        <v>0.92520000000000002</v>
      </c>
      <c r="E123" s="930">
        <v>0.92520000000000002</v>
      </c>
      <c r="F123" s="930">
        <v>0.92520000000000002</v>
      </c>
      <c r="G123" s="930">
        <v>0.92520000000000002</v>
      </c>
      <c r="H123" s="930">
        <v>0.92520000000000002</v>
      </c>
      <c r="I123" s="930">
        <v>0.81920000000000004</v>
      </c>
      <c r="J123" s="930">
        <v>0.81920000000000004</v>
      </c>
      <c r="K123" s="930">
        <v>0.81920000000000004</v>
      </c>
      <c r="L123" s="930">
        <v>0.81920000000000004</v>
      </c>
      <c r="M123" s="930">
        <v>0.81920000000000004</v>
      </c>
    </row>
    <row r="124" spans="1:13">
      <c r="A124" s="921">
        <v>3.9</v>
      </c>
      <c r="B124" s="930">
        <v>0.98670000000000002</v>
      </c>
      <c r="C124" s="930">
        <v>0.98670000000000002</v>
      </c>
      <c r="D124" s="930">
        <v>0.92179999999999995</v>
      </c>
      <c r="E124" s="930">
        <v>0.92179999999999995</v>
      </c>
      <c r="F124" s="930">
        <v>0.92179999999999995</v>
      </c>
      <c r="G124" s="930">
        <v>0.92179999999999995</v>
      </c>
      <c r="H124" s="930">
        <v>0.92179999999999995</v>
      </c>
      <c r="I124" s="930">
        <v>0.81410000000000005</v>
      </c>
      <c r="J124" s="930">
        <v>0.81410000000000005</v>
      </c>
      <c r="K124" s="930">
        <v>0.81410000000000005</v>
      </c>
      <c r="L124" s="930">
        <v>0.81410000000000005</v>
      </c>
      <c r="M124" s="930">
        <v>0.81410000000000005</v>
      </c>
    </row>
    <row r="125" spans="1:13">
      <c r="A125" s="937">
        <v>4</v>
      </c>
      <c r="B125" s="930">
        <v>0.98380000000000001</v>
      </c>
      <c r="C125" s="930">
        <v>0.98380000000000001</v>
      </c>
      <c r="D125" s="930">
        <v>0.91859999999999997</v>
      </c>
      <c r="E125" s="930">
        <v>0.91859999999999997</v>
      </c>
      <c r="F125" s="930">
        <v>0.91859999999999997</v>
      </c>
      <c r="G125" s="930">
        <v>0.91859999999999997</v>
      </c>
      <c r="H125" s="930">
        <v>0.91859999999999997</v>
      </c>
      <c r="I125" s="930">
        <v>0.80940000000000001</v>
      </c>
      <c r="J125" s="930">
        <v>0.80940000000000001</v>
      </c>
      <c r="K125" s="930">
        <v>0.80940000000000001</v>
      </c>
      <c r="L125" s="930">
        <v>0.80940000000000001</v>
      </c>
      <c r="M125" s="930">
        <v>0.80940000000000001</v>
      </c>
    </row>
    <row r="126" spans="1:13">
      <c r="A126" s="937">
        <v>4.0999999999999996</v>
      </c>
      <c r="B126" s="930">
        <v>0.98099999999999998</v>
      </c>
      <c r="C126" s="930">
        <v>0.98099999999999998</v>
      </c>
      <c r="D126" s="930">
        <v>0.91559999999999997</v>
      </c>
      <c r="E126" s="930">
        <v>0.91559999999999997</v>
      </c>
      <c r="F126" s="930">
        <v>0.91559999999999997</v>
      </c>
      <c r="G126" s="930">
        <v>0.91559999999999997</v>
      </c>
      <c r="H126" s="930">
        <v>0.91559999999999997</v>
      </c>
      <c r="I126" s="930">
        <v>0.80489999999999995</v>
      </c>
      <c r="J126" s="930">
        <v>0.80489999999999995</v>
      </c>
      <c r="K126" s="930">
        <v>0.80489999999999995</v>
      </c>
      <c r="L126" s="930">
        <v>0.80489999999999995</v>
      </c>
      <c r="M126" s="930">
        <v>0.80489999999999995</v>
      </c>
    </row>
    <row r="127" spans="1:13">
      <c r="A127" s="937">
        <v>4.2</v>
      </c>
      <c r="B127" s="930">
        <v>0.97829999999999995</v>
      </c>
      <c r="C127" s="930">
        <v>0.97829999999999995</v>
      </c>
      <c r="D127" s="930">
        <v>0.91269999999999996</v>
      </c>
      <c r="E127" s="930">
        <v>0.91269999999999996</v>
      </c>
      <c r="F127" s="930">
        <v>0.91269999999999996</v>
      </c>
      <c r="G127" s="930">
        <v>0.91269999999999996</v>
      </c>
      <c r="H127" s="930">
        <v>0.91269999999999996</v>
      </c>
      <c r="I127" s="930">
        <v>0.80059999999999998</v>
      </c>
      <c r="J127" s="930">
        <v>0.80059999999999998</v>
      </c>
      <c r="K127" s="930">
        <v>0.80059999999999998</v>
      </c>
      <c r="L127" s="930">
        <v>0.80059999999999998</v>
      </c>
      <c r="M127" s="930">
        <v>0.80059999999999998</v>
      </c>
    </row>
    <row r="128" spans="1:13">
      <c r="A128" s="937">
        <v>4.3</v>
      </c>
      <c r="B128" s="930">
        <v>0.97570000000000001</v>
      </c>
      <c r="C128" s="930">
        <v>0.97570000000000001</v>
      </c>
      <c r="D128" s="930">
        <v>0.90990000000000004</v>
      </c>
      <c r="E128" s="930">
        <v>0.90990000000000004</v>
      </c>
      <c r="F128" s="930">
        <v>0.90990000000000004</v>
      </c>
      <c r="G128" s="930">
        <v>0.90990000000000004</v>
      </c>
      <c r="H128" s="930">
        <v>0.90990000000000004</v>
      </c>
      <c r="I128" s="930">
        <v>0.79649999999999999</v>
      </c>
      <c r="J128" s="930">
        <v>0.79649999999999999</v>
      </c>
      <c r="K128" s="930">
        <v>0.79649999999999999</v>
      </c>
      <c r="L128" s="930">
        <v>0.79649999999999999</v>
      </c>
      <c r="M128" s="930">
        <v>0.79649999999999999</v>
      </c>
    </row>
    <row r="129" spans="1:13">
      <c r="A129" s="937">
        <v>4.4000000000000004</v>
      </c>
      <c r="B129" s="930">
        <v>0.97319999999999995</v>
      </c>
      <c r="C129" s="930">
        <v>0.97319999999999995</v>
      </c>
      <c r="D129" s="930">
        <v>0.90720000000000001</v>
      </c>
      <c r="E129" s="930">
        <v>0.90720000000000001</v>
      </c>
      <c r="F129" s="930">
        <v>0.90720000000000001</v>
      </c>
      <c r="G129" s="930">
        <v>0.90720000000000001</v>
      </c>
      <c r="H129" s="930">
        <v>0.90720000000000001</v>
      </c>
      <c r="I129" s="930">
        <v>0.79259999999999997</v>
      </c>
      <c r="J129" s="930">
        <v>0.79259999999999997</v>
      </c>
      <c r="K129" s="930">
        <v>0.79259999999999997</v>
      </c>
      <c r="L129" s="930">
        <v>0.79259999999999997</v>
      </c>
      <c r="M129" s="930">
        <v>0.79259999999999997</v>
      </c>
    </row>
    <row r="130" spans="1:13">
      <c r="A130" s="937">
        <v>4.5</v>
      </c>
      <c r="B130" s="930">
        <v>0.9708</v>
      </c>
      <c r="C130" s="930">
        <v>0.9708</v>
      </c>
      <c r="D130" s="930">
        <v>0.90459999999999996</v>
      </c>
      <c r="E130" s="930">
        <v>0.90459999999999996</v>
      </c>
      <c r="F130" s="930">
        <v>0.90459999999999996</v>
      </c>
      <c r="G130" s="930">
        <v>0.90459999999999996</v>
      </c>
      <c r="H130" s="930">
        <v>0.90459999999999996</v>
      </c>
      <c r="I130" s="930">
        <v>0.78890000000000005</v>
      </c>
      <c r="J130" s="930">
        <v>0.78890000000000005</v>
      </c>
      <c r="K130" s="930">
        <v>0.78890000000000005</v>
      </c>
      <c r="L130" s="930">
        <v>0.78890000000000005</v>
      </c>
      <c r="M130" s="930">
        <v>0.78890000000000005</v>
      </c>
    </row>
    <row r="131" spans="1:13">
      <c r="A131" s="937">
        <v>4.5999999999999996</v>
      </c>
      <c r="B131" s="930">
        <v>0.96850000000000003</v>
      </c>
      <c r="C131" s="930">
        <v>0.96850000000000003</v>
      </c>
      <c r="D131" s="930">
        <v>0.90210000000000001</v>
      </c>
      <c r="E131" s="930">
        <v>0.90210000000000001</v>
      </c>
      <c r="F131" s="930">
        <v>0.90210000000000001</v>
      </c>
      <c r="G131" s="930">
        <v>0.90210000000000001</v>
      </c>
      <c r="H131" s="930">
        <v>0.90210000000000001</v>
      </c>
      <c r="I131" s="930">
        <v>0.78539999999999999</v>
      </c>
      <c r="J131" s="930">
        <v>0.78539999999999999</v>
      </c>
      <c r="K131" s="930">
        <v>0.78539999999999999</v>
      </c>
      <c r="L131" s="930">
        <v>0.78539999999999999</v>
      </c>
      <c r="M131" s="930">
        <v>0.78539999999999999</v>
      </c>
    </row>
    <row r="132" spans="1:13">
      <c r="A132" s="937">
        <v>4.7</v>
      </c>
      <c r="B132" s="930">
        <v>0.96630000000000005</v>
      </c>
      <c r="C132" s="930">
        <v>0.96630000000000005</v>
      </c>
      <c r="D132" s="930">
        <v>0.89959999999999996</v>
      </c>
      <c r="E132" s="930">
        <v>0.89959999999999996</v>
      </c>
      <c r="F132" s="930">
        <v>0.89959999999999996</v>
      </c>
      <c r="G132" s="930">
        <v>0.89959999999999996</v>
      </c>
      <c r="H132" s="930">
        <v>0.89959999999999996</v>
      </c>
      <c r="I132" s="930">
        <v>0.78210000000000002</v>
      </c>
      <c r="J132" s="930">
        <v>0.78210000000000002</v>
      </c>
      <c r="K132" s="930">
        <v>0.78210000000000002</v>
      </c>
      <c r="L132" s="930">
        <v>0.78210000000000002</v>
      </c>
      <c r="M132" s="930">
        <v>0.78210000000000002</v>
      </c>
    </row>
    <row r="133" spans="1:13">
      <c r="A133" s="937">
        <v>4.8</v>
      </c>
      <c r="B133" s="930">
        <v>0.96409999999999996</v>
      </c>
      <c r="C133" s="930">
        <v>0.96409999999999996</v>
      </c>
      <c r="D133" s="930">
        <v>0.8972</v>
      </c>
      <c r="E133" s="930">
        <v>0.8972</v>
      </c>
      <c r="F133" s="930">
        <v>0.8972</v>
      </c>
      <c r="G133" s="930">
        <v>0.8972</v>
      </c>
      <c r="H133" s="930">
        <v>0.8972</v>
      </c>
      <c r="I133" s="930">
        <v>0.77890000000000004</v>
      </c>
      <c r="J133" s="930">
        <v>0.77890000000000004</v>
      </c>
      <c r="K133" s="930">
        <v>0.77890000000000004</v>
      </c>
      <c r="L133" s="930">
        <v>0.77890000000000004</v>
      </c>
      <c r="M133" s="930">
        <v>0.77890000000000004</v>
      </c>
    </row>
    <row r="134" spans="1:13">
      <c r="A134" s="937">
        <v>4.9000000000000004</v>
      </c>
      <c r="B134" s="930">
        <v>0.96199999999999997</v>
      </c>
      <c r="C134" s="930">
        <v>0.96199999999999997</v>
      </c>
      <c r="D134" s="930">
        <v>0.89480000000000004</v>
      </c>
      <c r="E134" s="930">
        <v>0.89480000000000004</v>
      </c>
      <c r="F134" s="930">
        <v>0.89480000000000004</v>
      </c>
      <c r="G134" s="930">
        <v>0.89480000000000004</v>
      </c>
      <c r="H134" s="930">
        <v>0.89480000000000004</v>
      </c>
      <c r="I134" s="930">
        <v>0.77580000000000005</v>
      </c>
      <c r="J134" s="930">
        <v>0.77580000000000005</v>
      </c>
      <c r="K134" s="930">
        <v>0.77580000000000005</v>
      </c>
      <c r="L134" s="930">
        <v>0.77580000000000005</v>
      </c>
      <c r="M134" s="930">
        <v>0.77580000000000005</v>
      </c>
    </row>
    <row r="135" spans="1:13">
      <c r="A135" s="937">
        <v>5</v>
      </c>
      <c r="B135" s="930">
        <v>0.95989999999999998</v>
      </c>
      <c r="C135" s="930">
        <v>0.95989999999999998</v>
      </c>
      <c r="D135" s="930">
        <v>0.89239999999999997</v>
      </c>
      <c r="E135" s="930">
        <v>0.89239999999999997</v>
      </c>
      <c r="F135" s="930">
        <v>0.89239999999999997</v>
      </c>
      <c r="G135" s="930">
        <v>0.89239999999999997</v>
      </c>
      <c r="H135" s="930">
        <v>0.89239999999999997</v>
      </c>
      <c r="I135" s="930">
        <v>0.77280000000000004</v>
      </c>
      <c r="J135" s="930">
        <v>0.77280000000000004</v>
      </c>
      <c r="K135" s="930">
        <v>0.77280000000000004</v>
      </c>
      <c r="L135" s="930">
        <v>0.77280000000000004</v>
      </c>
      <c r="M135" s="930">
        <v>0.77280000000000004</v>
      </c>
    </row>
    <row r="136" spans="1:13">
      <c r="A136" s="937">
        <v>5.0999999999999996</v>
      </c>
      <c r="B136" s="930">
        <v>0.95779999999999998</v>
      </c>
      <c r="C136" s="930">
        <v>0.95779999999999998</v>
      </c>
      <c r="D136" s="930">
        <v>0.8901</v>
      </c>
      <c r="E136" s="930">
        <v>0.8901</v>
      </c>
      <c r="F136" s="930">
        <v>0.8901</v>
      </c>
      <c r="G136" s="930">
        <v>0.8901</v>
      </c>
      <c r="H136" s="930">
        <v>0.8901</v>
      </c>
      <c r="I136" s="930">
        <v>0.76990000000000003</v>
      </c>
      <c r="J136" s="930">
        <v>0.76990000000000003</v>
      </c>
      <c r="K136" s="930">
        <v>0.76990000000000003</v>
      </c>
      <c r="L136" s="930">
        <v>0.76990000000000003</v>
      </c>
      <c r="M136" s="930">
        <v>0.76990000000000003</v>
      </c>
    </row>
    <row r="137" spans="1:13">
      <c r="A137" s="937">
        <v>5.2</v>
      </c>
      <c r="B137" s="930">
        <v>0.95579999999999998</v>
      </c>
      <c r="C137" s="930">
        <v>0.95579999999999998</v>
      </c>
      <c r="D137" s="930">
        <v>0.88780000000000003</v>
      </c>
      <c r="E137" s="930">
        <v>0.88780000000000003</v>
      </c>
      <c r="F137" s="930">
        <v>0.88780000000000003</v>
      </c>
      <c r="G137" s="930">
        <v>0.88780000000000003</v>
      </c>
      <c r="H137" s="930">
        <v>0.88780000000000003</v>
      </c>
      <c r="I137" s="930">
        <v>0.76700000000000002</v>
      </c>
      <c r="J137" s="930">
        <v>0.76700000000000002</v>
      </c>
      <c r="K137" s="930">
        <v>0.76700000000000002</v>
      </c>
      <c r="L137" s="930">
        <v>0.76700000000000002</v>
      </c>
      <c r="M137" s="930">
        <v>0.76700000000000002</v>
      </c>
    </row>
    <row r="138" spans="1:13">
      <c r="A138" s="937">
        <v>5.3</v>
      </c>
      <c r="B138" s="930">
        <v>0.95379999999999998</v>
      </c>
      <c r="C138" s="930">
        <v>0.95379999999999998</v>
      </c>
      <c r="D138" s="930">
        <v>0.88549999999999995</v>
      </c>
      <c r="E138" s="930">
        <v>0.88549999999999995</v>
      </c>
      <c r="F138" s="930">
        <v>0.88549999999999995</v>
      </c>
      <c r="G138" s="930">
        <v>0.88549999999999995</v>
      </c>
      <c r="H138" s="930">
        <v>0.88549999999999995</v>
      </c>
      <c r="I138" s="930">
        <v>0.76419999999999999</v>
      </c>
      <c r="J138" s="930">
        <v>0.76419999999999999</v>
      </c>
      <c r="K138" s="930">
        <v>0.76419999999999999</v>
      </c>
      <c r="L138" s="930">
        <v>0.76419999999999999</v>
      </c>
      <c r="M138" s="930">
        <v>0.76419999999999999</v>
      </c>
    </row>
    <row r="139" spans="1:13">
      <c r="A139" s="937">
        <v>5.4</v>
      </c>
      <c r="B139" s="930">
        <v>0.95179999999999998</v>
      </c>
      <c r="C139" s="930">
        <v>0.95179999999999998</v>
      </c>
      <c r="D139" s="930">
        <v>0.88329999999999997</v>
      </c>
      <c r="E139" s="930">
        <v>0.88329999999999997</v>
      </c>
      <c r="F139" s="930">
        <v>0.88329999999999997</v>
      </c>
      <c r="G139" s="930">
        <v>0.88329999999999997</v>
      </c>
      <c r="H139" s="930">
        <v>0.88329999999999997</v>
      </c>
      <c r="I139" s="930">
        <v>0.76139999999999997</v>
      </c>
      <c r="J139" s="930">
        <v>0.76139999999999997</v>
      </c>
      <c r="K139" s="930">
        <v>0.76139999999999997</v>
      </c>
      <c r="L139" s="930">
        <v>0.76139999999999997</v>
      </c>
      <c r="M139" s="930">
        <v>0.76139999999999997</v>
      </c>
    </row>
    <row r="140" spans="1:13">
      <c r="A140" s="937">
        <v>5.5</v>
      </c>
      <c r="B140" s="930">
        <v>0.94979999999999998</v>
      </c>
      <c r="C140" s="930">
        <v>0.94979999999999998</v>
      </c>
      <c r="D140" s="930">
        <v>0.88109999999999999</v>
      </c>
      <c r="E140" s="930">
        <v>0.88109999999999999</v>
      </c>
      <c r="F140" s="930">
        <v>0.88109999999999999</v>
      </c>
      <c r="G140" s="930">
        <v>0.88109999999999999</v>
      </c>
      <c r="H140" s="930">
        <v>0.88109999999999999</v>
      </c>
      <c r="I140" s="930">
        <v>0.75860000000000005</v>
      </c>
      <c r="J140" s="930">
        <v>0.75860000000000005</v>
      </c>
      <c r="K140" s="930">
        <v>0.75860000000000005</v>
      </c>
      <c r="L140" s="930">
        <v>0.75860000000000005</v>
      </c>
      <c r="M140" s="930">
        <v>0.75860000000000005</v>
      </c>
    </row>
    <row r="141" spans="1:13">
      <c r="A141" s="937">
        <v>5.6</v>
      </c>
      <c r="B141" s="930">
        <v>0.94789999999999996</v>
      </c>
      <c r="C141" s="930">
        <v>0.94789999999999996</v>
      </c>
      <c r="D141" s="930">
        <v>0.87890000000000001</v>
      </c>
      <c r="E141" s="930">
        <v>0.87890000000000001</v>
      </c>
      <c r="F141" s="930">
        <v>0.87890000000000001</v>
      </c>
      <c r="G141" s="930">
        <v>0.87890000000000001</v>
      </c>
      <c r="H141" s="930">
        <v>0.87890000000000001</v>
      </c>
      <c r="I141" s="930">
        <v>0.75590000000000002</v>
      </c>
      <c r="J141" s="930">
        <v>0.75590000000000002</v>
      </c>
      <c r="K141" s="930">
        <v>0.75590000000000002</v>
      </c>
      <c r="L141" s="930">
        <v>0.75590000000000002</v>
      </c>
      <c r="M141" s="930">
        <v>0.75590000000000002</v>
      </c>
    </row>
    <row r="142" spans="1:13">
      <c r="A142" s="937">
        <v>5.7</v>
      </c>
      <c r="B142" s="930">
        <v>0.94599999999999995</v>
      </c>
      <c r="C142" s="930">
        <v>0.94599999999999995</v>
      </c>
      <c r="D142" s="930">
        <v>0.87670000000000003</v>
      </c>
      <c r="E142" s="930">
        <v>0.87670000000000003</v>
      </c>
      <c r="F142" s="930">
        <v>0.87670000000000003</v>
      </c>
      <c r="G142" s="930">
        <v>0.87670000000000003</v>
      </c>
      <c r="H142" s="930">
        <v>0.87670000000000003</v>
      </c>
      <c r="I142" s="930">
        <v>0.75319999999999998</v>
      </c>
      <c r="J142" s="930">
        <v>0.75319999999999998</v>
      </c>
      <c r="K142" s="930">
        <v>0.75319999999999998</v>
      </c>
      <c r="L142" s="930">
        <v>0.75319999999999998</v>
      </c>
      <c r="M142" s="930">
        <v>0.75319999999999998</v>
      </c>
    </row>
    <row r="143" spans="1:13">
      <c r="A143" s="937">
        <v>5.8</v>
      </c>
      <c r="B143" s="930">
        <v>0.94410000000000005</v>
      </c>
      <c r="C143" s="930">
        <v>0.94410000000000005</v>
      </c>
      <c r="D143" s="930">
        <v>0.87460000000000004</v>
      </c>
      <c r="E143" s="930">
        <v>0.87460000000000004</v>
      </c>
      <c r="F143" s="930">
        <v>0.87460000000000004</v>
      </c>
      <c r="G143" s="930">
        <v>0.87460000000000004</v>
      </c>
      <c r="H143" s="930">
        <v>0.87460000000000004</v>
      </c>
      <c r="I143" s="930">
        <v>0.75049999999999994</v>
      </c>
      <c r="J143" s="930">
        <v>0.75049999999999994</v>
      </c>
      <c r="K143" s="930">
        <v>0.75049999999999994</v>
      </c>
      <c r="L143" s="930">
        <v>0.75049999999999994</v>
      </c>
      <c r="M143" s="930">
        <v>0.75049999999999994</v>
      </c>
    </row>
    <row r="144" spans="1:13">
      <c r="A144" s="937">
        <v>5.9</v>
      </c>
      <c r="B144" s="930">
        <v>0.94220000000000004</v>
      </c>
      <c r="C144" s="930">
        <v>0.94220000000000004</v>
      </c>
      <c r="D144" s="930">
        <v>0.87250000000000005</v>
      </c>
      <c r="E144" s="930">
        <v>0.87250000000000005</v>
      </c>
      <c r="F144" s="930">
        <v>0.87250000000000005</v>
      </c>
      <c r="G144" s="930">
        <v>0.87250000000000005</v>
      </c>
      <c r="H144" s="930">
        <v>0.87250000000000005</v>
      </c>
      <c r="I144" s="930">
        <v>0.74780000000000002</v>
      </c>
      <c r="J144" s="930">
        <v>0.74780000000000002</v>
      </c>
      <c r="K144" s="930">
        <v>0.74780000000000002</v>
      </c>
      <c r="L144" s="930">
        <v>0.74780000000000002</v>
      </c>
      <c r="M144" s="930">
        <v>0.74780000000000002</v>
      </c>
    </row>
    <row r="145" spans="1:13">
      <c r="A145" s="937">
        <v>6</v>
      </c>
      <c r="B145" s="930">
        <v>0.94040000000000001</v>
      </c>
      <c r="C145" s="930">
        <v>0.94040000000000001</v>
      </c>
      <c r="D145" s="930">
        <v>0.87039999999999995</v>
      </c>
      <c r="E145" s="930">
        <v>0.87039999999999995</v>
      </c>
      <c r="F145" s="930">
        <v>0.87039999999999995</v>
      </c>
      <c r="G145" s="930">
        <v>0.87039999999999995</v>
      </c>
      <c r="H145" s="930">
        <v>0.87039999999999995</v>
      </c>
      <c r="I145" s="930">
        <v>0.74519999999999997</v>
      </c>
      <c r="J145" s="930">
        <v>0.74519999999999997</v>
      </c>
      <c r="K145" s="930">
        <v>0.74519999999999997</v>
      </c>
      <c r="L145" s="930">
        <v>0.74519999999999997</v>
      </c>
      <c r="M145" s="930">
        <v>0.74519999999999997</v>
      </c>
    </row>
    <row r="146" spans="1:13">
      <c r="A146" s="937">
        <v>6.1</v>
      </c>
      <c r="B146" s="930">
        <v>0.93859999999999999</v>
      </c>
      <c r="C146" s="930">
        <v>0.93859999999999999</v>
      </c>
      <c r="D146" s="930">
        <v>0.86829999999999996</v>
      </c>
      <c r="E146" s="930">
        <v>0.86829999999999996</v>
      </c>
      <c r="F146" s="930">
        <v>0.86829999999999996</v>
      </c>
      <c r="G146" s="930">
        <v>0.86829999999999996</v>
      </c>
      <c r="H146" s="930">
        <v>0.86829999999999996</v>
      </c>
      <c r="I146" s="930">
        <v>0.74260000000000004</v>
      </c>
      <c r="J146" s="930">
        <v>0.74260000000000004</v>
      </c>
      <c r="K146" s="930">
        <v>0.74260000000000004</v>
      </c>
      <c r="L146" s="930">
        <v>0.74260000000000004</v>
      </c>
      <c r="M146" s="930">
        <v>0.74260000000000004</v>
      </c>
    </row>
    <row r="147" spans="1:13">
      <c r="A147" s="937">
        <v>6.2</v>
      </c>
      <c r="B147" s="930">
        <v>0.93679999999999997</v>
      </c>
      <c r="C147" s="930">
        <v>0.93679999999999997</v>
      </c>
      <c r="D147" s="930">
        <v>0.86619999999999997</v>
      </c>
      <c r="E147" s="930">
        <v>0.86619999999999997</v>
      </c>
      <c r="F147" s="930">
        <v>0.86619999999999997</v>
      </c>
      <c r="G147" s="930">
        <v>0.86619999999999997</v>
      </c>
      <c r="H147" s="930">
        <v>0.86619999999999997</v>
      </c>
      <c r="I147" s="930">
        <v>0.74</v>
      </c>
      <c r="J147" s="930">
        <v>0.74</v>
      </c>
      <c r="K147" s="930">
        <v>0.74</v>
      </c>
      <c r="L147" s="930">
        <v>0.74</v>
      </c>
      <c r="M147" s="930">
        <v>0.74</v>
      </c>
    </row>
    <row r="148" spans="1:13">
      <c r="A148" s="937">
        <v>6.3</v>
      </c>
      <c r="B148" s="930">
        <v>0.93500000000000005</v>
      </c>
      <c r="C148" s="930">
        <v>0.93500000000000005</v>
      </c>
      <c r="D148" s="930">
        <v>0.86409999999999998</v>
      </c>
      <c r="E148" s="930">
        <v>0.86409999999999998</v>
      </c>
      <c r="F148" s="930">
        <v>0.86409999999999998</v>
      </c>
      <c r="G148" s="930">
        <v>0.86409999999999998</v>
      </c>
      <c r="H148" s="930">
        <v>0.86409999999999998</v>
      </c>
      <c r="I148" s="930">
        <v>0.73740000000000006</v>
      </c>
      <c r="J148" s="930">
        <v>0.73740000000000006</v>
      </c>
      <c r="K148" s="930">
        <v>0.73740000000000006</v>
      </c>
      <c r="L148" s="930">
        <v>0.73740000000000006</v>
      </c>
      <c r="M148" s="930">
        <v>0.73740000000000006</v>
      </c>
    </row>
    <row r="149" spans="1:13">
      <c r="A149" s="937">
        <v>6.4</v>
      </c>
      <c r="B149" s="930">
        <v>0.93320000000000003</v>
      </c>
      <c r="C149" s="930">
        <v>0.93320000000000003</v>
      </c>
      <c r="D149" s="930">
        <v>0.86209999999999998</v>
      </c>
      <c r="E149" s="930">
        <v>0.86209999999999998</v>
      </c>
      <c r="F149" s="930">
        <v>0.86209999999999998</v>
      </c>
      <c r="G149" s="930">
        <v>0.86209999999999998</v>
      </c>
      <c r="H149" s="930">
        <v>0.86209999999999998</v>
      </c>
      <c r="I149" s="930">
        <v>0.73480000000000001</v>
      </c>
      <c r="J149" s="930">
        <v>0.73480000000000001</v>
      </c>
      <c r="K149" s="930">
        <v>0.73480000000000001</v>
      </c>
      <c r="L149" s="930">
        <v>0.73480000000000001</v>
      </c>
      <c r="M149" s="930">
        <v>0.73480000000000001</v>
      </c>
    </row>
    <row r="150" spans="1:13">
      <c r="A150" s="937">
        <v>6.5</v>
      </c>
      <c r="B150" s="930">
        <v>0.93149999999999999</v>
      </c>
      <c r="C150" s="930">
        <v>0.93149999999999999</v>
      </c>
      <c r="D150" s="930">
        <v>0.86009999999999998</v>
      </c>
      <c r="E150" s="930">
        <v>0.86009999999999998</v>
      </c>
      <c r="F150" s="930">
        <v>0.86009999999999998</v>
      </c>
      <c r="G150" s="930">
        <v>0.86009999999999998</v>
      </c>
      <c r="H150" s="930">
        <v>0.86009999999999998</v>
      </c>
      <c r="I150" s="930">
        <v>0.73229999999999995</v>
      </c>
      <c r="J150" s="930">
        <v>0.73229999999999995</v>
      </c>
      <c r="K150" s="930">
        <v>0.73229999999999995</v>
      </c>
      <c r="L150" s="930">
        <v>0.73229999999999995</v>
      </c>
      <c r="M150" s="930">
        <v>0.73229999999999995</v>
      </c>
    </row>
    <row r="151" spans="1:13">
      <c r="A151" s="937">
        <v>6.6</v>
      </c>
      <c r="B151" s="930">
        <v>0.92979999999999996</v>
      </c>
      <c r="C151" s="930">
        <v>0.92979999999999996</v>
      </c>
      <c r="D151" s="930">
        <v>0.85809999999999997</v>
      </c>
      <c r="E151" s="930">
        <v>0.85809999999999997</v>
      </c>
      <c r="F151" s="930">
        <v>0.85809999999999997</v>
      </c>
      <c r="G151" s="930">
        <v>0.85809999999999997</v>
      </c>
      <c r="H151" s="930">
        <v>0.85809999999999997</v>
      </c>
      <c r="I151" s="930">
        <v>0.7298</v>
      </c>
      <c r="J151" s="930">
        <v>0.7298</v>
      </c>
      <c r="K151" s="930">
        <v>0.7298</v>
      </c>
      <c r="L151" s="930">
        <v>0.7298</v>
      </c>
      <c r="M151" s="930">
        <v>0.7298</v>
      </c>
    </row>
    <row r="152" spans="1:13">
      <c r="A152" s="937">
        <v>6.7</v>
      </c>
      <c r="B152" s="930">
        <v>0.92810000000000004</v>
      </c>
      <c r="C152" s="930">
        <v>0.92810000000000004</v>
      </c>
      <c r="D152" s="930">
        <v>0.85609999999999997</v>
      </c>
      <c r="E152" s="930">
        <v>0.85609999999999997</v>
      </c>
      <c r="F152" s="930">
        <v>0.85609999999999997</v>
      </c>
      <c r="G152" s="930">
        <v>0.85609999999999997</v>
      </c>
      <c r="H152" s="930">
        <v>0.85609999999999997</v>
      </c>
      <c r="I152" s="930">
        <v>0.72729999999999995</v>
      </c>
      <c r="J152" s="930">
        <v>0.72729999999999995</v>
      </c>
      <c r="K152" s="930">
        <v>0.72729999999999995</v>
      </c>
      <c r="L152" s="930">
        <v>0.72729999999999995</v>
      </c>
      <c r="M152" s="930">
        <v>0.72729999999999995</v>
      </c>
    </row>
    <row r="153" spans="1:13">
      <c r="A153" s="937">
        <v>6.8</v>
      </c>
      <c r="B153" s="930">
        <v>0.9264</v>
      </c>
      <c r="C153" s="930">
        <v>0.9264</v>
      </c>
      <c r="D153" s="930">
        <v>0.85409999999999997</v>
      </c>
      <c r="E153" s="930">
        <v>0.85409999999999997</v>
      </c>
      <c r="F153" s="930">
        <v>0.85409999999999997</v>
      </c>
      <c r="G153" s="930">
        <v>0.85409999999999997</v>
      </c>
      <c r="H153" s="930">
        <v>0.85409999999999997</v>
      </c>
      <c r="I153" s="930">
        <v>0.7248</v>
      </c>
      <c r="J153" s="930">
        <v>0.7248</v>
      </c>
      <c r="K153" s="930">
        <v>0.7248</v>
      </c>
      <c r="L153" s="930">
        <v>0.7248</v>
      </c>
      <c r="M153" s="930">
        <v>0.7248</v>
      </c>
    </row>
    <row r="154" spans="1:13">
      <c r="A154" s="937">
        <v>6.9</v>
      </c>
      <c r="B154" s="930">
        <v>0.92469999999999997</v>
      </c>
      <c r="C154" s="930">
        <v>0.92469999999999997</v>
      </c>
      <c r="D154" s="930">
        <v>0.85209999999999997</v>
      </c>
      <c r="E154" s="930">
        <v>0.85209999999999997</v>
      </c>
      <c r="F154" s="930">
        <v>0.85209999999999997</v>
      </c>
      <c r="G154" s="930">
        <v>0.85209999999999997</v>
      </c>
      <c r="H154" s="930">
        <v>0.85209999999999997</v>
      </c>
      <c r="I154" s="930">
        <v>0.72230000000000005</v>
      </c>
      <c r="J154" s="930">
        <v>0.72230000000000005</v>
      </c>
      <c r="K154" s="930">
        <v>0.72230000000000005</v>
      </c>
      <c r="L154" s="930">
        <v>0.72230000000000005</v>
      </c>
      <c r="M154" s="930">
        <v>0.72230000000000005</v>
      </c>
    </row>
    <row r="155" spans="1:13">
      <c r="A155" s="921">
        <v>7</v>
      </c>
      <c r="B155" s="930">
        <v>0.92300000000000004</v>
      </c>
      <c r="C155" s="930">
        <v>0.92300000000000004</v>
      </c>
      <c r="D155" s="930">
        <v>0.85019999999999996</v>
      </c>
      <c r="E155" s="930">
        <v>0.85019999999999996</v>
      </c>
      <c r="F155" s="930">
        <v>0.85019999999999996</v>
      </c>
      <c r="G155" s="930">
        <v>0.85019999999999996</v>
      </c>
      <c r="H155" s="930">
        <v>0.85019999999999996</v>
      </c>
      <c r="I155" s="930">
        <v>0.71989999999999998</v>
      </c>
      <c r="J155" s="930">
        <v>0.71989999999999998</v>
      </c>
      <c r="K155" s="930">
        <v>0.71989999999999998</v>
      </c>
      <c r="L155" s="930">
        <v>0.71989999999999998</v>
      </c>
      <c r="M155" s="930">
        <v>0.71989999999999998</v>
      </c>
    </row>
    <row r="156" spans="1:13">
      <c r="A156" s="921">
        <v>7.1</v>
      </c>
      <c r="B156" s="930">
        <v>0.9214</v>
      </c>
      <c r="C156" s="930">
        <v>0.9214</v>
      </c>
      <c r="D156" s="930">
        <v>0.84830000000000005</v>
      </c>
      <c r="E156" s="930">
        <v>0.84830000000000005</v>
      </c>
      <c r="F156" s="930">
        <v>0.84830000000000005</v>
      </c>
      <c r="G156" s="930">
        <v>0.84830000000000005</v>
      </c>
      <c r="H156" s="930">
        <v>0.84830000000000005</v>
      </c>
      <c r="I156" s="930">
        <v>0.71750000000000003</v>
      </c>
      <c r="J156" s="930">
        <v>0.71750000000000003</v>
      </c>
      <c r="K156" s="930">
        <v>0.71750000000000003</v>
      </c>
      <c r="L156" s="930">
        <v>0.71750000000000003</v>
      </c>
      <c r="M156" s="930">
        <v>0.71750000000000003</v>
      </c>
    </row>
    <row r="157" spans="1:13">
      <c r="A157" s="921">
        <v>7.2</v>
      </c>
      <c r="B157" s="930">
        <v>0.91979999999999995</v>
      </c>
      <c r="C157" s="930">
        <v>0.91979999999999995</v>
      </c>
      <c r="D157" s="930">
        <v>0.84640000000000004</v>
      </c>
      <c r="E157" s="930">
        <v>0.84640000000000004</v>
      </c>
      <c r="F157" s="930">
        <v>0.84640000000000004</v>
      </c>
      <c r="G157" s="930">
        <v>0.84640000000000004</v>
      </c>
      <c r="H157" s="930">
        <v>0.84640000000000004</v>
      </c>
      <c r="I157" s="930">
        <v>0.71509999999999996</v>
      </c>
      <c r="J157" s="930">
        <v>0.71509999999999996</v>
      </c>
      <c r="K157" s="930">
        <v>0.71509999999999996</v>
      </c>
      <c r="L157" s="930">
        <v>0.71509999999999996</v>
      </c>
      <c r="M157" s="930">
        <v>0.71509999999999996</v>
      </c>
    </row>
    <row r="158" spans="1:13">
      <c r="A158" s="921">
        <v>7.3</v>
      </c>
      <c r="B158" s="930">
        <v>0.91820000000000002</v>
      </c>
      <c r="C158" s="930">
        <v>0.91820000000000002</v>
      </c>
      <c r="D158" s="930">
        <v>0.84450000000000003</v>
      </c>
      <c r="E158" s="930">
        <v>0.84450000000000003</v>
      </c>
      <c r="F158" s="930">
        <v>0.84450000000000003</v>
      </c>
      <c r="G158" s="930">
        <v>0.84450000000000003</v>
      </c>
      <c r="H158" s="930">
        <v>0.84450000000000003</v>
      </c>
      <c r="I158" s="930">
        <v>0.7127</v>
      </c>
      <c r="J158" s="930">
        <v>0.7127</v>
      </c>
      <c r="K158" s="930">
        <v>0.7127</v>
      </c>
      <c r="L158" s="930">
        <v>0.7127</v>
      </c>
      <c r="M158" s="930">
        <v>0.7127</v>
      </c>
    </row>
    <row r="159" spans="1:13">
      <c r="A159" s="921">
        <v>7.4</v>
      </c>
      <c r="B159" s="930">
        <v>0.91659999999999997</v>
      </c>
      <c r="C159" s="930">
        <v>0.91659999999999997</v>
      </c>
      <c r="D159" s="930">
        <v>0.84260000000000002</v>
      </c>
      <c r="E159" s="930">
        <v>0.84260000000000002</v>
      </c>
      <c r="F159" s="930">
        <v>0.84260000000000002</v>
      </c>
      <c r="G159" s="930">
        <v>0.84260000000000002</v>
      </c>
      <c r="H159" s="930">
        <v>0.84260000000000002</v>
      </c>
      <c r="I159" s="930">
        <v>0.71030000000000004</v>
      </c>
      <c r="J159" s="930">
        <v>0.71030000000000004</v>
      </c>
      <c r="K159" s="930">
        <v>0.71030000000000004</v>
      </c>
      <c r="L159" s="930">
        <v>0.71030000000000004</v>
      </c>
      <c r="M159" s="930">
        <v>0.71030000000000004</v>
      </c>
    </row>
    <row r="160" spans="1:13">
      <c r="A160" s="921">
        <v>7.5</v>
      </c>
      <c r="B160" s="930">
        <v>0.91500000000000004</v>
      </c>
      <c r="C160" s="930">
        <v>0.91500000000000004</v>
      </c>
      <c r="D160" s="930">
        <v>0.8407</v>
      </c>
      <c r="E160" s="930">
        <v>0.8407</v>
      </c>
      <c r="F160" s="930">
        <v>0.8407</v>
      </c>
      <c r="G160" s="930">
        <v>0.8407</v>
      </c>
      <c r="H160" s="930">
        <v>0.8407</v>
      </c>
      <c r="I160" s="930">
        <v>0.70799999999999996</v>
      </c>
      <c r="J160" s="930">
        <v>0.70799999999999996</v>
      </c>
      <c r="K160" s="930">
        <v>0.70799999999999996</v>
      </c>
      <c r="L160" s="930">
        <v>0.70799999999999996</v>
      </c>
      <c r="M160" s="930">
        <v>0.70799999999999996</v>
      </c>
    </row>
    <row r="161" spans="1:13">
      <c r="A161" s="937">
        <v>7.6</v>
      </c>
      <c r="B161" s="930">
        <v>0.91339999999999999</v>
      </c>
      <c r="C161" s="930">
        <v>0.91339999999999999</v>
      </c>
      <c r="D161" s="930">
        <v>0.83889999999999998</v>
      </c>
      <c r="E161" s="930">
        <v>0.83889999999999998</v>
      </c>
      <c r="F161" s="930">
        <v>0.83889999999999998</v>
      </c>
      <c r="G161" s="930">
        <v>0.83889999999999998</v>
      </c>
      <c r="H161" s="930">
        <v>0.83889999999999998</v>
      </c>
      <c r="I161" s="930">
        <v>0.70569999999999999</v>
      </c>
      <c r="J161" s="930">
        <v>0.70569999999999999</v>
      </c>
      <c r="K161" s="930">
        <v>0.70569999999999999</v>
      </c>
      <c r="L161" s="930">
        <v>0.70569999999999999</v>
      </c>
      <c r="M161" s="930">
        <v>0.70569999999999999</v>
      </c>
    </row>
    <row r="162" spans="1:13">
      <c r="A162" s="921">
        <v>7.7</v>
      </c>
      <c r="B162" s="930">
        <v>0.91190000000000004</v>
      </c>
      <c r="C162" s="930">
        <v>0.91190000000000004</v>
      </c>
      <c r="D162" s="930">
        <v>0.83709999999999996</v>
      </c>
      <c r="E162" s="930">
        <v>0.83709999999999996</v>
      </c>
      <c r="F162" s="930">
        <v>0.83709999999999996</v>
      </c>
      <c r="G162" s="930">
        <v>0.83709999999999996</v>
      </c>
      <c r="H162" s="930">
        <v>0.83709999999999996</v>
      </c>
      <c r="I162" s="930">
        <v>0.70340000000000003</v>
      </c>
      <c r="J162" s="930">
        <v>0.70340000000000003</v>
      </c>
      <c r="K162" s="930">
        <v>0.70340000000000003</v>
      </c>
      <c r="L162" s="930">
        <v>0.70340000000000003</v>
      </c>
      <c r="M162" s="930">
        <v>0.70340000000000003</v>
      </c>
    </row>
    <row r="163" spans="1:13">
      <c r="A163" s="921">
        <v>7.8</v>
      </c>
      <c r="B163" s="930">
        <v>0.91039999999999999</v>
      </c>
      <c r="C163" s="930">
        <v>0.91039999999999999</v>
      </c>
      <c r="D163" s="930">
        <v>0.83530000000000004</v>
      </c>
      <c r="E163" s="930">
        <v>0.83530000000000004</v>
      </c>
      <c r="F163" s="930">
        <v>0.83530000000000004</v>
      </c>
      <c r="G163" s="930">
        <v>0.83530000000000004</v>
      </c>
      <c r="H163" s="930">
        <v>0.83530000000000004</v>
      </c>
      <c r="I163" s="930">
        <v>0.70109999999999995</v>
      </c>
      <c r="J163" s="930">
        <v>0.70109999999999995</v>
      </c>
      <c r="K163" s="930">
        <v>0.70109999999999995</v>
      </c>
      <c r="L163" s="930">
        <v>0.70109999999999995</v>
      </c>
      <c r="M163" s="930">
        <v>0.70109999999999995</v>
      </c>
    </row>
    <row r="164" spans="1:13">
      <c r="A164" s="921">
        <v>7.9</v>
      </c>
      <c r="B164" s="930">
        <v>0.90890000000000004</v>
      </c>
      <c r="C164" s="930">
        <v>0.90890000000000004</v>
      </c>
      <c r="D164" s="930">
        <v>0.83350000000000002</v>
      </c>
      <c r="E164" s="930">
        <v>0.83350000000000002</v>
      </c>
      <c r="F164" s="930">
        <v>0.83350000000000002</v>
      </c>
      <c r="G164" s="930">
        <v>0.83350000000000002</v>
      </c>
      <c r="H164" s="930">
        <v>0.83350000000000002</v>
      </c>
      <c r="I164" s="930">
        <v>0.69879999999999998</v>
      </c>
      <c r="J164" s="930">
        <v>0.69879999999999998</v>
      </c>
      <c r="K164" s="930">
        <v>0.69879999999999998</v>
      </c>
      <c r="L164" s="930">
        <v>0.69879999999999998</v>
      </c>
      <c r="M164" s="930">
        <v>0.69879999999999998</v>
      </c>
    </row>
    <row r="165" spans="1:13">
      <c r="A165" s="921">
        <v>8</v>
      </c>
      <c r="B165" s="930">
        <v>0.90739999999999998</v>
      </c>
      <c r="C165" s="930">
        <v>0.90739999999999998</v>
      </c>
      <c r="D165" s="930">
        <v>0.83169999999999999</v>
      </c>
      <c r="E165" s="930">
        <v>0.83169999999999999</v>
      </c>
      <c r="F165" s="930">
        <v>0.83169999999999999</v>
      </c>
      <c r="G165" s="930">
        <v>0.83169999999999999</v>
      </c>
      <c r="H165" s="930">
        <v>0.83169999999999999</v>
      </c>
      <c r="I165" s="930">
        <v>0.6966</v>
      </c>
      <c r="J165" s="930">
        <v>0.6966</v>
      </c>
      <c r="K165" s="930">
        <v>0.6966</v>
      </c>
      <c r="L165" s="930">
        <v>0.6966</v>
      </c>
      <c r="M165" s="930">
        <v>0.6966</v>
      </c>
    </row>
    <row r="166" spans="1:13">
      <c r="A166" s="921">
        <v>8.1</v>
      </c>
      <c r="B166" s="930">
        <v>0.90590000000000004</v>
      </c>
      <c r="C166" s="930">
        <v>0.90590000000000004</v>
      </c>
      <c r="D166" s="930">
        <v>0.82989999999999997</v>
      </c>
      <c r="E166" s="930">
        <v>0.82989999999999997</v>
      </c>
      <c r="F166" s="930">
        <v>0.82989999999999997</v>
      </c>
      <c r="G166" s="930">
        <v>0.82989999999999997</v>
      </c>
      <c r="H166" s="930">
        <v>0.82989999999999997</v>
      </c>
      <c r="I166" s="930">
        <v>0.69440000000000002</v>
      </c>
      <c r="J166" s="930">
        <v>0.69440000000000002</v>
      </c>
      <c r="K166" s="930">
        <v>0.69440000000000002</v>
      </c>
      <c r="L166" s="930">
        <v>0.69440000000000002</v>
      </c>
      <c r="M166" s="930">
        <v>0.69440000000000002</v>
      </c>
    </row>
    <row r="167" spans="1:13">
      <c r="A167" s="921">
        <v>8.1999999999999993</v>
      </c>
      <c r="B167" s="930">
        <v>0.90439999999999998</v>
      </c>
      <c r="C167" s="930">
        <v>0.90439999999999998</v>
      </c>
      <c r="D167" s="930">
        <v>0.82820000000000005</v>
      </c>
      <c r="E167" s="930">
        <v>0.82820000000000005</v>
      </c>
      <c r="F167" s="930">
        <v>0.82820000000000005</v>
      </c>
      <c r="G167" s="930">
        <v>0.82820000000000005</v>
      </c>
      <c r="H167" s="930">
        <v>0.82820000000000005</v>
      </c>
      <c r="I167" s="930">
        <v>0.69220000000000004</v>
      </c>
      <c r="J167" s="930">
        <v>0.69220000000000004</v>
      </c>
      <c r="K167" s="930">
        <v>0.69220000000000004</v>
      </c>
      <c r="L167" s="930">
        <v>0.69220000000000004</v>
      </c>
      <c r="M167" s="930">
        <v>0.69220000000000004</v>
      </c>
    </row>
    <row r="168" spans="1:13">
      <c r="A168" s="921">
        <v>8.3000000000000007</v>
      </c>
      <c r="B168" s="930">
        <v>0.90300000000000002</v>
      </c>
      <c r="C168" s="930">
        <v>0.90300000000000002</v>
      </c>
      <c r="D168" s="930">
        <v>0.82650000000000001</v>
      </c>
      <c r="E168" s="930">
        <v>0.82650000000000001</v>
      </c>
      <c r="F168" s="930">
        <v>0.82650000000000001</v>
      </c>
      <c r="G168" s="930">
        <v>0.82650000000000001</v>
      </c>
      <c r="H168" s="930">
        <v>0.82650000000000001</v>
      </c>
      <c r="I168" s="930">
        <v>0.69</v>
      </c>
      <c r="J168" s="930">
        <v>0.69</v>
      </c>
      <c r="K168" s="930">
        <v>0.69</v>
      </c>
      <c r="L168" s="930">
        <v>0.69</v>
      </c>
      <c r="M168" s="930">
        <v>0.69</v>
      </c>
    </row>
    <row r="169" spans="1:13">
      <c r="A169" s="921">
        <v>8.4</v>
      </c>
      <c r="B169" s="930">
        <v>0.90159999999999996</v>
      </c>
      <c r="C169" s="930">
        <v>0.90159999999999996</v>
      </c>
      <c r="D169" s="930">
        <v>0.82479999999999998</v>
      </c>
      <c r="E169" s="930">
        <v>0.82479999999999998</v>
      </c>
      <c r="F169" s="930">
        <v>0.82479999999999998</v>
      </c>
      <c r="G169" s="930">
        <v>0.82479999999999998</v>
      </c>
      <c r="H169" s="930">
        <v>0.82479999999999998</v>
      </c>
      <c r="I169" s="930">
        <v>0.68779999999999997</v>
      </c>
      <c r="J169" s="930">
        <v>0.68779999999999997</v>
      </c>
      <c r="K169" s="930">
        <v>0.68779999999999997</v>
      </c>
      <c r="L169" s="930">
        <v>0.68779999999999997</v>
      </c>
      <c r="M169" s="930">
        <v>0.68779999999999997</v>
      </c>
    </row>
    <row r="170" spans="1:13">
      <c r="A170" s="921">
        <v>8.5</v>
      </c>
      <c r="B170" s="930">
        <v>0.9002</v>
      </c>
      <c r="C170" s="930">
        <v>0.9002</v>
      </c>
      <c r="D170" s="930">
        <v>0.82310000000000005</v>
      </c>
      <c r="E170" s="930">
        <v>0.82310000000000005</v>
      </c>
      <c r="F170" s="930">
        <v>0.82310000000000005</v>
      </c>
      <c r="G170" s="930">
        <v>0.82310000000000005</v>
      </c>
      <c r="H170" s="930">
        <v>0.82310000000000005</v>
      </c>
      <c r="I170" s="930">
        <v>0.68569999999999998</v>
      </c>
      <c r="J170" s="930">
        <v>0.68569999999999998</v>
      </c>
      <c r="K170" s="930">
        <v>0.68569999999999998</v>
      </c>
      <c r="L170" s="930">
        <v>0.68569999999999998</v>
      </c>
      <c r="M170" s="930">
        <v>0.68569999999999998</v>
      </c>
    </row>
    <row r="171" spans="1:13">
      <c r="A171" s="921">
        <v>8.6</v>
      </c>
      <c r="B171" s="930">
        <v>0.89880000000000004</v>
      </c>
      <c r="C171" s="930">
        <v>0.89880000000000004</v>
      </c>
      <c r="D171" s="930">
        <v>0.82140000000000002</v>
      </c>
      <c r="E171" s="930">
        <v>0.82140000000000002</v>
      </c>
      <c r="F171" s="930">
        <v>0.82140000000000002</v>
      </c>
      <c r="G171" s="930">
        <v>0.82140000000000002</v>
      </c>
      <c r="H171" s="930">
        <v>0.82140000000000002</v>
      </c>
      <c r="I171" s="930">
        <v>0.68359999999999999</v>
      </c>
      <c r="J171" s="930">
        <v>0.68359999999999999</v>
      </c>
      <c r="K171" s="930">
        <v>0.68359999999999999</v>
      </c>
      <c r="L171" s="930">
        <v>0.68359999999999999</v>
      </c>
      <c r="M171" s="930">
        <v>0.68359999999999999</v>
      </c>
    </row>
    <row r="172" spans="1:13">
      <c r="A172" s="921">
        <v>8.6999999999999993</v>
      </c>
      <c r="B172" s="930">
        <v>0.89739999999999998</v>
      </c>
      <c r="C172" s="930">
        <v>0.89739999999999998</v>
      </c>
      <c r="D172" s="930">
        <v>0.81969999999999998</v>
      </c>
      <c r="E172" s="930">
        <v>0.81969999999999998</v>
      </c>
      <c r="F172" s="930">
        <v>0.81969999999999998</v>
      </c>
      <c r="G172" s="930">
        <v>0.81969999999999998</v>
      </c>
      <c r="H172" s="930">
        <v>0.81969999999999998</v>
      </c>
      <c r="I172" s="930">
        <v>0.68149999999999999</v>
      </c>
      <c r="J172" s="930">
        <v>0.68149999999999999</v>
      </c>
      <c r="K172" s="930">
        <v>0.68149999999999999</v>
      </c>
      <c r="L172" s="930">
        <v>0.68149999999999999</v>
      </c>
      <c r="M172" s="930">
        <v>0.68149999999999999</v>
      </c>
    </row>
    <row r="173" spans="1:13">
      <c r="A173" s="921">
        <v>8.8000000000000007</v>
      </c>
      <c r="B173" s="930">
        <v>0.89600000000000002</v>
      </c>
      <c r="C173" s="930">
        <v>0.89600000000000002</v>
      </c>
      <c r="D173" s="930">
        <v>0.81810000000000005</v>
      </c>
      <c r="E173" s="930">
        <v>0.81810000000000005</v>
      </c>
      <c r="F173" s="930">
        <v>0.81810000000000005</v>
      </c>
      <c r="G173" s="930">
        <v>0.81810000000000005</v>
      </c>
      <c r="H173" s="930">
        <v>0.81810000000000005</v>
      </c>
      <c r="I173" s="930">
        <v>0.6794</v>
      </c>
      <c r="J173" s="930">
        <v>0.6794</v>
      </c>
      <c r="K173" s="930">
        <v>0.6794</v>
      </c>
      <c r="L173" s="930">
        <v>0.6794</v>
      </c>
      <c r="M173" s="930">
        <v>0.6794</v>
      </c>
    </row>
    <row r="174" spans="1:13">
      <c r="A174" s="921">
        <v>8.9</v>
      </c>
      <c r="B174" s="930">
        <v>0.89470000000000005</v>
      </c>
      <c r="C174" s="930">
        <v>0.89470000000000005</v>
      </c>
      <c r="D174" s="930">
        <v>0.8165</v>
      </c>
      <c r="E174" s="930">
        <v>0.8165</v>
      </c>
      <c r="F174" s="930">
        <v>0.8165</v>
      </c>
      <c r="G174" s="930">
        <v>0.8165</v>
      </c>
      <c r="H174" s="930">
        <v>0.8165</v>
      </c>
      <c r="I174" s="930">
        <v>0.6774</v>
      </c>
      <c r="J174" s="930">
        <v>0.6774</v>
      </c>
      <c r="K174" s="930">
        <v>0.6774</v>
      </c>
      <c r="L174" s="930">
        <v>0.6774</v>
      </c>
      <c r="M174" s="930">
        <v>0.6774</v>
      </c>
    </row>
    <row r="175" spans="1:13">
      <c r="A175" s="921">
        <v>9</v>
      </c>
      <c r="B175" s="930">
        <v>0.89339999999999997</v>
      </c>
      <c r="C175" s="930">
        <v>0.89339999999999997</v>
      </c>
      <c r="D175" s="930">
        <v>0.81489999999999996</v>
      </c>
      <c r="E175" s="930">
        <v>0.81489999999999996</v>
      </c>
      <c r="F175" s="930">
        <v>0.81489999999999996</v>
      </c>
      <c r="G175" s="930">
        <v>0.81489999999999996</v>
      </c>
      <c r="H175" s="930">
        <v>0.81489999999999996</v>
      </c>
      <c r="I175" s="930">
        <v>0.6754</v>
      </c>
      <c r="J175" s="930">
        <v>0.6754</v>
      </c>
      <c r="K175" s="930">
        <v>0.6754</v>
      </c>
      <c r="L175" s="930">
        <v>0.6754</v>
      </c>
      <c r="M175" s="930">
        <v>0.6754</v>
      </c>
    </row>
    <row r="176" spans="1:13">
      <c r="A176" s="921">
        <v>9.1</v>
      </c>
      <c r="B176" s="930">
        <v>0.8921</v>
      </c>
      <c r="C176" s="930">
        <v>0.8921</v>
      </c>
      <c r="D176" s="930">
        <v>0.81330000000000002</v>
      </c>
      <c r="E176" s="930">
        <v>0.81330000000000002</v>
      </c>
      <c r="F176" s="930">
        <v>0.81330000000000002</v>
      </c>
      <c r="G176" s="930">
        <v>0.81330000000000002</v>
      </c>
      <c r="H176" s="930">
        <v>0.81330000000000002</v>
      </c>
      <c r="I176" s="930">
        <v>0.6734</v>
      </c>
      <c r="J176" s="930">
        <v>0.6734</v>
      </c>
      <c r="K176" s="930">
        <v>0.6734</v>
      </c>
      <c r="L176" s="930">
        <v>0.6734</v>
      </c>
      <c r="M176" s="930">
        <v>0.6734</v>
      </c>
    </row>
    <row r="177" spans="1:13">
      <c r="A177" s="921">
        <v>9.1999999999999993</v>
      </c>
      <c r="B177" s="930">
        <v>0.89080000000000004</v>
      </c>
      <c r="C177" s="930">
        <v>0.89080000000000004</v>
      </c>
      <c r="D177" s="930">
        <v>0.81169999999999998</v>
      </c>
      <c r="E177" s="930">
        <v>0.81169999999999998</v>
      </c>
      <c r="F177" s="930">
        <v>0.81169999999999998</v>
      </c>
      <c r="G177" s="930">
        <v>0.81169999999999998</v>
      </c>
      <c r="H177" s="930">
        <v>0.81169999999999998</v>
      </c>
      <c r="I177" s="930">
        <v>0.6714</v>
      </c>
      <c r="J177" s="930">
        <v>0.6714</v>
      </c>
      <c r="K177" s="930">
        <v>0.6714</v>
      </c>
      <c r="L177" s="930">
        <v>0.6714</v>
      </c>
      <c r="M177" s="930">
        <v>0.6714</v>
      </c>
    </row>
    <row r="178" spans="1:13">
      <c r="A178" s="921">
        <v>9.3000000000000007</v>
      </c>
      <c r="B178" s="930">
        <v>0.88949999999999996</v>
      </c>
      <c r="C178" s="930">
        <v>0.88949999999999996</v>
      </c>
      <c r="D178" s="930">
        <v>0.81010000000000004</v>
      </c>
      <c r="E178" s="930">
        <v>0.81010000000000004</v>
      </c>
      <c r="F178" s="930">
        <v>0.81010000000000004</v>
      </c>
      <c r="G178" s="930">
        <v>0.81010000000000004</v>
      </c>
      <c r="H178" s="930">
        <v>0.81010000000000004</v>
      </c>
      <c r="I178" s="930">
        <v>0.6694</v>
      </c>
      <c r="J178" s="930">
        <v>0.6694</v>
      </c>
      <c r="K178" s="930">
        <v>0.6694</v>
      </c>
      <c r="L178" s="930">
        <v>0.6694</v>
      </c>
      <c r="M178" s="930">
        <v>0.6694</v>
      </c>
    </row>
    <row r="179" spans="1:13">
      <c r="A179" s="921">
        <v>9.4</v>
      </c>
      <c r="B179" s="930">
        <v>0.88819999999999999</v>
      </c>
      <c r="C179" s="930">
        <v>0.88819999999999999</v>
      </c>
      <c r="D179" s="930">
        <v>0.8085</v>
      </c>
      <c r="E179" s="930">
        <v>0.8085</v>
      </c>
      <c r="F179" s="930">
        <v>0.8085</v>
      </c>
      <c r="G179" s="930">
        <v>0.8085</v>
      </c>
      <c r="H179" s="930">
        <v>0.8085</v>
      </c>
      <c r="I179" s="930">
        <v>0.66739999999999999</v>
      </c>
      <c r="J179" s="930">
        <v>0.66739999999999999</v>
      </c>
      <c r="K179" s="930">
        <v>0.66739999999999999</v>
      </c>
      <c r="L179" s="930">
        <v>0.66739999999999999</v>
      </c>
      <c r="M179" s="930">
        <v>0.66739999999999999</v>
      </c>
    </row>
    <row r="180" spans="1:13">
      <c r="A180" s="921">
        <v>9.5</v>
      </c>
      <c r="B180" s="930">
        <v>0.88700000000000001</v>
      </c>
      <c r="C180" s="930">
        <v>0.88700000000000001</v>
      </c>
      <c r="D180" s="930">
        <v>0.80700000000000005</v>
      </c>
      <c r="E180" s="930">
        <v>0.80700000000000005</v>
      </c>
      <c r="F180" s="930">
        <v>0.80700000000000005</v>
      </c>
      <c r="G180" s="930">
        <v>0.80700000000000005</v>
      </c>
      <c r="H180" s="930">
        <v>0.80700000000000005</v>
      </c>
      <c r="I180" s="930">
        <v>0.66549999999999998</v>
      </c>
      <c r="J180" s="930">
        <v>0.66549999999999998</v>
      </c>
      <c r="K180" s="930">
        <v>0.66549999999999998</v>
      </c>
      <c r="L180" s="930">
        <v>0.66549999999999998</v>
      </c>
      <c r="M180" s="930">
        <v>0.66549999999999998</v>
      </c>
    </row>
    <row r="181" spans="1:13">
      <c r="A181" s="921">
        <v>9.6</v>
      </c>
      <c r="B181" s="930">
        <v>0.88580000000000003</v>
      </c>
      <c r="C181" s="930">
        <v>0.88580000000000003</v>
      </c>
      <c r="D181" s="930">
        <v>0.80549999999999999</v>
      </c>
      <c r="E181" s="930">
        <v>0.80549999999999999</v>
      </c>
      <c r="F181" s="930">
        <v>0.80549999999999999</v>
      </c>
      <c r="G181" s="930">
        <v>0.80549999999999999</v>
      </c>
      <c r="H181" s="930">
        <v>0.80549999999999999</v>
      </c>
      <c r="I181" s="930">
        <v>0.66359999999999997</v>
      </c>
      <c r="J181" s="930">
        <v>0.66359999999999997</v>
      </c>
      <c r="K181" s="930">
        <v>0.66359999999999997</v>
      </c>
      <c r="L181" s="930">
        <v>0.66359999999999997</v>
      </c>
      <c r="M181" s="930">
        <v>0.66359999999999997</v>
      </c>
    </row>
    <row r="182" spans="1:13">
      <c r="A182" s="921">
        <v>9.6999999999999993</v>
      </c>
      <c r="B182" s="930">
        <v>0.88460000000000005</v>
      </c>
      <c r="C182" s="930">
        <v>0.88460000000000005</v>
      </c>
      <c r="D182" s="930">
        <v>0.80400000000000005</v>
      </c>
      <c r="E182" s="930">
        <v>0.80400000000000005</v>
      </c>
      <c r="F182" s="930">
        <v>0.80400000000000005</v>
      </c>
      <c r="G182" s="930">
        <v>0.80400000000000005</v>
      </c>
      <c r="H182" s="930">
        <v>0.80400000000000005</v>
      </c>
      <c r="I182" s="930">
        <v>0.66169999999999995</v>
      </c>
      <c r="J182" s="930">
        <v>0.66169999999999995</v>
      </c>
      <c r="K182" s="930">
        <v>0.66169999999999995</v>
      </c>
      <c r="L182" s="930">
        <v>0.66169999999999995</v>
      </c>
      <c r="M182" s="930">
        <v>0.66169999999999995</v>
      </c>
    </row>
    <row r="183" spans="1:13">
      <c r="A183" s="921">
        <v>9.8000000000000007</v>
      </c>
      <c r="B183" s="930">
        <v>0.88339999999999996</v>
      </c>
      <c r="C183" s="930">
        <v>0.88339999999999996</v>
      </c>
      <c r="D183" s="930">
        <v>0.80249999999999999</v>
      </c>
      <c r="E183" s="930">
        <v>0.80249999999999999</v>
      </c>
      <c r="F183" s="930">
        <v>0.80249999999999999</v>
      </c>
      <c r="G183" s="930">
        <v>0.80249999999999999</v>
      </c>
      <c r="H183" s="930">
        <v>0.80249999999999999</v>
      </c>
      <c r="I183" s="930">
        <v>0.65980000000000005</v>
      </c>
      <c r="J183" s="930">
        <v>0.65980000000000005</v>
      </c>
      <c r="K183" s="930">
        <v>0.65980000000000005</v>
      </c>
      <c r="L183" s="930">
        <v>0.65980000000000005</v>
      </c>
      <c r="M183" s="930">
        <v>0.65980000000000005</v>
      </c>
    </row>
    <row r="184" spans="1:13">
      <c r="A184" s="921">
        <v>9.9</v>
      </c>
      <c r="B184" s="930">
        <v>0.88219999999999998</v>
      </c>
      <c r="C184" s="930">
        <v>0.88219999999999998</v>
      </c>
      <c r="D184" s="930">
        <v>0.80100000000000005</v>
      </c>
      <c r="E184" s="930">
        <v>0.80100000000000005</v>
      </c>
      <c r="F184" s="930">
        <v>0.80100000000000005</v>
      </c>
      <c r="G184" s="930">
        <v>0.80100000000000005</v>
      </c>
      <c r="H184" s="930">
        <v>0.80100000000000005</v>
      </c>
      <c r="I184" s="930">
        <v>0.65790000000000004</v>
      </c>
      <c r="J184" s="930">
        <v>0.65790000000000004</v>
      </c>
      <c r="K184" s="930">
        <v>0.65790000000000004</v>
      </c>
      <c r="L184" s="930">
        <v>0.65790000000000004</v>
      </c>
      <c r="M184" s="930">
        <v>0.65790000000000004</v>
      </c>
    </row>
    <row r="185" spans="1:13" ht="14.25">
      <c r="A185" s="3084" t="s">
        <v>2773</v>
      </c>
      <c r="B185" s="930"/>
      <c r="C185" s="930"/>
      <c r="D185" s="930"/>
      <c r="E185" s="930"/>
      <c r="F185" s="930"/>
      <c r="G185" s="930"/>
      <c r="H185" s="930"/>
      <c r="I185" s="930"/>
      <c r="J185" s="930"/>
      <c r="K185" s="930"/>
      <c r="L185" s="930"/>
      <c r="M185" s="930"/>
    </row>
    <row r="186" spans="1:13">
      <c r="A186" s="921" t="s">
        <v>1548</v>
      </c>
      <c r="B186" s="930" t="s">
        <v>990</v>
      </c>
      <c r="C186" s="930" t="s">
        <v>1031</v>
      </c>
      <c r="D186" s="930" t="s">
        <v>1145</v>
      </c>
      <c r="E186" s="930" t="s">
        <v>853</v>
      </c>
      <c r="F186" s="930" t="s">
        <v>1152</v>
      </c>
      <c r="G186" s="930" t="s">
        <v>1153</v>
      </c>
      <c r="H186" s="930" t="s">
        <v>1154</v>
      </c>
      <c r="I186" s="930" t="s">
        <v>1155</v>
      </c>
      <c r="J186" s="930" t="s">
        <v>1156</v>
      </c>
      <c r="K186" s="930" t="s">
        <v>1157</v>
      </c>
      <c r="L186" s="930" t="s">
        <v>2758</v>
      </c>
      <c r="M186" s="930" t="s">
        <v>2759</v>
      </c>
    </row>
    <row r="187" spans="1:13">
      <c r="A187" s="921">
        <v>1</v>
      </c>
      <c r="B187" s="930">
        <v>1.1901999999999999</v>
      </c>
      <c r="C187" s="930">
        <v>1.1901999999999999</v>
      </c>
      <c r="D187" s="930">
        <v>1.222</v>
      </c>
      <c r="E187" s="930">
        <v>1.222</v>
      </c>
      <c r="F187" s="930">
        <v>1.222</v>
      </c>
      <c r="G187" s="930">
        <v>1.222</v>
      </c>
      <c r="H187" s="930">
        <v>1.222</v>
      </c>
      <c r="I187" s="930">
        <v>1.1054999999999999</v>
      </c>
      <c r="J187" s="930">
        <v>1.1054999999999999</v>
      </c>
      <c r="K187" s="930">
        <v>1.1054999999999999</v>
      </c>
      <c r="L187" s="930">
        <v>1.1054999999999999</v>
      </c>
      <c r="M187" s="930">
        <v>1.1054999999999999</v>
      </c>
    </row>
    <row r="188" spans="1:13">
      <c r="A188" s="921">
        <v>1.1000000000000001</v>
      </c>
      <c r="B188" s="930">
        <v>1.1715</v>
      </c>
      <c r="C188" s="930">
        <v>1.1715</v>
      </c>
      <c r="D188" s="930">
        <v>1.2002999999999999</v>
      </c>
      <c r="E188" s="930">
        <v>1.2002999999999999</v>
      </c>
      <c r="F188" s="930">
        <v>1.2002999999999999</v>
      </c>
      <c r="G188" s="930">
        <v>1.2002999999999999</v>
      </c>
      <c r="H188" s="930">
        <v>1.2002999999999999</v>
      </c>
      <c r="I188" s="930">
        <v>1.0819000000000001</v>
      </c>
      <c r="J188" s="930">
        <v>1.0819000000000001</v>
      </c>
      <c r="K188" s="930">
        <v>1.0819000000000001</v>
      </c>
      <c r="L188" s="930">
        <v>1.0819000000000001</v>
      </c>
      <c r="M188" s="930">
        <v>1.0819000000000001</v>
      </c>
    </row>
    <row r="189" spans="1:13">
      <c r="A189" s="921">
        <v>1.2</v>
      </c>
      <c r="B189" s="930">
        <v>1.1538999999999999</v>
      </c>
      <c r="C189" s="930">
        <v>1.1538999999999999</v>
      </c>
      <c r="D189" s="930">
        <v>1.1798</v>
      </c>
      <c r="E189" s="930">
        <v>1.1798</v>
      </c>
      <c r="F189" s="930">
        <v>1.1798</v>
      </c>
      <c r="G189" s="930">
        <v>1.1798</v>
      </c>
      <c r="H189" s="930">
        <v>1.1798</v>
      </c>
      <c r="I189" s="930">
        <v>1.0597000000000001</v>
      </c>
      <c r="J189" s="930">
        <v>1.0597000000000001</v>
      </c>
      <c r="K189" s="930">
        <v>1.0597000000000001</v>
      </c>
      <c r="L189" s="930">
        <v>1.0597000000000001</v>
      </c>
      <c r="M189" s="930">
        <v>1.0597000000000001</v>
      </c>
    </row>
    <row r="190" spans="1:13">
      <c r="A190" s="921">
        <v>1.3</v>
      </c>
      <c r="B190" s="930">
        <v>1.1372</v>
      </c>
      <c r="C190" s="930">
        <v>1.1372</v>
      </c>
      <c r="D190" s="930">
        <v>1.1605000000000001</v>
      </c>
      <c r="E190" s="930">
        <v>1.1605000000000001</v>
      </c>
      <c r="F190" s="930">
        <v>1.1605000000000001</v>
      </c>
      <c r="G190" s="930">
        <v>1.1605000000000001</v>
      </c>
      <c r="H190" s="930">
        <v>1.1605000000000001</v>
      </c>
      <c r="I190" s="930">
        <v>1.0386</v>
      </c>
      <c r="J190" s="930">
        <v>1.0386</v>
      </c>
      <c r="K190" s="930">
        <v>1.0386</v>
      </c>
      <c r="L190" s="930">
        <v>1.0386</v>
      </c>
      <c r="M190" s="930">
        <v>1.0386</v>
      </c>
    </row>
    <row r="191" spans="1:13">
      <c r="A191" s="921">
        <v>1.4</v>
      </c>
      <c r="B191" s="930">
        <v>1.1215999999999999</v>
      </c>
      <c r="C191" s="930">
        <v>1.1215999999999999</v>
      </c>
      <c r="D191" s="930">
        <v>1.1422000000000001</v>
      </c>
      <c r="E191" s="930">
        <v>1.1422000000000001</v>
      </c>
      <c r="F191" s="930">
        <v>1.1422000000000001</v>
      </c>
      <c r="G191" s="930">
        <v>1.1422000000000001</v>
      </c>
      <c r="H191" s="930">
        <v>1.1422000000000001</v>
      </c>
      <c r="I191" s="930">
        <v>1.0187999999999999</v>
      </c>
      <c r="J191" s="930">
        <v>1.0187999999999999</v>
      </c>
      <c r="K191" s="930">
        <v>1.0187999999999999</v>
      </c>
      <c r="L191" s="930">
        <v>1.0187999999999999</v>
      </c>
      <c r="M191" s="930">
        <v>1.0187999999999999</v>
      </c>
    </row>
    <row r="192" spans="1:13">
      <c r="A192" s="921">
        <v>1.5</v>
      </c>
      <c r="B192" s="930">
        <v>1.1069</v>
      </c>
      <c r="C192" s="930">
        <v>1.1069</v>
      </c>
      <c r="D192" s="930">
        <v>1.125</v>
      </c>
      <c r="E192" s="930">
        <v>1.125</v>
      </c>
      <c r="F192" s="930">
        <v>1.125</v>
      </c>
      <c r="G192" s="930">
        <v>1.125</v>
      </c>
      <c r="H192" s="930">
        <v>1.125</v>
      </c>
      <c r="I192" s="930">
        <v>1</v>
      </c>
      <c r="J192" s="930">
        <v>1</v>
      </c>
      <c r="K192" s="930">
        <v>1</v>
      </c>
      <c r="L192" s="930">
        <v>1</v>
      </c>
      <c r="M192" s="930">
        <v>1</v>
      </c>
    </row>
    <row r="193" spans="1:13">
      <c r="A193" s="921">
        <v>1.6</v>
      </c>
      <c r="B193" s="930">
        <v>1.0929</v>
      </c>
      <c r="C193" s="930">
        <v>1.0929</v>
      </c>
      <c r="D193" s="930">
        <v>1.1087</v>
      </c>
      <c r="E193" s="930">
        <v>1.1087</v>
      </c>
      <c r="F193" s="930">
        <v>1.1087</v>
      </c>
      <c r="G193" s="930">
        <v>1.1087</v>
      </c>
      <c r="H193" s="930">
        <v>1.1087</v>
      </c>
      <c r="I193" s="930">
        <v>0.98229999999999995</v>
      </c>
      <c r="J193" s="930">
        <v>0.98229999999999995</v>
      </c>
      <c r="K193" s="930">
        <v>0.98229999999999995</v>
      </c>
      <c r="L193" s="930">
        <v>0.98229999999999995</v>
      </c>
      <c r="M193" s="930">
        <v>0.98229999999999995</v>
      </c>
    </row>
    <row r="194" spans="1:13">
      <c r="A194" s="937">
        <v>1.7</v>
      </c>
      <c r="B194" s="930">
        <v>1.0798000000000001</v>
      </c>
      <c r="C194" s="930">
        <v>1.0798000000000001</v>
      </c>
      <c r="D194" s="930">
        <v>1.0933999999999999</v>
      </c>
      <c r="E194" s="930">
        <v>1.0933999999999999</v>
      </c>
      <c r="F194" s="930">
        <v>1.0933999999999999</v>
      </c>
      <c r="G194" s="930">
        <v>1.0933999999999999</v>
      </c>
      <c r="H194" s="930">
        <v>1.0933999999999999</v>
      </c>
      <c r="I194" s="930">
        <v>0.96560000000000001</v>
      </c>
      <c r="J194" s="930">
        <v>0.96560000000000001</v>
      </c>
      <c r="K194" s="930">
        <v>0.96560000000000001</v>
      </c>
      <c r="L194" s="930">
        <v>0.96560000000000001</v>
      </c>
      <c r="M194" s="930">
        <v>0.96560000000000001</v>
      </c>
    </row>
    <row r="195" spans="1:13">
      <c r="A195" s="937">
        <v>1.8</v>
      </c>
      <c r="B195" s="930">
        <v>1.0674999999999999</v>
      </c>
      <c r="C195" s="930">
        <v>1.0674999999999999</v>
      </c>
      <c r="D195" s="930">
        <v>1.0790999999999999</v>
      </c>
      <c r="E195" s="930">
        <v>1.0790999999999999</v>
      </c>
      <c r="F195" s="930">
        <v>1.0790999999999999</v>
      </c>
      <c r="G195" s="930">
        <v>1.0790999999999999</v>
      </c>
      <c r="H195" s="930">
        <v>1.0790999999999999</v>
      </c>
      <c r="I195" s="930">
        <v>0.94989999999999997</v>
      </c>
      <c r="J195" s="930">
        <v>0.94989999999999997</v>
      </c>
      <c r="K195" s="930">
        <v>0.94989999999999997</v>
      </c>
      <c r="L195" s="930">
        <v>0.94989999999999997</v>
      </c>
      <c r="M195" s="930">
        <v>0.94989999999999997</v>
      </c>
    </row>
    <row r="196" spans="1:13">
      <c r="A196" s="937">
        <v>1.9</v>
      </c>
      <c r="B196" s="930">
        <v>1.0558000000000001</v>
      </c>
      <c r="C196" s="930">
        <v>1.0558000000000001</v>
      </c>
      <c r="D196" s="930">
        <v>1.0654999999999999</v>
      </c>
      <c r="E196" s="930">
        <v>1.0654999999999999</v>
      </c>
      <c r="F196" s="930">
        <v>1.0654999999999999</v>
      </c>
      <c r="G196" s="930">
        <v>1.0654999999999999</v>
      </c>
      <c r="H196" s="930">
        <v>1.0654999999999999</v>
      </c>
      <c r="I196" s="930">
        <v>0.93520000000000003</v>
      </c>
      <c r="J196" s="930">
        <v>0.93520000000000003</v>
      </c>
      <c r="K196" s="930">
        <v>0.93520000000000003</v>
      </c>
      <c r="L196" s="930">
        <v>0.93520000000000003</v>
      </c>
      <c r="M196" s="930">
        <v>0.93520000000000003</v>
      </c>
    </row>
    <row r="197" spans="1:13">
      <c r="A197" s="937">
        <v>2</v>
      </c>
      <c r="B197" s="930">
        <v>1.0449999999999999</v>
      </c>
      <c r="C197" s="930">
        <v>1.0449999999999999</v>
      </c>
      <c r="D197" s="930">
        <v>1.0528</v>
      </c>
      <c r="E197" s="930">
        <v>1.0528</v>
      </c>
      <c r="F197" s="930">
        <v>1.0528</v>
      </c>
      <c r="G197" s="930">
        <v>1.0528</v>
      </c>
      <c r="H197" s="930">
        <v>1.0528</v>
      </c>
      <c r="I197" s="930">
        <v>0.92130000000000001</v>
      </c>
      <c r="J197" s="930">
        <v>0.92130000000000001</v>
      </c>
      <c r="K197" s="930">
        <v>0.92130000000000001</v>
      </c>
      <c r="L197" s="930">
        <v>0.92130000000000001</v>
      </c>
      <c r="M197" s="930">
        <v>0.92130000000000001</v>
      </c>
    </row>
    <row r="198" spans="1:13">
      <c r="A198" s="937">
        <v>2.1</v>
      </c>
      <c r="B198" s="930">
        <v>1.0347999999999999</v>
      </c>
      <c r="C198" s="930">
        <v>1.0347999999999999</v>
      </c>
      <c r="D198" s="930">
        <v>1.0407999999999999</v>
      </c>
      <c r="E198" s="930">
        <v>1.0407999999999999</v>
      </c>
      <c r="F198" s="930">
        <v>1.0407999999999999</v>
      </c>
      <c r="G198" s="930">
        <v>1.0407999999999999</v>
      </c>
      <c r="H198" s="930">
        <v>1.0407999999999999</v>
      </c>
      <c r="I198" s="930">
        <v>0.90820000000000001</v>
      </c>
      <c r="J198" s="930">
        <v>0.90820000000000001</v>
      </c>
      <c r="K198" s="930">
        <v>0.90820000000000001</v>
      </c>
      <c r="L198" s="930">
        <v>0.90820000000000001</v>
      </c>
      <c r="M198" s="930">
        <v>0.90820000000000001</v>
      </c>
    </row>
    <row r="199" spans="1:13">
      <c r="A199" s="937">
        <v>2.2000000000000002</v>
      </c>
      <c r="B199" s="930">
        <v>1.0251999999999999</v>
      </c>
      <c r="C199" s="930">
        <v>1.0251999999999999</v>
      </c>
      <c r="D199" s="930">
        <v>1.0296000000000001</v>
      </c>
      <c r="E199" s="930">
        <v>1.0296000000000001</v>
      </c>
      <c r="F199" s="930">
        <v>1.0296000000000001</v>
      </c>
      <c r="G199" s="930">
        <v>1.0296000000000001</v>
      </c>
      <c r="H199" s="930">
        <v>1.0296000000000001</v>
      </c>
      <c r="I199" s="930">
        <v>0.89570000000000005</v>
      </c>
      <c r="J199" s="930">
        <v>0.89570000000000005</v>
      </c>
      <c r="K199" s="930">
        <v>0.89570000000000005</v>
      </c>
      <c r="L199" s="930">
        <v>0.89570000000000005</v>
      </c>
      <c r="M199" s="930">
        <v>0.89570000000000005</v>
      </c>
    </row>
    <row r="200" spans="1:13">
      <c r="A200" s="937">
        <v>2.2999999999999998</v>
      </c>
      <c r="B200" s="930">
        <v>1.0162</v>
      </c>
      <c r="C200" s="930">
        <v>1.0162</v>
      </c>
      <c r="D200" s="930">
        <v>1.0190999999999999</v>
      </c>
      <c r="E200" s="930">
        <v>1.0190999999999999</v>
      </c>
      <c r="F200" s="930">
        <v>1.0190999999999999</v>
      </c>
      <c r="G200" s="930">
        <v>1.0190999999999999</v>
      </c>
      <c r="H200" s="930">
        <v>1.0190999999999999</v>
      </c>
      <c r="I200" s="930">
        <v>0.88419999999999999</v>
      </c>
      <c r="J200" s="930">
        <v>0.88419999999999999</v>
      </c>
      <c r="K200" s="930">
        <v>0.88419999999999999</v>
      </c>
      <c r="L200" s="930">
        <v>0.88419999999999999</v>
      </c>
      <c r="M200" s="930">
        <v>0.88419999999999999</v>
      </c>
    </row>
    <row r="201" spans="1:13">
      <c r="A201" s="937">
        <v>2.4</v>
      </c>
      <c r="B201" s="930">
        <v>1.0078</v>
      </c>
      <c r="C201" s="930">
        <v>1.0078</v>
      </c>
      <c r="D201" s="930">
        <v>1.0092000000000001</v>
      </c>
      <c r="E201" s="930">
        <v>1.0092000000000001</v>
      </c>
      <c r="F201" s="930">
        <v>1.0092000000000001</v>
      </c>
      <c r="G201" s="930">
        <v>1.0092000000000001</v>
      </c>
      <c r="H201" s="930">
        <v>1.0092000000000001</v>
      </c>
      <c r="I201" s="930">
        <v>0.87329999999999997</v>
      </c>
      <c r="J201" s="930">
        <v>0.87329999999999997</v>
      </c>
      <c r="K201" s="930">
        <v>0.87329999999999997</v>
      </c>
      <c r="L201" s="930">
        <v>0.87329999999999997</v>
      </c>
      <c r="M201" s="930">
        <v>0.87329999999999997</v>
      </c>
    </row>
    <row r="202" spans="1:13">
      <c r="A202" s="937">
        <v>2.5</v>
      </c>
      <c r="B202" s="930">
        <v>1</v>
      </c>
      <c r="C202" s="930">
        <v>1</v>
      </c>
      <c r="D202" s="930">
        <v>1</v>
      </c>
      <c r="E202" s="930">
        <v>1</v>
      </c>
      <c r="F202" s="930">
        <v>1</v>
      </c>
      <c r="G202" s="930">
        <v>1</v>
      </c>
      <c r="H202" s="930">
        <v>1</v>
      </c>
      <c r="I202" s="930">
        <v>0.86299999999999999</v>
      </c>
      <c r="J202" s="930">
        <v>0.86299999999999999</v>
      </c>
      <c r="K202" s="930">
        <v>0.86299999999999999</v>
      </c>
      <c r="L202" s="930">
        <v>0.86299999999999999</v>
      </c>
      <c r="M202" s="930">
        <v>0.86299999999999999</v>
      </c>
    </row>
    <row r="203" spans="1:13">
      <c r="A203" s="937">
        <v>2.6</v>
      </c>
      <c r="B203" s="930">
        <v>0.99270000000000003</v>
      </c>
      <c r="C203" s="930">
        <v>0.99270000000000003</v>
      </c>
      <c r="D203" s="930">
        <v>0.99139999999999995</v>
      </c>
      <c r="E203" s="930">
        <v>0.99139999999999995</v>
      </c>
      <c r="F203" s="930">
        <v>0.99139999999999995</v>
      </c>
      <c r="G203" s="930">
        <v>0.99139999999999995</v>
      </c>
      <c r="H203" s="930">
        <v>0.99139999999999995</v>
      </c>
      <c r="I203" s="930">
        <v>0.85340000000000005</v>
      </c>
      <c r="J203" s="930">
        <v>0.85340000000000005</v>
      </c>
      <c r="K203" s="930">
        <v>0.85340000000000005</v>
      </c>
      <c r="L203" s="930">
        <v>0.85340000000000005</v>
      </c>
      <c r="M203" s="930">
        <v>0.85340000000000005</v>
      </c>
    </row>
    <row r="204" spans="1:13">
      <c r="A204" s="937">
        <v>2.7</v>
      </c>
      <c r="B204" s="930">
        <v>0.98580000000000001</v>
      </c>
      <c r="C204" s="930">
        <v>0.98580000000000001</v>
      </c>
      <c r="D204" s="930">
        <v>0.98329999999999995</v>
      </c>
      <c r="E204" s="930">
        <v>0.98329999999999995</v>
      </c>
      <c r="F204" s="930">
        <v>0.98329999999999995</v>
      </c>
      <c r="G204" s="930">
        <v>0.98329999999999995</v>
      </c>
      <c r="H204" s="930">
        <v>0.98329999999999995</v>
      </c>
      <c r="I204" s="930">
        <v>0.84440000000000004</v>
      </c>
      <c r="J204" s="930">
        <v>0.84440000000000004</v>
      </c>
      <c r="K204" s="930">
        <v>0.84440000000000004</v>
      </c>
      <c r="L204" s="930">
        <v>0.84440000000000004</v>
      </c>
      <c r="M204" s="930">
        <v>0.84440000000000004</v>
      </c>
    </row>
    <row r="205" spans="1:13">
      <c r="A205" s="937">
        <v>2.8</v>
      </c>
      <c r="B205" s="930">
        <v>0.97940000000000005</v>
      </c>
      <c r="C205" s="930">
        <v>0.97940000000000005</v>
      </c>
      <c r="D205" s="930">
        <v>0.97570000000000001</v>
      </c>
      <c r="E205" s="930">
        <v>0.97570000000000001</v>
      </c>
      <c r="F205" s="930">
        <v>0.97570000000000001</v>
      </c>
      <c r="G205" s="930">
        <v>0.97570000000000001</v>
      </c>
      <c r="H205" s="930">
        <v>0.97570000000000001</v>
      </c>
      <c r="I205" s="930">
        <v>0.83599999999999997</v>
      </c>
      <c r="J205" s="930">
        <v>0.83599999999999997</v>
      </c>
      <c r="K205" s="930">
        <v>0.83599999999999997</v>
      </c>
      <c r="L205" s="930">
        <v>0.83599999999999997</v>
      </c>
      <c r="M205" s="930">
        <v>0.83599999999999997</v>
      </c>
    </row>
    <row r="206" spans="1:13">
      <c r="A206" s="921">
        <v>2.9</v>
      </c>
      <c r="B206" s="922">
        <v>0.97350000000000003</v>
      </c>
      <c r="C206" s="922">
        <v>0.97350000000000003</v>
      </c>
      <c r="D206" s="922">
        <v>0.96870000000000001</v>
      </c>
      <c r="E206" s="922">
        <v>0.96870000000000001</v>
      </c>
      <c r="F206" s="922">
        <v>0.96870000000000001</v>
      </c>
      <c r="G206" s="922">
        <v>0.96870000000000001</v>
      </c>
      <c r="H206" s="923">
        <v>0.96870000000000001</v>
      </c>
      <c r="I206" s="923">
        <v>0.82820000000000005</v>
      </c>
      <c r="J206" s="924">
        <v>0.82820000000000005</v>
      </c>
      <c r="K206" s="924">
        <v>0.82820000000000005</v>
      </c>
      <c r="L206" s="924">
        <v>0.82820000000000005</v>
      </c>
      <c r="M206" s="924">
        <v>0.82820000000000005</v>
      </c>
    </row>
    <row r="207" spans="1:13">
      <c r="A207" s="921">
        <v>3</v>
      </c>
      <c r="B207" s="930">
        <v>0.96789999999999998</v>
      </c>
      <c r="C207" s="930">
        <v>0.96789999999999998</v>
      </c>
      <c r="D207" s="930">
        <v>0.96209999999999996</v>
      </c>
      <c r="E207" s="930">
        <v>0.96209999999999996</v>
      </c>
      <c r="F207" s="930">
        <v>0.96209999999999996</v>
      </c>
      <c r="G207" s="930">
        <v>0.96209999999999996</v>
      </c>
      <c r="H207" s="930">
        <v>0.96209999999999996</v>
      </c>
      <c r="I207" s="930">
        <v>0.82079999999999997</v>
      </c>
      <c r="J207" s="930">
        <v>0.82079999999999997</v>
      </c>
      <c r="K207" s="930">
        <v>0.82079999999999997</v>
      </c>
      <c r="L207" s="930">
        <v>0.82079999999999997</v>
      </c>
      <c r="M207" s="930">
        <v>0.82079999999999997</v>
      </c>
    </row>
    <row r="208" spans="1:13">
      <c r="A208" s="921">
        <v>3.1</v>
      </c>
      <c r="B208" s="930">
        <v>0.9627</v>
      </c>
      <c r="C208" s="930">
        <v>0.9627</v>
      </c>
      <c r="D208" s="930">
        <v>0.95589999999999997</v>
      </c>
      <c r="E208" s="930">
        <v>0.95589999999999997</v>
      </c>
      <c r="F208" s="930">
        <v>0.95589999999999997</v>
      </c>
      <c r="G208" s="930">
        <v>0.95589999999999997</v>
      </c>
      <c r="H208" s="930">
        <v>0.95589999999999997</v>
      </c>
      <c r="I208" s="930">
        <v>0.81389999999999996</v>
      </c>
      <c r="J208" s="930">
        <v>0.81389999999999996</v>
      </c>
      <c r="K208" s="930">
        <v>0.81389999999999996</v>
      </c>
      <c r="L208" s="930">
        <v>0.81389999999999996</v>
      </c>
      <c r="M208" s="930">
        <v>0.81389999999999996</v>
      </c>
    </row>
    <row r="209" spans="1:13">
      <c r="A209" s="921">
        <v>3.2</v>
      </c>
      <c r="B209" s="930">
        <v>0.95789999999999997</v>
      </c>
      <c r="C209" s="930">
        <v>0.95789999999999997</v>
      </c>
      <c r="D209" s="930">
        <v>0.95020000000000004</v>
      </c>
      <c r="E209" s="930">
        <v>0.95020000000000004</v>
      </c>
      <c r="F209" s="930">
        <v>0.95020000000000004</v>
      </c>
      <c r="G209" s="930">
        <v>0.95020000000000004</v>
      </c>
      <c r="H209" s="930">
        <v>0.95020000000000004</v>
      </c>
      <c r="I209" s="930">
        <v>0.8075</v>
      </c>
      <c r="J209" s="930">
        <v>0.8075</v>
      </c>
      <c r="K209" s="930">
        <v>0.8075</v>
      </c>
      <c r="L209" s="930">
        <v>0.8075</v>
      </c>
      <c r="M209" s="930">
        <v>0.8075</v>
      </c>
    </row>
    <row r="210" spans="1:13">
      <c r="A210" s="921">
        <v>3.3</v>
      </c>
      <c r="B210" s="930">
        <v>0.95340000000000003</v>
      </c>
      <c r="C210" s="930">
        <v>0.95340000000000003</v>
      </c>
      <c r="D210" s="930">
        <v>0.94479999999999997</v>
      </c>
      <c r="E210" s="930">
        <v>0.94479999999999997</v>
      </c>
      <c r="F210" s="930">
        <v>0.94479999999999997</v>
      </c>
      <c r="G210" s="930">
        <v>0.94479999999999997</v>
      </c>
      <c r="H210" s="930">
        <v>0.94479999999999997</v>
      </c>
      <c r="I210" s="930">
        <v>0.80149999999999999</v>
      </c>
      <c r="J210" s="930">
        <v>0.80149999999999999</v>
      </c>
      <c r="K210" s="930">
        <v>0.80149999999999999</v>
      </c>
      <c r="L210" s="930">
        <v>0.80149999999999999</v>
      </c>
      <c r="M210" s="930">
        <v>0.80149999999999999</v>
      </c>
    </row>
    <row r="211" spans="1:13">
      <c r="A211" s="921">
        <v>3.4</v>
      </c>
      <c r="B211" s="930">
        <v>0.94920000000000004</v>
      </c>
      <c r="C211" s="930">
        <v>0.94920000000000004</v>
      </c>
      <c r="D211" s="930">
        <v>0.93989999999999996</v>
      </c>
      <c r="E211" s="930">
        <v>0.93989999999999996</v>
      </c>
      <c r="F211" s="930">
        <v>0.93989999999999996</v>
      </c>
      <c r="G211" s="930">
        <v>0.93989999999999996</v>
      </c>
      <c r="H211" s="930">
        <v>0.93989999999999996</v>
      </c>
      <c r="I211" s="930">
        <v>0.79590000000000005</v>
      </c>
      <c r="J211" s="930">
        <v>0.79590000000000005</v>
      </c>
      <c r="K211" s="930">
        <v>0.79590000000000005</v>
      </c>
      <c r="L211" s="930">
        <v>0.79590000000000005</v>
      </c>
      <c r="M211" s="930">
        <v>0.79590000000000005</v>
      </c>
    </row>
    <row r="212" spans="1:13">
      <c r="A212" s="921">
        <v>3.5</v>
      </c>
      <c r="B212" s="930">
        <v>0.94540000000000002</v>
      </c>
      <c r="C212" s="930">
        <v>0.94540000000000002</v>
      </c>
      <c r="D212" s="930">
        <v>0.93520000000000003</v>
      </c>
      <c r="E212" s="930">
        <v>0.93520000000000003</v>
      </c>
      <c r="F212" s="930">
        <v>0.93520000000000003</v>
      </c>
      <c r="G212" s="930">
        <v>0.93520000000000003</v>
      </c>
      <c r="H212" s="930">
        <v>0.93520000000000003</v>
      </c>
      <c r="I212" s="930">
        <v>0.79059999999999997</v>
      </c>
      <c r="J212" s="930">
        <v>0.79059999999999997</v>
      </c>
      <c r="K212" s="930">
        <v>0.79059999999999997</v>
      </c>
      <c r="L212" s="930">
        <v>0.79059999999999997</v>
      </c>
      <c r="M212" s="930">
        <v>0.79059999999999997</v>
      </c>
    </row>
    <row r="213" spans="1:13">
      <c r="A213" s="921">
        <v>3.6</v>
      </c>
      <c r="B213" s="930">
        <v>0.94179999999999997</v>
      </c>
      <c r="C213" s="930">
        <v>0.94179999999999997</v>
      </c>
      <c r="D213" s="930">
        <v>0.93089999999999995</v>
      </c>
      <c r="E213" s="930">
        <v>0.93089999999999995</v>
      </c>
      <c r="F213" s="930">
        <v>0.93089999999999995</v>
      </c>
      <c r="G213" s="930">
        <v>0.93089999999999995</v>
      </c>
      <c r="H213" s="930">
        <v>0.93089999999999995</v>
      </c>
      <c r="I213" s="930">
        <v>0.78569999999999995</v>
      </c>
      <c r="J213" s="930">
        <v>0.78569999999999995</v>
      </c>
      <c r="K213" s="930">
        <v>0.78569999999999995</v>
      </c>
      <c r="L213" s="930">
        <v>0.78569999999999995</v>
      </c>
      <c r="M213" s="930">
        <v>0.78569999999999995</v>
      </c>
    </row>
    <row r="214" spans="1:13">
      <c r="A214" s="921">
        <v>3.7</v>
      </c>
      <c r="B214" s="930">
        <v>0.93840000000000001</v>
      </c>
      <c r="C214" s="930">
        <v>0.93840000000000001</v>
      </c>
      <c r="D214" s="930">
        <v>0.92689999999999995</v>
      </c>
      <c r="E214" s="930">
        <v>0.92689999999999995</v>
      </c>
      <c r="F214" s="930">
        <v>0.92689999999999995</v>
      </c>
      <c r="G214" s="930">
        <v>0.92689999999999995</v>
      </c>
      <c r="H214" s="930">
        <v>0.92689999999999995</v>
      </c>
      <c r="I214" s="930">
        <v>0.78110000000000002</v>
      </c>
      <c r="J214" s="930">
        <v>0.78110000000000002</v>
      </c>
      <c r="K214" s="930">
        <v>0.78110000000000002</v>
      </c>
      <c r="L214" s="930">
        <v>0.78110000000000002</v>
      </c>
      <c r="M214" s="930">
        <v>0.78110000000000002</v>
      </c>
    </row>
    <row r="215" spans="1:13">
      <c r="A215" s="921">
        <v>3.8</v>
      </c>
      <c r="B215" s="930">
        <v>0.93530000000000002</v>
      </c>
      <c r="C215" s="930">
        <v>0.93530000000000002</v>
      </c>
      <c r="D215" s="930">
        <v>0.92310000000000003</v>
      </c>
      <c r="E215" s="930">
        <v>0.92310000000000003</v>
      </c>
      <c r="F215" s="930">
        <v>0.92310000000000003</v>
      </c>
      <c r="G215" s="930">
        <v>0.92310000000000003</v>
      </c>
      <c r="H215" s="930">
        <v>0.92310000000000003</v>
      </c>
      <c r="I215" s="930">
        <v>0.77680000000000005</v>
      </c>
      <c r="J215" s="930">
        <v>0.77680000000000005</v>
      </c>
      <c r="K215" s="930">
        <v>0.77680000000000005</v>
      </c>
      <c r="L215" s="930">
        <v>0.77680000000000005</v>
      </c>
      <c r="M215" s="930">
        <v>0.77680000000000005</v>
      </c>
    </row>
    <row r="216" spans="1:13">
      <c r="A216" s="921">
        <v>3.9</v>
      </c>
      <c r="B216" s="930">
        <v>0.93240000000000001</v>
      </c>
      <c r="C216" s="930">
        <v>0.93240000000000001</v>
      </c>
      <c r="D216" s="930">
        <v>0.91959999999999997</v>
      </c>
      <c r="E216" s="930">
        <v>0.91959999999999997</v>
      </c>
      <c r="F216" s="930">
        <v>0.91959999999999997</v>
      </c>
      <c r="G216" s="930">
        <v>0.91959999999999997</v>
      </c>
      <c r="H216" s="930">
        <v>0.91959999999999997</v>
      </c>
      <c r="I216" s="930">
        <v>0.77270000000000005</v>
      </c>
      <c r="J216" s="930">
        <v>0.77270000000000005</v>
      </c>
      <c r="K216" s="930">
        <v>0.77270000000000005</v>
      </c>
      <c r="L216" s="930">
        <v>0.77270000000000005</v>
      </c>
      <c r="M216" s="930">
        <v>0.77270000000000005</v>
      </c>
    </row>
    <row r="217" spans="1:13">
      <c r="A217" s="921">
        <v>4</v>
      </c>
      <c r="B217" s="930">
        <v>0.92969999999999997</v>
      </c>
      <c r="C217" s="930">
        <v>0.92969999999999997</v>
      </c>
      <c r="D217" s="930">
        <v>0.9163</v>
      </c>
      <c r="E217" s="930">
        <v>0.9163</v>
      </c>
      <c r="F217" s="930">
        <v>0.9163</v>
      </c>
      <c r="G217" s="930">
        <v>0.9163</v>
      </c>
      <c r="H217" s="930">
        <v>0.9163</v>
      </c>
      <c r="I217" s="930">
        <v>0.76880000000000004</v>
      </c>
      <c r="J217" s="930">
        <v>0.76880000000000004</v>
      </c>
      <c r="K217" s="930">
        <v>0.76880000000000004</v>
      </c>
      <c r="L217" s="930">
        <v>0.76880000000000004</v>
      </c>
      <c r="M217" s="930">
        <v>0.76880000000000004</v>
      </c>
    </row>
    <row r="218" spans="1:13">
      <c r="A218" s="921">
        <v>4.0999999999999996</v>
      </c>
      <c r="B218" s="930">
        <v>0.92720000000000002</v>
      </c>
      <c r="C218" s="930">
        <v>0.92720000000000002</v>
      </c>
      <c r="D218" s="930">
        <v>0.91320000000000001</v>
      </c>
      <c r="E218" s="930">
        <v>0.91320000000000001</v>
      </c>
      <c r="F218" s="930">
        <v>0.91320000000000001</v>
      </c>
      <c r="G218" s="930">
        <v>0.91320000000000001</v>
      </c>
      <c r="H218" s="930">
        <v>0.91320000000000001</v>
      </c>
      <c r="I218" s="930">
        <v>0.7651</v>
      </c>
      <c r="J218" s="930">
        <v>0.7651</v>
      </c>
      <c r="K218" s="930">
        <v>0.7651</v>
      </c>
      <c r="L218" s="930">
        <v>0.7651</v>
      </c>
      <c r="M218" s="930">
        <v>0.7651</v>
      </c>
    </row>
    <row r="219" spans="1:13">
      <c r="A219" s="921">
        <v>4.2</v>
      </c>
      <c r="B219" s="930">
        <v>0.92479999999999996</v>
      </c>
      <c r="C219" s="930">
        <v>0.92479999999999996</v>
      </c>
      <c r="D219" s="930">
        <v>0.91020000000000001</v>
      </c>
      <c r="E219" s="930">
        <v>0.91020000000000001</v>
      </c>
      <c r="F219" s="930">
        <v>0.91020000000000001</v>
      </c>
      <c r="G219" s="930">
        <v>0.91020000000000001</v>
      </c>
      <c r="H219" s="930">
        <v>0.91020000000000001</v>
      </c>
      <c r="I219" s="930">
        <v>0.76149999999999995</v>
      </c>
      <c r="J219" s="930">
        <v>0.76149999999999995</v>
      </c>
      <c r="K219" s="930">
        <v>0.76149999999999995</v>
      </c>
      <c r="L219" s="930">
        <v>0.76149999999999995</v>
      </c>
      <c r="M219" s="930">
        <v>0.76149999999999995</v>
      </c>
    </row>
    <row r="220" spans="1:13">
      <c r="A220" s="921">
        <v>4.3</v>
      </c>
      <c r="B220" s="930">
        <v>0.92249999999999999</v>
      </c>
      <c r="C220" s="930">
        <v>0.92249999999999999</v>
      </c>
      <c r="D220" s="930">
        <v>0.9073</v>
      </c>
      <c r="E220" s="930">
        <v>0.9073</v>
      </c>
      <c r="F220" s="930">
        <v>0.9073</v>
      </c>
      <c r="G220" s="930">
        <v>0.9073</v>
      </c>
      <c r="H220" s="930">
        <v>0.9073</v>
      </c>
      <c r="I220" s="930">
        <v>0.75800000000000001</v>
      </c>
      <c r="J220" s="930">
        <v>0.75800000000000001</v>
      </c>
      <c r="K220" s="930">
        <v>0.75800000000000001</v>
      </c>
      <c r="L220" s="930">
        <v>0.75800000000000001</v>
      </c>
      <c r="M220" s="930">
        <v>0.75800000000000001</v>
      </c>
    </row>
    <row r="221" spans="1:13">
      <c r="A221" s="921">
        <v>4.4000000000000004</v>
      </c>
      <c r="B221" s="930">
        <v>0.92030000000000001</v>
      </c>
      <c r="C221" s="930">
        <v>0.92030000000000001</v>
      </c>
      <c r="D221" s="930">
        <v>0.90449999999999997</v>
      </c>
      <c r="E221" s="930">
        <v>0.90449999999999997</v>
      </c>
      <c r="F221" s="930">
        <v>0.90449999999999997</v>
      </c>
      <c r="G221" s="930">
        <v>0.90449999999999997</v>
      </c>
      <c r="H221" s="930">
        <v>0.90449999999999997</v>
      </c>
      <c r="I221" s="930">
        <v>0.75460000000000005</v>
      </c>
      <c r="J221" s="930">
        <v>0.75460000000000005</v>
      </c>
      <c r="K221" s="930">
        <v>0.75460000000000005</v>
      </c>
      <c r="L221" s="930">
        <v>0.75460000000000005</v>
      </c>
      <c r="M221" s="930">
        <v>0.75460000000000005</v>
      </c>
    </row>
    <row r="222" spans="1:13">
      <c r="A222" s="921">
        <v>4.5</v>
      </c>
      <c r="B222" s="930">
        <v>0.91810000000000003</v>
      </c>
      <c r="C222" s="930">
        <v>0.91810000000000003</v>
      </c>
      <c r="D222" s="930">
        <v>0.90180000000000005</v>
      </c>
      <c r="E222" s="930">
        <v>0.90180000000000005</v>
      </c>
      <c r="F222" s="930">
        <v>0.90180000000000005</v>
      </c>
      <c r="G222" s="930">
        <v>0.90180000000000005</v>
      </c>
      <c r="H222" s="930">
        <v>0.90180000000000005</v>
      </c>
      <c r="I222" s="930">
        <v>0.75129999999999997</v>
      </c>
      <c r="J222" s="930">
        <v>0.75129999999999997</v>
      </c>
      <c r="K222" s="930">
        <v>0.75129999999999997</v>
      </c>
      <c r="L222" s="930">
        <v>0.75129999999999997</v>
      </c>
      <c r="M222" s="930">
        <v>0.75129999999999997</v>
      </c>
    </row>
    <row r="223" spans="1:13">
      <c r="A223" s="921">
        <v>4.5999999999999996</v>
      </c>
      <c r="B223" s="930">
        <v>0.91600000000000004</v>
      </c>
      <c r="C223" s="930">
        <v>0.91600000000000004</v>
      </c>
      <c r="D223" s="930">
        <v>0.8992</v>
      </c>
      <c r="E223" s="930">
        <v>0.8992</v>
      </c>
      <c r="F223" s="930">
        <v>0.8992</v>
      </c>
      <c r="G223" s="930">
        <v>0.8992</v>
      </c>
      <c r="H223" s="930">
        <v>0.8992</v>
      </c>
      <c r="I223" s="930">
        <v>0.748</v>
      </c>
      <c r="J223" s="930">
        <v>0.748</v>
      </c>
      <c r="K223" s="930">
        <v>0.748</v>
      </c>
      <c r="L223" s="930">
        <v>0.748</v>
      </c>
      <c r="M223" s="930">
        <v>0.748</v>
      </c>
    </row>
    <row r="224" spans="1:13">
      <c r="A224" s="921">
        <v>4.7</v>
      </c>
      <c r="B224" s="930">
        <v>0.91390000000000005</v>
      </c>
      <c r="C224" s="930">
        <v>0.91390000000000005</v>
      </c>
      <c r="D224" s="930">
        <v>0.89659999999999995</v>
      </c>
      <c r="E224" s="930">
        <v>0.89659999999999995</v>
      </c>
      <c r="F224" s="930">
        <v>0.89659999999999995</v>
      </c>
      <c r="G224" s="930">
        <v>0.89659999999999995</v>
      </c>
      <c r="H224" s="930">
        <v>0.89659999999999995</v>
      </c>
      <c r="I224" s="930">
        <v>0.74480000000000002</v>
      </c>
      <c r="J224" s="930">
        <v>0.74480000000000002</v>
      </c>
      <c r="K224" s="930">
        <v>0.74480000000000002</v>
      </c>
      <c r="L224" s="930">
        <v>0.74480000000000002</v>
      </c>
      <c r="M224" s="930">
        <v>0.74480000000000002</v>
      </c>
    </row>
    <row r="225" spans="1:13">
      <c r="A225" s="921">
        <v>4.8</v>
      </c>
      <c r="B225" s="930">
        <v>0.91180000000000005</v>
      </c>
      <c r="C225" s="930">
        <v>0.91180000000000005</v>
      </c>
      <c r="D225" s="930">
        <v>0.89410000000000001</v>
      </c>
      <c r="E225" s="930">
        <v>0.89410000000000001</v>
      </c>
      <c r="F225" s="930">
        <v>0.89410000000000001</v>
      </c>
      <c r="G225" s="930">
        <v>0.89410000000000001</v>
      </c>
      <c r="H225" s="930">
        <v>0.89410000000000001</v>
      </c>
      <c r="I225" s="930">
        <v>0.74160000000000004</v>
      </c>
      <c r="J225" s="930">
        <v>0.74160000000000004</v>
      </c>
      <c r="K225" s="930">
        <v>0.74160000000000004</v>
      </c>
      <c r="L225" s="930">
        <v>0.74160000000000004</v>
      </c>
      <c r="M225" s="930">
        <v>0.74160000000000004</v>
      </c>
    </row>
    <row r="226" spans="1:13">
      <c r="A226" s="921">
        <v>4.9000000000000004</v>
      </c>
      <c r="B226" s="930">
        <v>0.90980000000000005</v>
      </c>
      <c r="C226" s="930">
        <v>0.90980000000000005</v>
      </c>
      <c r="D226" s="930">
        <v>0.89159999999999995</v>
      </c>
      <c r="E226" s="930">
        <v>0.89159999999999995</v>
      </c>
      <c r="F226" s="930">
        <v>0.89159999999999995</v>
      </c>
      <c r="G226" s="930">
        <v>0.89159999999999995</v>
      </c>
      <c r="H226" s="930">
        <v>0.89159999999999995</v>
      </c>
      <c r="I226" s="930">
        <v>0.73839999999999995</v>
      </c>
      <c r="J226" s="930">
        <v>0.73839999999999995</v>
      </c>
      <c r="K226" s="930">
        <v>0.73839999999999995</v>
      </c>
      <c r="L226" s="930">
        <v>0.73839999999999995</v>
      </c>
      <c r="M226" s="930">
        <v>0.73839999999999995</v>
      </c>
    </row>
    <row r="227" spans="1:13">
      <c r="A227" s="937">
        <v>5</v>
      </c>
      <c r="B227" s="930">
        <v>0.90780000000000005</v>
      </c>
      <c r="C227" s="930">
        <v>0.90780000000000005</v>
      </c>
      <c r="D227" s="930">
        <v>0.8891</v>
      </c>
      <c r="E227" s="930">
        <v>0.8891</v>
      </c>
      <c r="F227" s="930">
        <v>0.8891</v>
      </c>
      <c r="G227" s="930">
        <v>0.8891</v>
      </c>
      <c r="H227" s="930">
        <v>0.8891</v>
      </c>
      <c r="I227" s="930">
        <v>0.73529999999999995</v>
      </c>
      <c r="J227" s="930">
        <v>0.73529999999999995</v>
      </c>
      <c r="K227" s="930">
        <v>0.73529999999999995</v>
      </c>
      <c r="L227" s="930">
        <v>0.73529999999999995</v>
      </c>
      <c r="M227" s="930">
        <v>0.73529999999999995</v>
      </c>
    </row>
    <row r="228" spans="1:13">
      <c r="A228" s="937">
        <v>5.0999999999999996</v>
      </c>
      <c r="B228" s="930">
        <v>0.90580000000000005</v>
      </c>
      <c r="C228" s="930">
        <v>0.90580000000000005</v>
      </c>
      <c r="D228" s="930">
        <v>0.88670000000000004</v>
      </c>
      <c r="E228" s="930">
        <v>0.88670000000000004</v>
      </c>
      <c r="F228" s="930">
        <v>0.88670000000000004</v>
      </c>
      <c r="G228" s="930">
        <v>0.88670000000000004</v>
      </c>
      <c r="H228" s="930">
        <v>0.88670000000000004</v>
      </c>
      <c r="I228" s="930">
        <v>0.73219999999999996</v>
      </c>
      <c r="J228" s="930">
        <v>0.73219999999999996</v>
      </c>
      <c r="K228" s="930">
        <v>0.73219999999999996</v>
      </c>
      <c r="L228" s="930">
        <v>0.73219999999999996</v>
      </c>
      <c r="M228" s="930">
        <v>0.73219999999999996</v>
      </c>
    </row>
    <row r="229" spans="1:13">
      <c r="A229" s="937">
        <v>5.2</v>
      </c>
      <c r="B229" s="930">
        <v>0.90380000000000005</v>
      </c>
      <c r="C229" s="930">
        <v>0.90380000000000005</v>
      </c>
      <c r="D229" s="930">
        <v>0.88429999999999997</v>
      </c>
      <c r="E229" s="930">
        <v>0.88429999999999997</v>
      </c>
      <c r="F229" s="930">
        <v>0.88429999999999997</v>
      </c>
      <c r="G229" s="930">
        <v>0.88429999999999997</v>
      </c>
      <c r="H229" s="930">
        <v>0.88429999999999997</v>
      </c>
      <c r="I229" s="930">
        <v>0.72909999999999997</v>
      </c>
      <c r="J229" s="930">
        <v>0.72909999999999997</v>
      </c>
      <c r="K229" s="930">
        <v>0.72909999999999997</v>
      </c>
      <c r="L229" s="930">
        <v>0.72909999999999997</v>
      </c>
      <c r="M229" s="930">
        <v>0.72909999999999997</v>
      </c>
    </row>
    <row r="230" spans="1:13">
      <c r="A230" s="937">
        <v>5.3</v>
      </c>
      <c r="B230" s="930">
        <v>0.90190000000000003</v>
      </c>
      <c r="C230" s="930">
        <v>0.90190000000000003</v>
      </c>
      <c r="D230" s="930">
        <v>0.88190000000000002</v>
      </c>
      <c r="E230" s="930">
        <v>0.88190000000000002</v>
      </c>
      <c r="F230" s="930">
        <v>0.88190000000000002</v>
      </c>
      <c r="G230" s="930">
        <v>0.88190000000000002</v>
      </c>
      <c r="H230" s="930">
        <v>0.88190000000000002</v>
      </c>
      <c r="I230" s="930">
        <v>0.72609999999999997</v>
      </c>
      <c r="J230" s="930">
        <v>0.72609999999999997</v>
      </c>
      <c r="K230" s="930">
        <v>0.72609999999999997</v>
      </c>
      <c r="L230" s="930">
        <v>0.72609999999999997</v>
      </c>
      <c r="M230" s="930">
        <v>0.72609999999999997</v>
      </c>
    </row>
    <row r="231" spans="1:13">
      <c r="A231" s="937">
        <v>5.4</v>
      </c>
      <c r="B231" s="930">
        <v>0.9</v>
      </c>
      <c r="C231" s="930">
        <v>0.9</v>
      </c>
      <c r="D231" s="930">
        <v>0.87949999999999995</v>
      </c>
      <c r="E231" s="930">
        <v>0.87949999999999995</v>
      </c>
      <c r="F231" s="930">
        <v>0.87949999999999995</v>
      </c>
      <c r="G231" s="930">
        <v>0.87949999999999995</v>
      </c>
      <c r="H231" s="930">
        <v>0.87949999999999995</v>
      </c>
      <c r="I231" s="930">
        <v>0.72309999999999997</v>
      </c>
      <c r="J231" s="930">
        <v>0.72309999999999997</v>
      </c>
      <c r="K231" s="930">
        <v>0.72309999999999997</v>
      </c>
      <c r="L231" s="930">
        <v>0.72309999999999997</v>
      </c>
      <c r="M231" s="930">
        <v>0.72309999999999997</v>
      </c>
    </row>
    <row r="232" spans="1:13">
      <c r="A232" s="937">
        <v>5.5</v>
      </c>
      <c r="B232" s="930">
        <v>0.89810000000000001</v>
      </c>
      <c r="C232" s="930">
        <v>0.89810000000000001</v>
      </c>
      <c r="D232" s="930">
        <v>0.87719999999999998</v>
      </c>
      <c r="E232" s="930">
        <v>0.87719999999999998</v>
      </c>
      <c r="F232" s="930">
        <v>0.87719999999999998</v>
      </c>
      <c r="G232" s="930">
        <v>0.87719999999999998</v>
      </c>
      <c r="H232" s="930">
        <v>0.87719999999999998</v>
      </c>
      <c r="I232" s="930">
        <v>0.72009999999999996</v>
      </c>
      <c r="J232" s="930">
        <v>0.72009999999999996</v>
      </c>
      <c r="K232" s="930">
        <v>0.72009999999999996</v>
      </c>
      <c r="L232" s="930">
        <v>0.72009999999999996</v>
      </c>
      <c r="M232" s="930">
        <v>0.72009999999999996</v>
      </c>
    </row>
    <row r="233" spans="1:13">
      <c r="A233" s="937">
        <v>5.6</v>
      </c>
      <c r="B233" s="930">
        <v>0.8962</v>
      </c>
      <c r="C233" s="930">
        <v>0.8962</v>
      </c>
      <c r="D233" s="930">
        <v>0.87490000000000001</v>
      </c>
      <c r="E233" s="930">
        <v>0.87490000000000001</v>
      </c>
      <c r="F233" s="930">
        <v>0.87490000000000001</v>
      </c>
      <c r="G233" s="930">
        <v>0.87490000000000001</v>
      </c>
      <c r="H233" s="930">
        <v>0.87490000000000001</v>
      </c>
      <c r="I233" s="930">
        <v>0.71709999999999996</v>
      </c>
      <c r="J233" s="930">
        <v>0.71709999999999996</v>
      </c>
      <c r="K233" s="930">
        <v>0.71709999999999996</v>
      </c>
      <c r="L233" s="930">
        <v>0.71709999999999996</v>
      </c>
      <c r="M233" s="930">
        <v>0.71709999999999996</v>
      </c>
    </row>
    <row r="234" spans="1:13">
      <c r="A234" s="937">
        <v>5.7</v>
      </c>
      <c r="B234" s="930">
        <v>0.89429999999999998</v>
      </c>
      <c r="C234" s="930">
        <v>0.89429999999999998</v>
      </c>
      <c r="D234" s="930">
        <v>0.87260000000000004</v>
      </c>
      <c r="E234" s="930">
        <v>0.87260000000000004</v>
      </c>
      <c r="F234" s="930">
        <v>0.87260000000000004</v>
      </c>
      <c r="G234" s="930">
        <v>0.87260000000000004</v>
      </c>
      <c r="H234" s="930">
        <v>0.87260000000000004</v>
      </c>
      <c r="I234" s="930">
        <v>0.71419999999999995</v>
      </c>
      <c r="J234" s="930">
        <v>0.71419999999999995</v>
      </c>
      <c r="K234" s="930">
        <v>0.71419999999999995</v>
      </c>
      <c r="L234" s="930">
        <v>0.71419999999999995</v>
      </c>
      <c r="M234" s="930">
        <v>0.71419999999999995</v>
      </c>
    </row>
    <row r="235" spans="1:13">
      <c r="A235" s="937">
        <v>5.8</v>
      </c>
      <c r="B235" s="930">
        <v>0.89249999999999996</v>
      </c>
      <c r="C235" s="930">
        <v>0.89249999999999996</v>
      </c>
      <c r="D235" s="930">
        <v>0.87029999999999996</v>
      </c>
      <c r="E235" s="930">
        <v>0.87029999999999996</v>
      </c>
      <c r="F235" s="930">
        <v>0.87029999999999996</v>
      </c>
      <c r="G235" s="930">
        <v>0.87029999999999996</v>
      </c>
      <c r="H235" s="930">
        <v>0.87029999999999996</v>
      </c>
      <c r="I235" s="930">
        <v>0.71130000000000004</v>
      </c>
      <c r="J235" s="930">
        <v>0.71130000000000004</v>
      </c>
      <c r="K235" s="930">
        <v>0.71130000000000004</v>
      </c>
      <c r="L235" s="930">
        <v>0.71130000000000004</v>
      </c>
      <c r="M235" s="930">
        <v>0.71130000000000004</v>
      </c>
    </row>
    <row r="236" spans="1:13">
      <c r="A236" s="937">
        <v>5.9</v>
      </c>
      <c r="B236" s="930">
        <v>0.89070000000000005</v>
      </c>
      <c r="C236" s="930">
        <v>0.89070000000000005</v>
      </c>
      <c r="D236" s="930">
        <v>0.86799999999999999</v>
      </c>
      <c r="E236" s="930">
        <v>0.86799999999999999</v>
      </c>
      <c r="F236" s="930">
        <v>0.86799999999999999</v>
      </c>
      <c r="G236" s="930">
        <v>0.86799999999999999</v>
      </c>
      <c r="H236" s="930">
        <v>0.86799999999999999</v>
      </c>
      <c r="I236" s="930">
        <v>0.70840000000000003</v>
      </c>
      <c r="J236" s="930">
        <v>0.70840000000000003</v>
      </c>
      <c r="K236" s="930">
        <v>0.70840000000000003</v>
      </c>
      <c r="L236" s="930">
        <v>0.70840000000000003</v>
      </c>
      <c r="M236" s="930">
        <v>0.70840000000000003</v>
      </c>
    </row>
    <row r="237" spans="1:13">
      <c r="A237" s="937">
        <v>6</v>
      </c>
      <c r="B237" s="930">
        <v>0.88890000000000002</v>
      </c>
      <c r="C237" s="930">
        <v>0.88890000000000002</v>
      </c>
      <c r="D237" s="930">
        <v>0.86580000000000001</v>
      </c>
      <c r="E237" s="930">
        <v>0.86580000000000001</v>
      </c>
      <c r="F237" s="930">
        <v>0.86580000000000001</v>
      </c>
      <c r="G237" s="930">
        <v>0.86580000000000001</v>
      </c>
      <c r="H237" s="930">
        <v>0.86580000000000001</v>
      </c>
      <c r="I237" s="930">
        <v>0.70550000000000002</v>
      </c>
      <c r="J237" s="930">
        <v>0.70550000000000002</v>
      </c>
      <c r="K237" s="930">
        <v>0.70550000000000002</v>
      </c>
      <c r="L237" s="930">
        <v>0.70550000000000002</v>
      </c>
      <c r="M237" s="930">
        <v>0.70550000000000002</v>
      </c>
    </row>
    <row r="238" spans="1:13">
      <c r="A238" s="937">
        <v>6.1</v>
      </c>
      <c r="B238" s="930">
        <v>0.8871</v>
      </c>
      <c r="C238" s="930">
        <v>0.8871</v>
      </c>
      <c r="D238" s="930">
        <v>0.86360000000000003</v>
      </c>
      <c r="E238" s="930">
        <v>0.86360000000000003</v>
      </c>
      <c r="F238" s="930">
        <v>0.86360000000000003</v>
      </c>
      <c r="G238" s="930">
        <v>0.86360000000000003</v>
      </c>
      <c r="H238" s="930">
        <v>0.86360000000000003</v>
      </c>
      <c r="I238" s="930">
        <v>0.70269999999999999</v>
      </c>
      <c r="J238" s="930">
        <v>0.70269999999999999</v>
      </c>
      <c r="K238" s="930">
        <v>0.70269999999999999</v>
      </c>
      <c r="L238" s="930">
        <v>0.70269999999999999</v>
      </c>
      <c r="M238" s="930">
        <v>0.70269999999999999</v>
      </c>
    </row>
    <row r="239" spans="1:13">
      <c r="A239" s="937">
        <v>6.2</v>
      </c>
      <c r="B239" s="930">
        <v>0.88529999999999998</v>
      </c>
      <c r="C239" s="930">
        <v>0.88529999999999998</v>
      </c>
      <c r="D239" s="930">
        <v>0.86140000000000005</v>
      </c>
      <c r="E239" s="930">
        <v>0.86140000000000005</v>
      </c>
      <c r="F239" s="930">
        <v>0.86140000000000005</v>
      </c>
      <c r="G239" s="930">
        <v>0.86140000000000005</v>
      </c>
      <c r="H239" s="930">
        <v>0.86140000000000005</v>
      </c>
      <c r="I239" s="930">
        <v>0.69989999999999997</v>
      </c>
      <c r="J239" s="930">
        <v>0.69989999999999997</v>
      </c>
      <c r="K239" s="930">
        <v>0.69989999999999997</v>
      </c>
      <c r="L239" s="930">
        <v>0.69989999999999997</v>
      </c>
      <c r="M239" s="930">
        <v>0.69989999999999997</v>
      </c>
    </row>
    <row r="240" spans="1:13">
      <c r="A240" s="937">
        <v>6.3</v>
      </c>
      <c r="B240" s="930">
        <v>0.88349999999999995</v>
      </c>
      <c r="C240" s="930">
        <v>0.88349999999999995</v>
      </c>
      <c r="D240" s="930">
        <v>0.85919999999999996</v>
      </c>
      <c r="E240" s="930">
        <v>0.85919999999999996</v>
      </c>
      <c r="F240" s="930">
        <v>0.85919999999999996</v>
      </c>
      <c r="G240" s="930">
        <v>0.85919999999999996</v>
      </c>
      <c r="H240" s="930">
        <v>0.85919999999999996</v>
      </c>
      <c r="I240" s="930">
        <v>0.69710000000000005</v>
      </c>
      <c r="J240" s="930">
        <v>0.69710000000000005</v>
      </c>
      <c r="K240" s="930">
        <v>0.69710000000000005</v>
      </c>
      <c r="L240" s="930">
        <v>0.69710000000000005</v>
      </c>
      <c r="M240" s="930">
        <v>0.69710000000000005</v>
      </c>
    </row>
    <row r="241" spans="1:13">
      <c r="A241" s="937">
        <v>6.4</v>
      </c>
      <c r="B241" s="930">
        <v>0.88180000000000003</v>
      </c>
      <c r="C241" s="930">
        <v>0.88180000000000003</v>
      </c>
      <c r="D241" s="930">
        <v>0.85699999999999998</v>
      </c>
      <c r="E241" s="930">
        <v>0.85699999999999998</v>
      </c>
      <c r="F241" s="930">
        <v>0.85699999999999998</v>
      </c>
      <c r="G241" s="930">
        <v>0.85699999999999998</v>
      </c>
      <c r="H241" s="930">
        <v>0.85699999999999998</v>
      </c>
      <c r="I241" s="930">
        <v>0.69430000000000003</v>
      </c>
      <c r="J241" s="930">
        <v>0.69430000000000003</v>
      </c>
      <c r="K241" s="930">
        <v>0.69430000000000003</v>
      </c>
      <c r="L241" s="930">
        <v>0.69430000000000003</v>
      </c>
      <c r="M241" s="930">
        <v>0.69430000000000003</v>
      </c>
    </row>
    <row r="242" spans="1:13">
      <c r="A242" s="937">
        <v>6.5</v>
      </c>
      <c r="B242" s="930">
        <v>0.88009999999999999</v>
      </c>
      <c r="C242" s="930">
        <v>0.88009999999999999</v>
      </c>
      <c r="D242" s="930">
        <v>0.85489999999999999</v>
      </c>
      <c r="E242" s="930">
        <v>0.85489999999999999</v>
      </c>
      <c r="F242" s="930">
        <v>0.85489999999999999</v>
      </c>
      <c r="G242" s="930">
        <v>0.85489999999999999</v>
      </c>
      <c r="H242" s="930">
        <v>0.85489999999999999</v>
      </c>
      <c r="I242" s="930">
        <v>0.69159999999999999</v>
      </c>
      <c r="J242" s="930">
        <v>0.69159999999999999</v>
      </c>
      <c r="K242" s="930">
        <v>0.69159999999999999</v>
      </c>
      <c r="L242" s="930">
        <v>0.69159999999999999</v>
      </c>
      <c r="M242" s="930">
        <v>0.69159999999999999</v>
      </c>
    </row>
    <row r="243" spans="1:13">
      <c r="A243" s="937">
        <v>6.6</v>
      </c>
      <c r="B243" s="930">
        <v>0.87839999999999996</v>
      </c>
      <c r="C243" s="930">
        <v>0.87839999999999996</v>
      </c>
      <c r="D243" s="930">
        <v>0.8528</v>
      </c>
      <c r="E243" s="930">
        <v>0.8528</v>
      </c>
      <c r="F243" s="930">
        <v>0.8528</v>
      </c>
      <c r="G243" s="930">
        <v>0.8528</v>
      </c>
      <c r="H243" s="930">
        <v>0.8528</v>
      </c>
      <c r="I243" s="930">
        <v>0.68889999999999996</v>
      </c>
      <c r="J243" s="930">
        <v>0.68889999999999996</v>
      </c>
      <c r="K243" s="930">
        <v>0.68889999999999996</v>
      </c>
      <c r="L243" s="930">
        <v>0.68889999999999996</v>
      </c>
      <c r="M243" s="930">
        <v>0.68889999999999996</v>
      </c>
    </row>
    <row r="244" spans="1:13">
      <c r="A244" s="937">
        <v>6.7</v>
      </c>
      <c r="B244" s="930">
        <v>0.87670000000000003</v>
      </c>
      <c r="C244" s="930">
        <v>0.87670000000000003</v>
      </c>
      <c r="D244" s="930">
        <v>0.85070000000000001</v>
      </c>
      <c r="E244" s="930">
        <v>0.85070000000000001</v>
      </c>
      <c r="F244" s="930">
        <v>0.85070000000000001</v>
      </c>
      <c r="G244" s="930">
        <v>0.85070000000000001</v>
      </c>
      <c r="H244" s="930">
        <v>0.85070000000000001</v>
      </c>
      <c r="I244" s="930">
        <v>0.68620000000000003</v>
      </c>
      <c r="J244" s="930">
        <v>0.68620000000000003</v>
      </c>
      <c r="K244" s="930">
        <v>0.68620000000000003</v>
      </c>
      <c r="L244" s="930">
        <v>0.68620000000000003</v>
      </c>
      <c r="M244" s="930">
        <v>0.68620000000000003</v>
      </c>
    </row>
    <row r="245" spans="1:13">
      <c r="A245" s="937">
        <v>6.8</v>
      </c>
      <c r="B245" s="930">
        <v>0.875</v>
      </c>
      <c r="C245" s="930">
        <v>0.875</v>
      </c>
      <c r="D245" s="930">
        <v>0.84860000000000002</v>
      </c>
      <c r="E245" s="930">
        <v>0.84860000000000002</v>
      </c>
      <c r="F245" s="930">
        <v>0.84860000000000002</v>
      </c>
      <c r="G245" s="930">
        <v>0.84860000000000002</v>
      </c>
      <c r="H245" s="930">
        <v>0.84860000000000002</v>
      </c>
      <c r="I245" s="930">
        <v>0.6835</v>
      </c>
      <c r="J245" s="930">
        <v>0.6835</v>
      </c>
      <c r="K245" s="930">
        <v>0.6835</v>
      </c>
      <c r="L245" s="930">
        <v>0.6835</v>
      </c>
      <c r="M245" s="930">
        <v>0.6835</v>
      </c>
    </row>
    <row r="246" spans="1:13">
      <c r="A246" s="937">
        <v>6.9</v>
      </c>
      <c r="B246" s="930">
        <v>0.87329999999999997</v>
      </c>
      <c r="C246" s="930">
        <v>0.87329999999999997</v>
      </c>
      <c r="D246" s="930">
        <v>0.84650000000000003</v>
      </c>
      <c r="E246" s="930">
        <v>0.84650000000000003</v>
      </c>
      <c r="F246" s="930">
        <v>0.84650000000000003</v>
      </c>
      <c r="G246" s="930">
        <v>0.84650000000000003</v>
      </c>
      <c r="H246" s="930">
        <v>0.84650000000000003</v>
      </c>
      <c r="I246" s="930">
        <v>0.68089999999999995</v>
      </c>
      <c r="J246" s="930">
        <v>0.68089999999999995</v>
      </c>
      <c r="K246" s="930">
        <v>0.68089999999999995</v>
      </c>
      <c r="L246" s="930">
        <v>0.68089999999999995</v>
      </c>
      <c r="M246" s="930">
        <v>0.68089999999999995</v>
      </c>
    </row>
    <row r="247" spans="1:13">
      <c r="A247" s="937">
        <v>7</v>
      </c>
      <c r="B247" s="930">
        <v>0.87170000000000003</v>
      </c>
      <c r="C247" s="930">
        <v>0.87170000000000003</v>
      </c>
      <c r="D247" s="930">
        <v>0.84450000000000003</v>
      </c>
      <c r="E247" s="930">
        <v>0.84450000000000003</v>
      </c>
      <c r="F247" s="930">
        <v>0.84450000000000003</v>
      </c>
      <c r="G247" s="930">
        <v>0.84450000000000003</v>
      </c>
      <c r="H247" s="930">
        <v>0.84450000000000003</v>
      </c>
      <c r="I247" s="930">
        <v>0.67830000000000001</v>
      </c>
      <c r="J247" s="930">
        <v>0.67830000000000001</v>
      </c>
      <c r="K247" s="930">
        <v>0.67830000000000001</v>
      </c>
      <c r="L247" s="930">
        <v>0.67830000000000001</v>
      </c>
      <c r="M247" s="930">
        <v>0.67830000000000001</v>
      </c>
    </row>
    <row r="248" spans="1:13">
      <c r="A248" s="937">
        <v>7.1</v>
      </c>
      <c r="B248" s="930">
        <v>0.87009999999999998</v>
      </c>
      <c r="C248" s="930">
        <v>0.87009999999999998</v>
      </c>
      <c r="D248" s="930">
        <v>0.84250000000000003</v>
      </c>
      <c r="E248" s="930">
        <v>0.84250000000000003</v>
      </c>
      <c r="F248" s="930">
        <v>0.84250000000000003</v>
      </c>
      <c r="G248" s="930">
        <v>0.84250000000000003</v>
      </c>
      <c r="H248" s="930">
        <v>0.84250000000000003</v>
      </c>
      <c r="I248" s="930">
        <v>0.67569999999999997</v>
      </c>
      <c r="J248" s="930">
        <v>0.67569999999999997</v>
      </c>
      <c r="K248" s="930">
        <v>0.67569999999999997</v>
      </c>
      <c r="L248" s="930">
        <v>0.67569999999999997</v>
      </c>
      <c r="M248" s="930">
        <v>0.67569999999999997</v>
      </c>
    </row>
    <row r="249" spans="1:13">
      <c r="A249" s="937">
        <v>7.2</v>
      </c>
      <c r="B249" s="930">
        <v>0.86850000000000005</v>
      </c>
      <c r="C249" s="930">
        <v>0.86850000000000005</v>
      </c>
      <c r="D249" s="930">
        <v>0.84050000000000002</v>
      </c>
      <c r="E249" s="930">
        <v>0.84050000000000002</v>
      </c>
      <c r="F249" s="930">
        <v>0.84050000000000002</v>
      </c>
      <c r="G249" s="930">
        <v>0.84050000000000002</v>
      </c>
      <c r="H249" s="930">
        <v>0.84050000000000002</v>
      </c>
      <c r="I249" s="930">
        <v>0.67310000000000003</v>
      </c>
      <c r="J249" s="930">
        <v>0.67310000000000003</v>
      </c>
      <c r="K249" s="930">
        <v>0.67310000000000003</v>
      </c>
      <c r="L249" s="930">
        <v>0.67310000000000003</v>
      </c>
      <c r="M249" s="930">
        <v>0.67310000000000003</v>
      </c>
    </row>
    <row r="250" spans="1:13">
      <c r="A250" s="937">
        <v>7.3</v>
      </c>
      <c r="B250" s="930">
        <v>0.8669</v>
      </c>
      <c r="C250" s="930">
        <v>0.8669</v>
      </c>
      <c r="D250" s="930">
        <v>0.83850000000000002</v>
      </c>
      <c r="E250" s="930">
        <v>0.83850000000000002</v>
      </c>
      <c r="F250" s="930">
        <v>0.83850000000000002</v>
      </c>
      <c r="G250" s="930">
        <v>0.83850000000000002</v>
      </c>
      <c r="H250" s="930">
        <v>0.83850000000000002</v>
      </c>
      <c r="I250" s="930">
        <v>0.67059999999999997</v>
      </c>
      <c r="J250" s="930">
        <v>0.67059999999999997</v>
      </c>
      <c r="K250" s="930">
        <v>0.67059999999999997</v>
      </c>
      <c r="L250" s="930">
        <v>0.67059999999999997</v>
      </c>
      <c r="M250" s="930">
        <v>0.67059999999999997</v>
      </c>
    </row>
    <row r="251" spans="1:13">
      <c r="A251" s="937">
        <v>7.4</v>
      </c>
      <c r="B251" s="930">
        <v>0.86529999999999996</v>
      </c>
      <c r="C251" s="930">
        <v>0.86529999999999996</v>
      </c>
      <c r="D251" s="930">
        <v>0.83650000000000002</v>
      </c>
      <c r="E251" s="930">
        <v>0.83650000000000002</v>
      </c>
      <c r="F251" s="930">
        <v>0.83650000000000002</v>
      </c>
      <c r="G251" s="930">
        <v>0.83650000000000002</v>
      </c>
      <c r="H251" s="930">
        <v>0.83650000000000002</v>
      </c>
      <c r="I251" s="930">
        <v>0.66810000000000003</v>
      </c>
      <c r="J251" s="930">
        <v>0.66810000000000003</v>
      </c>
      <c r="K251" s="930">
        <v>0.66810000000000003</v>
      </c>
      <c r="L251" s="930">
        <v>0.66810000000000003</v>
      </c>
      <c r="M251" s="930">
        <v>0.66810000000000003</v>
      </c>
    </row>
    <row r="252" spans="1:13">
      <c r="A252" s="937">
        <v>7.5</v>
      </c>
      <c r="B252" s="930">
        <v>0.86370000000000002</v>
      </c>
      <c r="C252" s="930">
        <v>0.86370000000000002</v>
      </c>
      <c r="D252" s="930">
        <v>0.83460000000000001</v>
      </c>
      <c r="E252" s="930">
        <v>0.83460000000000001</v>
      </c>
      <c r="F252" s="930">
        <v>0.83460000000000001</v>
      </c>
      <c r="G252" s="930">
        <v>0.83460000000000001</v>
      </c>
      <c r="H252" s="930">
        <v>0.83460000000000001</v>
      </c>
      <c r="I252" s="930">
        <v>0.66559999999999997</v>
      </c>
      <c r="J252" s="930">
        <v>0.66559999999999997</v>
      </c>
      <c r="K252" s="930">
        <v>0.66559999999999997</v>
      </c>
      <c r="L252" s="930">
        <v>0.66559999999999997</v>
      </c>
      <c r="M252" s="930">
        <v>0.66559999999999997</v>
      </c>
    </row>
    <row r="253" spans="1:13">
      <c r="A253" s="937">
        <v>7.6</v>
      </c>
      <c r="B253" s="930">
        <v>0.86219999999999997</v>
      </c>
      <c r="C253" s="930">
        <v>0.86219999999999997</v>
      </c>
      <c r="D253" s="930">
        <v>0.8327</v>
      </c>
      <c r="E253" s="930">
        <v>0.8327</v>
      </c>
      <c r="F253" s="930">
        <v>0.8327</v>
      </c>
      <c r="G253" s="930">
        <v>0.8327</v>
      </c>
      <c r="H253" s="930">
        <v>0.8327</v>
      </c>
      <c r="I253" s="930">
        <v>0.66310000000000002</v>
      </c>
      <c r="J253" s="930">
        <v>0.66310000000000002</v>
      </c>
      <c r="K253" s="930">
        <v>0.66310000000000002</v>
      </c>
      <c r="L253" s="930">
        <v>0.66310000000000002</v>
      </c>
      <c r="M253" s="930">
        <v>0.66310000000000002</v>
      </c>
    </row>
    <row r="254" spans="1:13">
      <c r="A254" s="937">
        <v>7.7</v>
      </c>
      <c r="B254" s="930">
        <v>0.86070000000000002</v>
      </c>
      <c r="C254" s="930">
        <v>0.86070000000000002</v>
      </c>
      <c r="D254" s="930">
        <v>0.83079999999999998</v>
      </c>
      <c r="E254" s="930">
        <v>0.83079999999999998</v>
      </c>
      <c r="F254" s="930">
        <v>0.83079999999999998</v>
      </c>
      <c r="G254" s="930">
        <v>0.83079999999999998</v>
      </c>
      <c r="H254" s="930">
        <v>0.83079999999999998</v>
      </c>
      <c r="I254" s="930">
        <v>0.66069999999999995</v>
      </c>
      <c r="J254" s="930">
        <v>0.66069999999999995</v>
      </c>
      <c r="K254" s="930">
        <v>0.66069999999999995</v>
      </c>
      <c r="L254" s="930">
        <v>0.66069999999999995</v>
      </c>
      <c r="M254" s="930">
        <v>0.66069999999999995</v>
      </c>
    </row>
    <row r="255" spans="1:13">
      <c r="A255" s="937">
        <v>7.8</v>
      </c>
      <c r="B255" s="930">
        <v>0.85919999999999996</v>
      </c>
      <c r="C255" s="930">
        <v>0.85919999999999996</v>
      </c>
      <c r="D255" s="930">
        <v>0.82889999999999997</v>
      </c>
      <c r="E255" s="930">
        <v>0.82889999999999997</v>
      </c>
      <c r="F255" s="930">
        <v>0.82889999999999997</v>
      </c>
      <c r="G255" s="930">
        <v>0.82889999999999997</v>
      </c>
      <c r="H255" s="930">
        <v>0.82889999999999997</v>
      </c>
      <c r="I255" s="930">
        <v>0.6583</v>
      </c>
      <c r="J255" s="930">
        <v>0.6583</v>
      </c>
      <c r="K255" s="930">
        <v>0.6583</v>
      </c>
      <c r="L255" s="930">
        <v>0.6583</v>
      </c>
      <c r="M255" s="930">
        <v>0.6583</v>
      </c>
    </row>
    <row r="256" spans="1:13">
      <c r="A256" s="937">
        <v>7.9</v>
      </c>
      <c r="B256" s="930">
        <v>0.85770000000000002</v>
      </c>
      <c r="C256" s="930">
        <v>0.85770000000000002</v>
      </c>
      <c r="D256" s="930">
        <v>0.82699999999999996</v>
      </c>
      <c r="E256" s="930">
        <v>0.82699999999999996</v>
      </c>
      <c r="F256" s="930">
        <v>0.82699999999999996</v>
      </c>
      <c r="G256" s="930">
        <v>0.82699999999999996</v>
      </c>
      <c r="H256" s="930">
        <v>0.82699999999999996</v>
      </c>
      <c r="I256" s="930">
        <v>0.65590000000000004</v>
      </c>
      <c r="J256" s="930">
        <v>0.65590000000000004</v>
      </c>
      <c r="K256" s="930">
        <v>0.65590000000000004</v>
      </c>
      <c r="L256" s="930">
        <v>0.65590000000000004</v>
      </c>
      <c r="M256" s="930">
        <v>0.65590000000000004</v>
      </c>
    </row>
    <row r="257" spans="1:13">
      <c r="A257" s="921">
        <v>8</v>
      </c>
      <c r="B257" s="930">
        <v>0.85619999999999996</v>
      </c>
      <c r="C257" s="930">
        <v>0.85619999999999996</v>
      </c>
      <c r="D257" s="930">
        <v>0.82509999999999994</v>
      </c>
      <c r="E257" s="930">
        <v>0.82509999999999994</v>
      </c>
      <c r="F257" s="930">
        <v>0.82509999999999994</v>
      </c>
      <c r="G257" s="930">
        <v>0.82509999999999994</v>
      </c>
      <c r="H257" s="930">
        <v>0.82509999999999994</v>
      </c>
      <c r="I257" s="930">
        <v>0.65349999999999997</v>
      </c>
      <c r="J257" s="930">
        <v>0.65349999999999997</v>
      </c>
      <c r="K257" s="930">
        <v>0.65349999999999997</v>
      </c>
      <c r="L257" s="930">
        <v>0.65349999999999997</v>
      </c>
      <c r="M257" s="930">
        <v>0.65349999999999997</v>
      </c>
    </row>
    <row r="258" spans="1:13">
      <c r="A258" s="921">
        <v>8.1</v>
      </c>
      <c r="B258" s="930">
        <v>0.85470000000000002</v>
      </c>
      <c r="C258" s="930">
        <v>0.85470000000000002</v>
      </c>
      <c r="D258" s="930">
        <v>0.82330000000000003</v>
      </c>
      <c r="E258" s="930">
        <v>0.82330000000000003</v>
      </c>
      <c r="F258" s="930">
        <v>0.82330000000000003</v>
      </c>
      <c r="G258" s="930">
        <v>0.82330000000000003</v>
      </c>
      <c r="H258" s="930">
        <v>0.82330000000000003</v>
      </c>
      <c r="I258" s="930">
        <v>0.6512</v>
      </c>
      <c r="J258" s="930">
        <v>0.6512</v>
      </c>
      <c r="K258" s="930">
        <v>0.6512</v>
      </c>
      <c r="L258" s="930">
        <v>0.6512</v>
      </c>
      <c r="M258" s="930">
        <v>0.6512</v>
      </c>
    </row>
    <row r="259" spans="1:13">
      <c r="A259" s="921">
        <v>8.1999999999999993</v>
      </c>
      <c r="B259" s="930">
        <v>0.85329999999999995</v>
      </c>
      <c r="C259" s="930">
        <v>0.85329999999999995</v>
      </c>
      <c r="D259" s="930">
        <v>0.82150000000000001</v>
      </c>
      <c r="E259" s="930">
        <v>0.82150000000000001</v>
      </c>
      <c r="F259" s="930">
        <v>0.82150000000000001</v>
      </c>
      <c r="G259" s="930">
        <v>0.82150000000000001</v>
      </c>
      <c r="H259" s="930">
        <v>0.82150000000000001</v>
      </c>
      <c r="I259" s="930">
        <v>0.64890000000000003</v>
      </c>
      <c r="J259" s="930">
        <v>0.64890000000000003</v>
      </c>
      <c r="K259" s="930">
        <v>0.64890000000000003</v>
      </c>
      <c r="L259" s="930">
        <v>0.64890000000000003</v>
      </c>
      <c r="M259" s="930">
        <v>0.64890000000000003</v>
      </c>
    </row>
    <row r="260" spans="1:13">
      <c r="A260" s="921">
        <v>8.3000000000000007</v>
      </c>
      <c r="B260" s="930">
        <v>0.85189999999999999</v>
      </c>
      <c r="C260" s="930">
        <v>0.85189999999999999</v>
      </c>
      <c r="D260" s="930">
        <v>0.81969999999999998</v>
      </c>
      <c r="E260" s="930">
        <v>0.81969999999999998</v>
      </c>
      <c r="F260" s="930">
        <v>0.81969999999999998</v>
      </c>
      <c r="G260" s="930">
        <v>0.81969999999999998</v>
      </c>
      <c r="H260" s="930">
        <v>0.81969999999999998</v>
      </c>
      <c r="I260" s="930">
        <v>0.64659999999999995</v>
      </c>
      <c r="J260" s="930">
        <v>0.64659999999999995</v>
      </c>
      <c r="K260" s="930">
        <v>0.64659999999999995</v>
      </c>
      <c r="L260" s="930">
        <v>0.64659999999999995</v>
      </c>
      <c r="M260" s="930">
        <v>0.64659999999999995</v>
      </c>
    </row>
    <row r="261" spans="1:13">
      <c r="A261" s="921">
        <v>8.4</v>
      </c>
      <c r="B261" s="930">
        <v>0.85050000000000003</v>
      </c>
      <c r="C261" s="930">
        <v>0.85050000000000003</v>
      </c>
      <c r="D261" s="930">
        <v>0.81789999999999996</v>
      </c>
      <c r="E261" s="930">
        <v>0.81789999999999996</v>
      </c>
      <c r="F261" s="930">
        <v>0.81789999999999996</v>
      </c>
      <c r="G261" s="930">
        <v>0.81789999999999996</v>
      </c>
      <c r="H261" s="930">
        <v>0.81789999999999996</v>
      </c>
      <c r="I261" s="930">
        <v>0.64429999999999998</v>
      </c>
      <c r="J261" s="930">
        <v>0.64429999999999998</v>
      </c>
      <c r="K261" s="930">
        <v>0.64429999999999998</v>
      </c>
      <c r="L261" s="930">
        <v>0.64429999999999998</v>
      </c>
      <c r="M261" s="930">
        <v>0.64429999999999998</v>
      </c>
    </row>
    <row r="262" spans="1:13">
      <c r="A262" s="921">
        <v>8.5</v>
      </c>
      <c r="B262" s="930">
        <v>0.84909999999999997</v>
      </c>
      <c r="C262" s="930">
        <v>0.84909999999999997</v>
      </c>
      <c r="D262" s="930">
        <v>0.81610000000000005</v>
      </c>
      <c r="E262" s="930">
        <v>0.81610000000000005</v>
      </c>
      <c r="F262" s="930">
        <v>0.81610000000000005</v>
      </c>
      <c r="G262" s="930">
        <v>0.81610000000000005</v>
      </c>
      <c r="H262" s="930">
        <v>0.81610000000000005</v>
      </c>
      <c r="I262" s="930">
        <v>0.6421</v>
      </c>
      <c r="J262" s="930">
        <v>0.6421</v>
      </c>
      <c r="K262" s="930">
        <v>0.6421</v>
      </c>
      <c r="L262" s="930">
        <v>0.6421</v>
      </c>
      <c r="M262" s="930">
        <v>0.6421</v>
      </c>
    </row>
    <row r="263" spans="1:13">
      <c r="A263" s="937">
        <v>8.6</v>
      </c>
      <c r="B263" s="930">
        <v>0.84770000000000001</v>
      </c>
      <c r="C263" s="930">
        <v>0.84770000000000001</v>
      </c>
      <c r="D263" s="930">
        <v>0.81440000000000001</v>
      </c>
      <c r="E263" s="930">
        <v>0.81440000000000001</v>
      </c>
      <c r="F263" s="930">
        <v>0.81440000000000001</v>
      </c>
      <c r="G263" s="930">
        <v>0.81440000000000001</v>
      </c>
      <c r="H263" s="930">
        <v>0.81440000000000001</v>
      </c>
      <c r="I263" s="930">
        <v>0.63990000000000002</v>
      </c>
      <c r="J263" s="930">
        <v>0.63990000000000002</v>
      </c>
      <c r="K263" s="930">
        <v>0.63990000000000002</v>
      </c>
      <c r="L263" s="930">
        <v>0.63990000000000002</v>
      </c>
      <c r="M263" s="930">
        <v>0.63990000000000002</v>
      </c>
    </row>
    <row r="264" spans="1:13">
      <c r="A264" s="921">
        <v>8.6999999999999993</v>
      </c>
      <c r="B264" s="930">
        <v>0.84630000000000005</v>
      </c>
      <c r="C264" s="930">
        <v>0.84630000000000005</v>
      </c>
      <c r="D264" s="930">
        <v>0.81269999999999998</v>
      </c>
      <c r="E264" s="930">
        <v>0.81269999999999998</v>
      </c>
      <c r="F264" s="930">
        <v>0.81269999999999998</v>
      </c>
      <c r="G264" s="930">
        <v>0.81269999999999998</v>
      </c>
      <c r="H264" s="930">
        <v>0.81269999999999998</v>
      </c>
      <c r="I264" s="930">
        <v>0.63770000000000004</v>
      </c>
      <c r="J264" s="930">
        <v>0.63770000000000004</v>
      </c>
      <c r="K264" s="930">
        <v>0.63770000000000004</v>
      </c>
      <c r="L264" s="930">
        <v>0.63770000000000004</v>
      </c>
      <c r="M264" s="930">
        <v>0.63770000000000004</v>
      </c>
    </row>
    <row r="265" spans="1:13">
      <c r="A265" s="921">
        <v>8.8000000000000007</v>
      </c>
      <c r="B265" s="930">
        <v>0.84489999999999998</v>
      </c>
      <c r="C265" s="930">
        <v>0.84489999999999998</v>
      </c>
      <c r="D265" s="930">
        <v>0.81100000000000005</v>
      </c>
      <c r="E265" s="930">
        <v>0.81100000000000005</v>
      </c>
      <c r="F265" s="930">
        <v>0.81100000000000005</v>
      </c>
      <c r="G265" s="930">
        <v>0.81100000000000005</v>
      </c>
      <c r="H265" s="930">
        <v>0.81100000000000005</v>
      </c>
      <c r="I265" s="930">
        <v>0.63549999999999995</v>
      </c>
      <c r="J265" s="930">
        <v>0.63549999999999995</v>
      </c>
      <c r="K265" s="930">
        <v>0.63549999999999995</v>
      </c>
      <c r="L265" s="930">
        <v>0.63549999999999995</v>
      </c>
      <c r="M265" s="930">
        <v>0.63549999999999995</v>
      </c>
    </row>
    <row r="266" spans="1:13">
      <c r="A266" s="921">
        <v>8.9</v>
      </c>
      <c r="B266" s="930">
        <v>0.84360000000000002</v>
      </c>
      <c r="C266" s="930">
        <v>0.84360000000000002</v>
      </c>
      <c r="D266" s="930">
        <v>0.80930000000000002</v>
      </c>
      <c r="E266" s="930">
        <v>0.80930000000000002</v>
      </c>
      <c r="F266" s="930">
        <v>0.80930000000000002</v>
      </c>
      <c r="G266" s="930">
        <v>0.80930000000000002</v>
      </c>
      <c r="H266" s="930">
        <v>0.80930000000000002</v>
      </c>
      <c r="I266" s="930">
        <v>0.63339999999999996</v>
      </c>
      <c r="J266" s="930">
        <v>0.63339999999999996</v>
      </c>
      <c r="K266" s="930">
        <v>0.63339999999999996</v>
      </c>
      <c r="L266" s="930">
        <v>0.63339999999999996</v>
      </c>
      <c r="M266" s="930">
        <v>0.63339999999999996</v>
      </c>
    </row>
    <row r="267" spans="1:13">
      <c r="A267" s="921">
        <v>9</v>
      </c>
      <c r="B267" s="930">
        <v>0.84230000000000005</v>
      </c>
      <c r="C267" s="930">
        <v>0.84230000000000005</v>
      </c>
      <c r="D267" s="930">
        <v>0.80759999999999998</v>
      </c>
      <c r="E267" s="930">
        <v>0.80759999999999998</v>
      </c>
      <c r="F267" s="930">
        <v>0.80759999999999998</v>
      </c>
      <c r="G267" s="930">
        <v>0.80759999999999998</v>
      </c>
      <c r="H267" s="930">
        <v>0.80759999999999998</v>
      </c>
      <c r="I267" s="930">
        <v>0.63129999999999997</v>
      </c>
      <c r="J267" s="930">
        <v>0.63129999999999997</v>
      </c>
      <c r="K267" s="930">
        <v>0.63129999999999997</v>
      </c>
      <c r="L267" s="930">
        <v>0.63129999999999997</v>
      </c>
      <c r="M267" s="930">
        <v>0.63129999999999997</v>
      </c>
    </row>
    <row r="268" spans="1:13">
      <c r="A268" s="921">
        <v>9.1</v>
      </c>
      <c r="B268" s="930">
        <v>0.84099999999999997</v>
      </c>
      <c r="C268" s="930">
        <v>0.84099999999999997</v>
      </c>
      <c r="D268" s="930">
        <v>0.80600000000000005</v>
      </c>
      <c r="E268" s="930">
        <v>0.80600000000000005</v>
      </c>
      <c r="F268" s="930">
        <v>0.80600000000000005</v>
      </c>
      <c r="G268" s="930">
        <v>0.80600000000000005</v>
      </c>
      <c r="H268" s="930">
        <v>0.80600000000000005</v>
      </c>
      <c r="I268" s="930">
        <v>0.62919999999999998</v>
      </c>
      <c r="J268" s="930">
        <v>0.62919999999999998</v>
      </c>
      <c r="K268" s="930">
        <v>0.62919999999999998</v>
      </c>
      <c r="L268" s="930">
        <v>0.62919999999999998</v>
      </c>
      <c r="M268" s="930">
        <v>0.62919999999999998</v>
      </c>
    </row>
    <row r="269" spans="1:13">
      <c r="A269" s="921">
        <v>9.1999999999999993</v>
      </c>
      <c r="B269" s="930">
        <v>0.8397</v>
      </c>
      <c r="C269" s="930">
        <v>0.8397</v>
      </c>
      <c r="D269" s="930">
        <v>0.8044</v>
      </c>
      <c r="E269" s="930">
        <v>0.8044</v>
      </c>
      <c r="F269" s="930">
        <v>0.8044</v>
      </c>
      <c r="G269" s="930">
        <v>0.8044</v>
      </c>
      <c r="H269" s="930">
        <v>0.8044</v>
      </c>
      <c r="I269" s="930">
        <v>0.62709999999999999</v>
      </c>
      <c r="J269" s="930">
        <v>0.62709999999999999</v>
      </c>
      <c r="K269" s="930">
        <v>0.62709999999999999</v>
      </c>
      <c r="L269" s="930">
        <v>0.62709999999999999</v>
      </c>
      <c r="M269" s="930">
        <v>0.62709999999999999</v>
      </c>
    </row>
    <row r="270" spans="1:13">
      <c r="A270" s="921">
        <v>9.3000000000000007</v>
      </c>
      <c r="B270" s="930">
        <v>0.83840000000000003</v>
      </c>
      <c r="C270" s="930">
        <v>0.83840000000000003</v>
      </c>
      <c r="D270" s="930">
        <v>0.80279999999999996</v>
      </c>
      <c r="E270" s="930">
        <v>0.80279999999999996</v>
      </c>
      <c r="F270" s="930">
        <v>0.80279999999999996</v>
      </c>
      <c r="G270" s="930">
        <v>0.80279999999999996</v>
      </c>
      <c r="H270" s="930">
        <v>0.80279999999999996</v>
      </c>
      <c r="I270" s="930">
        <v>0.62509999999999999</v>
      </c>
      <c r="J270" s="930">
        <v>0.62509999999999999</v>
      </c>
      <c r="K270" s="930">
        <v>0.62509999999999999</v>
      </c>
      <c r="L270" s="930">
        <v>0.62509999999999999</v>
      </c>
      <c r="M270" s="930">
        <v>0.62509999999999999</v>
      </c>
    </row>
    <row r="271" spans="1:13">
      <c r="A271" s="921">
        <v>9.4</v>
      </c>
      <c r="B271" s="930">
        <v>0.83709999999999996</v>
      </c>
      <c r="C271" s="930">
        <v>0.83709999999999996</v>
      </c>
      <c r="D271" s="930">
        <v>0.80120000000000002</v>
      </c>
      <c r="E271" s="930">
        <v>0.80120000000000002</v>
      </c>
      <c r="F271" s="930">
        <v>0.80120000000000002</v>
      </c>
      <c r="G271" s="930">
        <v>0.80120000000000002</v>
      </c>
      <c r="H271" s="930">
        <v>0.80120000000000002</v>
      </c>
      <c r="I271" s="930">
        <v>0.62309999999999999</v>
      </c>
      <c r="J271" s="930">
        <v>0.62309999999999999</v>
      </c>
      <c r="K271" s="930">
        <v>0.62309999999999999</v>
      </c>
      <c r="L271" s="930">
        <v>0.62309999999999999</v>
      </c>
      <c r="M271" s="930">
        <v>0.62309999999999999</v>
      </c>
    </row>
    <row r="272" spans="1:13">
      <c r="A272" s="921">
        <v>9.5</v>
      </c>
      <c r="B272" s="930">
        <v>0.83579999999999999</v>
      </c>
      <c r="C272" s="930">
        <v>0.83579999999999999</v>
      </c>
      <c r="D272" s="930">
        <v>0.79959999999999998</v>
      </c>
      <c r="E272" s="930">
        <v>0.79959999999999998</v>
      </c>
      <c r="F272" s="930">
        <v>0.79959999999999998</v>
      </c>
      <c r="G272" s="930">
        <v>0.79959999999999998</v>
      </c>
      <c r="H272" s="930">
        <v>0.79959999999999998</v>
      </c>
      <c r="I272" s="930">
        <v>0.62109999999999999</v>
      </c>
      <c r="J272" s="930">
        <v>0.62109999999999999</v>
      </c>
      <c r="K272" s="930">
        <v>0.62109999999999999</v>
      </c>
      <c r="L272" s="930">
        <v>0.62109999999999999</v>
      </c>
      <c r="M272" s="930">
        <v>0.62109999999999999</v>
      </c>
    </row>
    <row r="273" spans="1:13">
      <c r="A273" s="921">
        <v>9.6</v>
      </c>
      <c r="B273" s="930">
        <v>0.83460000000000001</v>
      </c>
      <c r="C273" s="930">
        <v>0.83460000000000001</v>
      </c>
      <c r="D273" s="930">
        <v>0.79800000000000004</v>
      </c>
      <c r="E273" s="930">
        <v>0.79800000000000004</v>
      </c>
      <c r="F273" s="930">
        <v>0.79800000000000004</v>
      </c>
      <c r="G273" s="930">
        <v>0.79800000000000004</v>
      </c>
      <c r="H273" s="930">
        <v>0.79800000000000004</v>
      </c>
      <c r="I273" s="930">
        <v>0.61909999999999998</v>
      </c>
      <c r="J273" s="930">
        <v>0.61909999999999998</v>
      </c>
      <c r="K273" s="930">
        <v>0.61909999999999998</v>
      </c>
      <c r="L273" s="930">
        <v>0.61909999999999998</v>
      </c>
      <c r="M273" s="930">
        <v>0.61909999999999998</v>
      </c>
    </row>
    <row r="274" spans="1:13">
      <c r="A274" s="921">
        <v>9.6999999999999993</v>
      </c>
      <c r="B274" s="930">
        <v>0.83340000000000003</v>
      </c>
      <c r="C274" s="930">
        <v>0.83340000000000003</v>
      </c>
      <c r="D274" s="930">
        <v>0.79649999999999999</v>
      </c>
      <c r="E274" s="930">
        <v>0.79649999999999999</v>
      </c>
      <c r="F274" s="930">
        <v>0.79649999999999999</v>
      </c>
      <c r="G274" s="930">
        <v>0.79649999999999999</v>
      </c>
      <c r="H274" s="930">
        <v>0.79649999999999999</v>
      </c>
      <c r="I274" s="930">
        <v>0.61719999999999997</v>
      </c>
      <c r="J274" s="930">
        <v>0.61719999999999997</v>
      </c>
      <c r="K274" s="930">
        <v>0.61719999999999997</v>
      </c>
      <c r="L274" s="930">
        <v>0.61719999999999997</v>
      </c>
      <c r="M274" s="930">
        <v>0.61719999999999997</v>
      </c>
    </row>
    <row r="275" spans="1:13">
      <c r="A275" s="921">
        <v>9.8000000000000007</v>
      </c>
      <c r="B275" s="930">
        <v>0.83220000000000005</v>
      </c>
      <c r="C275" s="930">
        <v>0.83220000000000005</v>
      </c>
      <c r="D275" s="930">
        <v>0.79500000000000004</v>
      </c>
      <c r="E275" s="930">
        <v>0.79500000000000004</v>
      </c>
      <c r="F275" s="930">
        <v>0.79500000000000004</v>
      </c>
      <c r="G275" s="930">
        <v>0.79500000000000004</v>
      </c>
      <c r="H275" s="930">
        <v>0.79500000000000004</v>
      </c>
      <c r="I275" s="930">
        <v>0.61529999999999996</v>
      </c>
      <c r="J275" s="930">
        <v>0.61529999999999996</v>
      </c>
      <c r="K275" s="930">
        <v>0.61529999999999996</v>
      </c>
      <c r="L275" s="930">
        <v>0.61529999999999996</v>
      </c>
      <c r="M275" s="930">
        <v>0.61529999999999996</v>
      </c>
    </row>
    <row r="276" spans="1:13">
      <c r="A276" s="921">
        <v>9.9</v>
      </c>
      <c r="B276" s="930">
        <v>0.83099999999999996</v>
      </c>
      <c r="C276" s="930">
        <v>0.83099999999999996</v>
      </c>
      <c r="D276" s="930">
        <v>0.79349999999999998</v>
      </c>
      <c r="E276" s="930">
        <v>0.79349999999999998</v>
      </c>
      <c r="F276" s="930">
        <v>0.79349999999999998</v>
      </c>
      <c r="G276" s="930">
        <v>0.79349999999999998</v>
      </c>
      <c r="H276" s="930">
        <v>0.79349999999999998</v>
      </c>
      <c r="I276" s="930">
        <v>0.61339999999999995</v>
      </c>
      <c r="J276" s="930">
        <v>0.61339999999999995</v>
      </c>
      <c r="K276" s="930">
        <v>0.61339999999999995</v>
      </c>
      <c r="L276" s="930">
        <v>0.61339999999999995</v>
      </c>
      <c r="M276" s="930">
        <v>0.61339999999999995</v>
      </c>
    </row>
    <row r="277" spans="1:13" ht="14.25">
      <c r="A277" s="3084" t="s">
        <v>2774</v>
      </c>
      <c r="B277" s="930"/>
      <c r="C277" s="930"/>
      <c r="D277" s="930"/>
      <c r="E277" s="930"/>
      <c r="F277" s="930"/>
      <c r="G277" s="930"/>
      <c r="H277" s="930"/>
      <c r="I277" s="930"/>
      <c r="J277" s="930"/>
      <c r="K277" s="930"/>
      <c r="L277" s="930"/>
      <c r="M277" s="930"/>
    </row>
    <row r="278" spans="1:13">
      <c r="A278" s="921" t="s">
        <v>1548</v>
      </c>
      <c r="B278" s="930" t="s">
        <v>990</v>
      </c>
      <c r="C278" s="930" t="s">
        <v>1031</v>
      </c>
      <c r="D278" s="930" t="s">
        <v>1145</v>
      </c>
      <c r="E278" s="930" t="s">
        <v>853</v>
      </c>
      <c r="F278" s="930" t="s">
        <v>1152</v>
      </c>
      <c r="G278" s="930" t="s">
        <v>1153</v>
      </c>
      <c r="H278" s="930" t="s">
        <v>1154</v>
      </c>
      <c r="I278" s="930" t="s">
        <v>1155</v>
      </c>
      <c r="J278" s="930" t="s">
        <v>1156</v>
      </c>
      <c r="K278" s="930" t="s">
        <v>1157</v>
      </c>
      <c r="L278" s="930" t="s">
        <v>2758</v>
      </c>
      <c r="M278" s="930" t="s">
        <v>2759</v>
      </c>
    </row>
    <row r="279" spans="1:13">
      <c r="A279" s="921">
        <v>1</v>
      </c>
      <c r="B279" s="930">
        <v>1.1055999999999999</v>
      </c>
      <c r="C279" s="930">
        <v>1.1055999999999999</v>
      </c>
      <c r="D279" s="930">
        <v>1.1220000000000001</v>
      </c>
      <c r="E279" s="930">
        <v>1.1220000000000001</v>
      </c>
      <c r="F279" s="930">
        <v>1.1220000000000001</v>
      </c>
      <c r="G279" s="930">
        <v>1.0583</v>
      </c>
      <c r="H279" s="930">
        <v>1.0583</v>
      </c>
      <c r="I279" s="930">
        <v>1</v>
      </c>
      <c r="J279" s="930">
        <v>1</v>
      </c>
      <c r="K279" s="930">
        <v>1</v>
      </c>
      <c r="L279" s="930">
        <v>1</v>
      </c>
      <c r="M279" s="930">
        <v>1</v>
      </c>
    </row>
    <row r="280" spans="1:13">
      <c r="A280" s="921">
        <v>1.1000000000000001</v>
      </c>
      <c r="B280" s="930">
        <v>1.0820000000000001</v>
      </c>
      <c r="C280" s="930">
        <v>1.0820000000000001</v>
      </c>
      <c r="D280" s="930">
        <v>1.0948</v>
      </c>
      <c r="E280" s="930">
        <v>1.0948</v>
      </c>
      <c r="F280" s="930">
        <v>1.0948</v>
      </c>
      <c r="G280" s="930">
        <v>1.0284</v>
      </c>
      <c r="H280" s="930">
        <v>1.0284</v>
      </c>
      <c r="I280" s="930">
        <v>0.96860000000000002</v>
      </c>
      <c r="J280" s="930">
        <v>0.96860000000000002</v>
      </c>
      <c r="K280" s="930">
        <v>0.96860000000000002</v>
      </c>
      <c r="L280" s="930">
        <v>0.96860000000000002</v>
      </c>
      <c r="M280" s="930">
        <v>0.96860000000000002</v>
      </c>
    </row>
    <row r="281" spans="1:13">
      <c r="A281" s="921">
        <v>1.2</v>
      </c>
      <c r="B281" s="930">
        <v>1.0598000000000001</v>
      </c>
      <c r="C281" s="930">
        <v>1.0598000000000001</v>
      </c>
      <c r="D281" s="930">
        <v>1.0690999999999999</v>
      </c>
      <c r="E281" s="930">
        <v>1.0690999999999999</v>
      </c>
      <c r="F281" s="930">
        <v>1.0690999999999999</v>
      </c>
      <c r="G281" s="930">
        <v>1</v>
      </c>
      <c r="H281" s="930">
        <v>1</v>
      </c>
      <c r="I281" s="930">
        <v>0.93879999999999997</v>
      </c>
      <c r="J281" s="930">
        <v>0.93879999999999997</v>
      </c>
      <c r="K281" s="930">
        <v>0.93879999999999997</v>
      </c>
      <c r="L281" s="930">
        <v>0.93879999999999997</v>
      </c>
      <c r="M281" s="930">
        <v>0.93879999999999997</v>
      </c>
    </row>
    <row r="282" spans="1:13">
      <c r="A282" s="921">
        <v>1.3</v>
      </c>
      <c r="B282" s="930">
        <v>1.0387</v>
      </c>
      <c r="C282" s="930">
        <v>1.0387</v>
      </c>
      <c r="D282" s="930">
        <v>1.0447</v>
      </c>
      <c r="E282" s="930">
        <v>1.0447</v>
      </c>
      <c r="F282" s="930">
        <v>1.0447</v>
      </c>
      <c r="G282" s="930">
        <v>0.97319999999999995</v>
      </c>
      <c r="H282" s="930">
        <v>0.97319999999999995</v>
      </c>
      <c r="I282" s="930">
        <v>0.91069999999999995</v>
      </c>
      <c r="J282" s="930">
        <v>0.91069999999999995</v>
      </c>
      <c r="K282" s="930">
        <v>0.91069999999999995</v>
      </c>
      <c r="L282" s="930">
        <v>0.91069999999999995</v>
      </c>
      <c r="M282" s="930">
        <v>0.91069999999999995</v>
      </c>
    </row>
    <row r="283" spans="1:13">
      <c r="A283" s="921">
        <v>1.4</v>
      </c>
      <c r="B283" s="930">
        <v>1.0187999999999999</v>
      </c>
      <c r="C283" s="930">
        <v>1.0187999999999999</v>
      </c>
      <c r="D283" s="930">
        <v>1.0217000000000001</v>
      </c>
      <c r="E283" s="930">
        <v>1.0217000000000001</v>
      </c>
      <c r="F283" s="930">
        <v>1.0217000000000001</v>
      </c>
      <c r="G283" s="930">
        <v>0.94779999999999998</v>
      </c>
      <c r="H283" s="930">
        <v>0.94779999999999998</v>
      </c>
      <c r="I283" s="930">
        <v>0.8841</v>
      </c>
      <c r="J283" s="930">
        <v>0.8841</v>
      </c>
      <c r="K283" s="930">
        <v>0.8841</v>
      </c>
      <c r="L283" s="930">
        <v>0.8841</v>
      </c>
      <c r="M283" s="930">
        <v>0.8841</v>
      </c>
    </row>
    <row r="284" spans="1:13">
      <c r="A284" s="921">
        <v>1.5</v>
      </c>
      <c r="B284" s="930">
        <v>1</v>
      </c>
      <c r="C284" s="930">
        <v>1</v>
      </c>
      <c r="D284" s="930">
        <v>1</v>
      </c>
      <c r="E284" s="930">
        <v>1</v>
      </c>
      <c r="F284" s="930">
        <v>1</v>
      </c>
      <c r="G284" s="930">
        <v>0.92379999999999995</v>
      </c>
      <c r="H284" s="930">
        <v>0.92379999999999995</v>
      </c>
      <c r="I284" s="930">
        <v>0.8589</v>
      </c>
      <c r="J284" s="930">
        <v>0.8589</v>
      </c>
      <c r="K284" s="930">
        <v>0.8589</v>
      </c>
      <c r="L284" s="930">
        <v>0.8589</v>
      </c>
      <c r="M284" s="930">
        <v>0.8589</v>
      </c>
    </row>
    <row r="285" spans="1:13">
      <c r="A285" s="921">
        <v>1.6</v>
      </c>
      <c r="B285" s="930">
        <v>0.98229999999999995</v>
      </c>
      <c r="C285" s="930">
        <v>0.98229999999999995</v>
      </c>
      <c r="D285" s="930">
        <v>0.97950000000000004</v>
      </c>
      <c r="E285" s="930">
        <v>0.97950000000000004</v>
      </c>
      <c r="F285" s="930">
        <v>0.97950000000000004</v>
      </c>
      <c r="G285" s="930">
        <v>0.9012</v>
      </c>
      <c r="H285" s="930">
        <v>0.9012</v>
      </c>
      <c r="I285" s="930">
        <v>0.83509999999999995</v>
      </c>
      <c r="J285" s="930">
        <v>0.83509999999999995</v>
      </c>
      <c r="K285" s="930">
        <v>0.83509999999999995</v>
      </c>
      <c r="L285" s="930">
        <v>0.83509999999999995</v>
      </c>
      <c r="M285" s="930">
        <v>0.83509999999999995</v>
      </c>
    </row>
    <row r="286" spans="1:13">
      <c r="A286" s="921">
        <v>1.7</v>
      </c>
      <c r="B286" s="930">
        <v>0.96550000000000002</v>
      </c>
      <c r="C286" s="930">
        <v>0.96550000000000002</v>
      </c>
      <c r="D286" s="930">
        <v>0.96009999999999995</v>
      </c>
      <c r="E286" s="930">
        <v>0.96009999999999995</v>
      </c>
      <c r="F286" s="930">
        <v>0.96009999999999995</v>
      </c>
      <c r="G286" s="930">
        <v>0.87980000000000003</v>
      </c>
      <c r="H286" s="930">
        <v>0.87980000000000003</v>
      </c>
      <c r="I286" s="930">
        <v>0.81269999999999998</v>
      </c>
      <c r="J286" s="930">
        <v>0.81269999999999998</v>
      </c>
      <c r="K286" s="930">
        <v>0.81269999999999998</v>
      </c>
      <c r="L286" s="930">
        <v>0.81269999999999998</v>
      </c>
      <c r="M286" s="930">
        <v>0.81269999999999998</v>
      </c>
    </row>
    <row r="287" spans="1:13">
      <c r="A287" s="921">
        <v>1.8</v>
      </c>
      <c r="B287" s="930">
        <v>0.94969999999999999</v>
      </c>
      <c r="C287" s="930">
        <v>0.94969999999999999</v>
      </c>
      <c r="D287" s="930">
        <v>0.94189999999999996</v>
      </c>
      <c r="E287" s="930">
        <v>0.94189999999999996</v>
      </c>
      <c r="F287" s="930">
        <v>0.94189999999999996</v>
      </c>
      <c r="G287" s="930">
        <v>0.85960000000000003</v>
      </c>
      <c r="H287" s="930">
        <v>0.85960000000000003</v>
      </c>
      <c r="I287" s="930">
        <v>0.79149999999999998</v>
      </c>
      <c r="J287" s="930">
        <v>0.79149999999999998</v>
      </c>
      <c r="K287" s="930">
        <v>0.79149999999999998</v>
      </c>
      <c r="L287" s="930">
        <v>0.79149999999999998</v>
      </c>
      <c r="M287" s="930">
        <v>0.79149999999999998</v>
      </c>
    </row>
    <row r="288" spans="1:13">
      <c r="A288" s="921">
        <v>1.9</v>
      </c>
      <c r="B288" s="930">
        <v>0.93479999999999996</v>
      </c>
      <c r="C288" s="930">
        <v>0.93479999999999996</v>
      </c>
      <c r="D288" s="930">
        <v>0.92459999999999998</v>
      </c>
      <c r="E288" s="930">
        <v>0.92459999999999998</v>
      </c>
      <c r="F288" s="930">
        <v>0.92459999999999998</v>
      </c>
      <c r="G288" s="930">
        <v>0.84060000000000001</v>
      </c>
      <c r="H288" s="930">
        <v>0.84060000000000001</v>
      </c>
      <c r="I288" s="930">
        <v>0.77149999999999996</v>
      </c>
      <c r="J288" s="930">
        <v>0.77149999999999996</v>
      </c>
      <c r="K288" s="930">
        <v>0.77149999999999996</v>
      </c>
      <c r="L288" s="930">
        <v>0.77149999999999996</v>
      </c>
      <c r="M288" s="930">
        <v>0.77149999999999996</v>
      </c>
    </row>
    <row r="289" spans="1:13">
      <c r="A289" s="921">
        <v>2</v>
      </c>
      <c r="B289" s="930">
        <v>0.92079999999999995</v>
      </c>
      <c r="C289" s="930">
        <v>0.92079999999999995</v>
      </c>
      <c r="D289" s="930">
        <v>0.90839999999999999</v>
      </c>
      <c r="E289" s="930">
        <v>0.90839999999999999</v>
      </c>
      <c r="F289" s="930">
        <v>0.90839999999999999</v>
      </c>
      <c r="G289" s="930">
        <v>0.82269999999999999</v>
      </c>
      <c r="H289" s="930">
        <v>0.82269999999999999</v>
      </c>
      <c r="I289" s="930">
        <v>0.75270000000000004</v>
      </c>
      <c r="J289" s="930">
        <v>0.75270000000000004</v>
      </c>
      <c r="K289" s="930">
        <v>0.75270000000000004</v>
      </c>
      <c r="L289" s="930">
        <v>0.75270000000000004</v>
      </c>
      <c r="M289" s="930">
        <v>0.75270000000000004</v>
      </c>
    </row>
    <row r="290" spans="1:13">
      <c r="A290" s="921">
        <v>2.1</v>
      </c>
      <c r="B290" s="930">
        <v>0.90759999999999996</v>
      </c>
      <c r="C290" s="930">
        <v>0.90759999999999996</v>
      </c>
      <c r="D290" s="930">
        <v>0.89319999999999999</v>
      </c>
      <c r="E290" s="930">
        <v>0.89319999999999999</v>
      </c>
      <c r="F290" s="930">
        <v>0.89319999999999999</v>
      </c>
      <c r="G290" s="930">
        <v>0.80589999999999995</v>
      </c>
      <c r="H290" s="930">
        <v>0.80589999999999995</v>
      </c>
      <c r="I290" s="930">
        <v>0.73499999999999999</v>
      </c>
      <c r="J290" s="930">
        <v>0.73499999999999999</v>
      </c>
      <c r="K290" s="930">
        <v>0.73499999999999999</v>
      </c>
      <c r="L290" s="930">
        <v>0.73499999999999999</v>
      </c>
      <c r="M290" s="930">
        <v>0.73499999999999999</v>
      </c>
    </row>
    <row r="291" spans="1:13">
      <c r="A291" s="921">
        <v>2.2000000000000002</v>
      </c>
      <c r="B291" s="930">
        <v>0.8952</v>
      </c>
      <c r="C291" s="930">
        <v>0.8952</v>
      </c>
      <c r="D291" s="930">
        <v>0.87880000000000003</v>
      </c>
      <c r="E291" s="930">
        <v>0.87880000000000003</v>
      </c>
      <c r="F291" s="930">
        <v>0.87880000000000003</v>
      </c>
      <c r="G291" s="930">
        <v>0.79</v>
      </c>
      <c r="H291" s="930">
        <v>0.79</v>
      </c>
      <c r="I291" s="930">
        <v>0.71840000000000004</v>
      </c>
      <c r="J291" s="930">
        <v>0.71840000000000004</v>
      </c>
      <c r="K291" s="930">
        <v>0.71840000000000004</v>
      </c>
      <c r="L291" s="930">
        <v>0.71840000000000004</v>
      </c>
      <c r="M291" s="930">
        <v>0.71840000000000004</v>
      </c>
    </row>
    <row r="292" spans="1:13">
      <c r="A292" s="921">
        <v>2.2999999999999998</v>
      </c>
      <c r="B292" s="930">
        <v>0.88360000000000005</v>
      </c>
      <c r="C292" s="930">
        <v>0.88360000000000005</v>
      </c>
      <c r="D292" s="930">
        <v>0.86529999999999996</v>
      </c>
      <c r="E292" s="930">
        <v>0.86529999999999996</v>
      </c>
      <c r="F292" s="930">
        <v>0.86529999999999996</v>
      </c>
      <c r="G292" s="930">
        <v>0.77510000000000001</v>
      </c>
      <c r="H292" s="930">
        <v>0.77510000000000001</v>
      </c>
      <c r="I292" s="930">
        <v>0.70269999999999999</v>
      </c>
      <c r="J292" s="930">
        <v>0.70269999999999999</v>
      </c>
      <c r="K292" s="930">
        <v>0.70269999999999999</v>
      </c>
      <c r="L292" s="930">
        <v>0.70269999999999999</v>
      </c>
      <c r="M292" s="930">
        <v>0.70269999999999999</v>
      </c>
    </row>
    <row r="293" spans="1:13">
      <c r="A293" s="921">
        <v>2.4</v>
      </c>
      <c r="B293" s="930">
        <v>0.87260000000000004</v>
      </c>
      <c r="C293" s="930">
        <v>0.87260000000000004</v>
      </c>
      <c r="D293" s="930">
        <v>0.85260000000000002</v>
      </c>
      <c r="E293" s="930">
        <v>0.85260000000000002</v>
      </c>
      <c r="F293" s="930">
        <v>0.85260000000000002</v>
      </c>
      <c r="G293" s="930">
        <v>0.76100000000000001</v>
      </c>
      <c r="H293" s="930">
        <v>0.76100000000000001</v>
      </c>
      <c r="I293" s="930">
        <v>0.68799999999999994</v>
      </c>
      <c r="J293" s="930">
        <v>0.68799999999999994</v>
      </c>
      <c r="K293" s="930">
        <v>0.68799999999999994</v>
      </c>
      <c r="L293" s="930">
        <v>0.68799999999999994</v>
      </c>
      <c r="M293" s="930">
        <v>0.68799999999999994</v>
      </c>
    </row>
    <row r="294" spans="1:13">
      <c r="A294" s="921">
        <v>2.5</v>
      </c>
      <c r="B294" s="930">
        <v>0.86229999999999996</v>
      </c>
      <c r="C294" s="930">
        <v>0.86229999999999996</v>
      </c>
      <c r="D294" s="930">
        <v>0.8407</v>
      </c>
      <c r="E294" s="930">
        <v>0.8407</v>
      </c>
      <c r="F294" s="930">
        <v>0.8407</v>
      </c>
      <c r="G294" s="930">
        <v>0.74780000000000002</v>
      </c>
      <c r="H294" s="930">
        <v>0.74780000000000002</v>
      </c>
      <c r="I294" s="930">
        <v>0.67410000000000003</v>
      </c>
      <c r="J294" s="930">
        <v>0.67410000000000003</v>
      </c>
      <c r="K294" s="930">
        <v>0.67410000000000003</v>
      </c>
      <c r="L294" s="930">
        <v>0.67410000000000003</v>
      </c>
      <c r="M294" s="930">
        <v>0.67410000000000003</v>
      </c>
    </row>
    <row r="295" spans="1:13">
      <c r="A295" s="921">
        <v>2.6</v>
      </c>
      <c r="B295" s="930">
        <v>0.85270000000000001</v>
      </c>
      <c r="C295" s="930">
        <v>0.85270000000000001</v>
      </c>
      <c r="D295" s="930">
        <v>0.82950000000000002</v>
      </c>
      <c r="E295" s="930">
        <v>0.82950000000000002</v>
      </c>
      <c r="F295" s="930">
        <v>0.82950000000000002</v>
      </c>
      <c r="G295" s="930">
        <v>0.73540000000000005</v>
      </c>
      <c r="H295" s="930">
        <v>0.73540000000000005</v>
      </c>
      <c r="I295" s="930">
        <v>0.66110000000000002</v>
      </c>
      <c r="J295" s="930">
        <v>0.66110000000000002</v>
      </c>
      <c r="K295" s="930">
        <v>0.66110000000000002</v>
      </c>
      <c r="L295" s="930">
        <v>0.66110000000000002</v>
      </c>
      <c r="M295" s="930">
        <v>0.66110000000000002</v>
      </c>
    </row>
    <row r="296" spans="1:13">
      <c r="A296" s="937">
        <v>2.7</v>
      </c>
      <c r="B296" s="930">
        <v>0.84360000000000002</v>
      </c>
      <c r="C296" s="930">
        <v>0.84360000000000002</v>
      </c>
      <c r="D296" s="930">
        <v>0.81899999999999995</v>
      </c>
      <c r="E296" s="930">
        <v>0.81899999999999995</v>
      </c>
      <c r="F296" s="930">
        <v>0.81899999999999995</v>
      </c>
      <c r="G296" s="930">
        <v>0.7238</v>
      </c>
      <c r="H296" s="930">
        <v>0.7238</v>
      </c>
      <c r="I296" s="930">
        <v>0.64880000000000004</v>
      </c>
      <c r="J296" s="930">
        <v>0.64880000000000004</v>
      </c>
      <c r="K296" s="930">
        <v>0.64880000000000004</v>
      </c>
      <c r="L296" s="930">
        <v>0.64880000000000004</v>
      </c>
      <c r="M296" s="930">
        <v>0.64880000000000004</v>
      </c>
    </row>
    <row r="297" spans="1:13">
      <c r="A297" s="937">
        <v>2.8</v>
      </c>
      <c r="B297" s="930">
        <v>0.83509999999999995</v>
      </c>
      <c r="C297" s="930">
        <v>0.83509999999999995</v>
      </c>
      <c r="D297" s="930">
        <v>0.80910000000000004</v>
      </c>
      <c r="E297" s="930">
        <v>0.80910000000000004</v>
      </c>
      <c r="F297" s="930">
        <v>0.80910000000000004</v>
      </c>
      <c r="G297" s="930">
        <v>0.71289999999999998</v>
      </c>
      <c r="H297" s="930">
        <v>0.71289999999999998</v>
      </c>
      <c r="I297" s="930">
        <v>0.63739999999999997</v>
      </c>
      <c r="J297" s="930">
        <v>0.63739999999999997</v>
      </c>
      <c r="K297" s="930">
        <v>0.63739999999999997</v>
      </c>
      <c r="L297" s="930">
        <v>0.63739999999999997</v>
      </c>
      <c r="M297" s="930">
        <v>0.63739999999999997</v>
      </c>
    </row>
    <row r="298" spans="1:13">
      <c r="A298" s="937">
        <v>2.9</v>
      </c>
      <c r="B298" s="930">
        <v>0.82720000000000005</v>
      </c>
      <c r="C298" s="930">
        <v>0.82720000000000005</v>
      </c>
      <c r="D298" s="930">
        <v>0.79990000000000006</v>
      </c>
      <c r="E298" s="930">
        <v>0.79990000000000006</v>
      </c>
      <c r="F298" s="930">
        <v>0.79990000000000006</v>
      </c>
      <c r="G298" s="930">
        <v>0.7026</v>
      </c>
      <c r="H298" s="930">
        <v>0.7026</v>
      </c>
      <c r="I298" s="930">
        <v>0.62660000000000005</v>
      </c>
      <c r="J298" s="930">
        <v>0.62660000000000005</v>
      </c>
      <c r="K298" s="930">
        <v>0.62660000000000005</v>
      </c>
      <c r="L298" s="930">
        <v>0.62660000000000005</v>
      </c>
      <c r="M298" s="930">
        <v>0.62660000000000005</v>
      </c>
    </row>
    <row r="299" spans="1:13">
      <c r="A299" s="937">
        <v>3</v>
      </c>
      <c r="B299" s="930">
        <v>0.81969999999999998</v>
      </c>
      <c r="C299" s="930">
        <v>0.81969999999999998</v>
      </c>
      <c r="D299" s="930">
        <v>0.79120000000000001</v>
      </c>
      <c r="E299" s="930">
        <v>0.79120000000000001</v>
      </c>
      <c r="F299" s="930">
        <v>0.79120000000000001</v>
      </c>
      <c r="G299" s="930">
        <v>0.69299999999999995</v>
      </c>
      <c r="H299" s="930">
        <v>0.69299999999999995</v>
      </c>
      <c r="I299" s="930">
        <v>0.61650000000000005</v>
      </c>
      <c r="J299" s="930">
        <v>0.61650000000000005</v>
      </c>
      <c r="K299" s="930">
        <v>0.61650000000000005</v>
      </c>
      <c r="L299" s="930">
        <v>0.61650000000000005</v>
      </c>
      <c r="M299" s="930">
        <v>0.61650000000000005</v>
      </c>
    </row>
    <row r="300" spans="1:13">
      <c r="A300" s="937">
        <v>3.1</v>
      </c>
      <c r="B300" s="930">
        <v>0.81279999999999997</v>
      </c>
      <c r="C300" s="930">
        <v>0.81279999999999997</v>
      </c>
      <c r="D300" s="930">
        <v>0.78310000000000002</v>
      </c>
      <c r="E300" s="930">
        <v>0.78310000000000002</v>
      </c>
      <c r="F300" s="930">
        <v>0.78310000000000002</v>
      </c>
      <c r="G300" s="930">
        <v>0.68400000000000005</v>
      </c>
      <c r="H300" s="930">
        <v>0.68400000000000005</v>
      </c>
      <c r="I300" s="930">
        <v>0.60709999999999997</v>
      </c>
      <c r="J300" s="930">
        <v>0.60709999999999997</v>
      </c>
      <c r="K300" s="930">
        <v>0.60709999999999997</v>
      </c>
      <c r="L300" s="930">
        <v>0.60709999999999997</v>
      </c>
      <c r="M300" s="930">
        <v>0.60709999999999997</v>
      </c>
    </row>
    <row r="301" spans="1:13">
      <c r="A301" s="937">
        <v>3.2</v>
      </c>
      <c r="B301" s="930">
        <v>0.80620000000000003</v>
      </c>
      <c r="C301" s="930">
        <v>0.80620000000000003</v>
      </c>
      <c r="D301" s="930">
        <v>0.77549999999999997</v>
      </c>
      <c r="E301" s="930">
        <v>0.77549999999999997</v>
      </c>
      <c r="F301" s="930">
        <v>0.77549999999999997</v>
      </c>
      <c r="G301" s="930">
        <v>0.67559999999999998</v>
      </c>
      <c r="H301" s="930">
        <v>0.67559999999999998</v>
      </c>
      <c r="I301" s="930">
        <v>0.59809999999999997</v>
      </c>
      <c r="J301" s="930">
        <v>0.59809999999999997</v>
      </c>
      <c r="K301" s="930">
        <v>0.59809999999999997</v>
      </c>
      <c r="L301" s="930">
        <v>0.59809999999999997</v>
      </c>
      <c r="M301" s="930">
        <v>0.59809999999999997</v>
      </c>
    </row>
    <row r="302" spans="1:13">
      <c r="A302" s="937">
        <v>3.3</v>
      </c>
      <c r="B302" s="930">
        <v>0.80010000000000003</v>
      </c>
      <c r="C302" s="930">
        <v>0.80010000000000003</v>
      </c>
      <c r="D302" s="930">
        <v>0.76839999999999997</v>
      </c>
      <c r="E302" s="930">
        <v>0.76839999999999997</v>
      </c>
      <c r="F302" s="930">
        <v>0.76839999999999997</v>
      </c>
      <c r="G302" s="930">
        <v>0.66769999999999996</v>
      </c>
      <c r="H302" s="930">
        <v>0.66769999999999996</v>
      </c>
      <c r="I302" s="930">
        <v>0.58979999999999999</v>
      </c>
      <c r="J302" s="930">
        <v>0.58979999999999999</v>
      </c>
      <c r="K302" s="930">
        <v>0.58979999999999999</v>
      </c>
      <c r="L302" s="930">
        <v>0.58979999999999999</v>
      </c>
      <c r="M302" s="930">
        <v>0.58979999999999999</v>
      </c>
    </row>
    <row r="303" spans="1:13">
      <c r="A303" s="937">
        <v>3.4</v>
      </c>
      <c r="B303" s="930">
        <v>0.7944</v>
      </c>
      <c r="C303" s="930">
        <v>0.7944</v>
      </c>
      <c r="D303" s="930">
        <v>0.76170000000000004</v>
      </c>
      <c r="E303" s="930">
        <v>0.76170000000000004</v>
      </c>
      <c r="F303" s="930">
        <v>0.76170000000000004</v>
      </c>
      <c r="G303" s="930">
        <v>0.66020000000000001</v>
      </c>
      <c r="H303" s="930">
        <v>0.66020000000000001</v>
      </c>
      <c r="I303" s="930">
        <v>0.58209999999999995</v>
      </c>
      <c r="J303" s="930">
        <v>0.58209999999999995</v>
      </c>
      <c r="K303" s="930">
        <v>0.58209999999999995</v>
      </c>
      <c r="L303" s="930">
        <v>0.58209999999999995</v>
      </c>
      <c r="M303" s="930">
        <v>0.58209999999999995</v>
      </c>
    </row>
    <row r="304" spans="1:13">
      <c r="A304" s="937">
        <v>3.5</v>
      </c>
      <c r="B304" s="930">
        <v>0.78910000000000002</v>
      </c>
      <c r="C304" s="930">
        <v>0.78910000000000002</v>
      </c>
      <c r="D304" s="930">
        <v>0.75549999999999995</v>
      </c>
      <c r="E304" s="930">
        <v>0.75549999999999995</v>
      </c>
      <c r="F304" s="930">
        <v>0.75549999999999995</v>
      </c>
      <c r="G304" s="930">
        <v>0.65329999999999999</v>
      </c>
      <c r="H304" s="930">
        <v>0.65329999999999999</v>
      </c>
      <c r="I304" s="930">
        <v>0.57479999999999998</v>
      </c>
      <c r="J304" s="930">
        <v>0.57479999999999998</v>
      </c>
      <c r="K304" s="930">
        <v>0.57479999999999998</v>
      </c>
      <c r="L304" s="930">
        <v>0.57479999999999998</v>
      </c>
      <c r="M304" s="930">
        <v>0.57479999999999998</v>
      </c>
    </row>
    <row r="305" spans="1:13">
      <c r="A305" s="937">
        <v>3.6</v>
      </c>
      <c r="B305" s="930">
        <v>0.78410000000000002</v>
      </c>
      <c r="C305" s="930">
        <v>0.78410000000000002</v>
      </c>
      <c r="D305" s="930">
        <v>0.74960000000000004</v>
      </c>
      <c r="E305" s="930">
        <v>0.74960000000000004</v>
      </c>
      <c r="F305" s="930">
        <v>0.74960000000000004</v>
      </c>
      <c r="G305" s="930">
        <v>0.64680000000000004</v>
      </c>
      <c r="H305" s="930">
        <v>0.64680000000000004</v>
      </c>
      <c r="I305" s="930">
        <v>0.56789999999999996</v>
      </c>
      <c r="J305" s="930">
        <v>0.56789999999999996</v>
      </c>
      <c r="K305" s="930">
        <v>0.56789999999999996</v>
      </c>
      <c r="L305" s="930">
        <v>0.56789999999999996</v>
      </c>
      <c r="M305" s="930">
        <v>0.56789999999999996</v>
      </c>
    </row>
    <row r="306" spans="1:13">
      <c r="A306" s="937">
        <v>3.7</v>
      </c>
      <c r="B306" s="930">
        <v>0.77939999999999998</v>
      </c>
      <c r="C306" s="930">
        <v>0.77939999999999998</v>
      </c>
      <c r="D306" s="930">
        <v>0.74409999999999998</v>
      </c>
      <c r="E306" s="930">
        <v>0.74409999999999998</v>
      </c>
      <c r="F306" s="930">
        <v>0.74409999999999998</v>
      </c>
      <c r="G306" s="930">
        <v>0.64070000000000005</v>
      </c>
      <c r="H306" s="930">
        <v>0.64070000000000005</v>
      </c>
      <c r="I306" s="930">
        <v>0.5615</v>
      </c>
      <c r="J306" s="930">
        <v>0.5615</v>
      </c>
      <c r="K306" s="930">
        <v>0.5615</v>
      </c>
      <c r="L306" s="930">
        <v>0.5615</v>
      </c>
      <c r="M306" s="930">
        <v>0.5615</v>
      </c>
    </row>
    <row r="307" spans="1:13">
      <c r="A307" s="937">
        <v>3.8</v>
      </c>
      <c r="B307" s="930">
        <v>0.77500000000000002</v>
      </c>
      <c r="C307" s="930">
        <v>0.77500000000000002</v>
      </c>
      <c r="D307" s="930">
        <v>0.73899999999999999</v>
      </c>
      <c r="E307" s="930">
        <v>0.73899999999999999</v>
      </c>
      <c r="F307" s="930">
        <v>0.73899999999999999</v>
      </c>
      <c r="G307" s="930">
        <v>0.63490000000000002</v>
      </c>
      <c r="H307" s="930">
        <v>0.63490000000000002</v>
      </c>
      <c r="I307" s="930">
        <v>0.55549999999999999</v>
      </c>
      <c r="J307" s="930">
        <v>0.55549999999999999</v>
      </c>
      <c r="K307" s="930">
        <v>0.55549999999999999</v>
      </c>
      <c r="L307" s="930">
        <v>0.55549999999999999</v>
      </c>
      <c r="M307" s="930">
        <v>0.55549999999999999</v>
      </c>
    </row>
    <row r="308" spans="1:13">
      <c r="A308" s="921">
        <v>3.9</v>
      </c>
      <c r="B308" s="922">
        <v>0.77090000000000003</v>
      </c>
      <c r="C308" s="922">
        <v>0.77090000000000003</v>
      </c>
      <c r="D308" s="922">
        <v>0.73419999999999996</v>
      </c>
      <c r="E308" s="922">
        <v>0.73419999999999996</v>
      </c>
      <c r="F308" s="922">
        <v>0.73419999999999996</v>
      </c>
      <c r="G308" s="922">
        <v>0.62949999999999995</v>
      </c>
      <c r="H308" s="923">
        <v>0.62949999999999995</v>
      </c>
      <c r="I308" s="923">
        <v>0.54990000000000006</v>
      </c>
      <c r="J308" s="924">
        <v>0.54990000000000006</v>
      </c>
      <c r="K308" s="924">
        <v>0.54990000000000006</v>
      </c>
      <c r="L308" s="924">
        <v>0.54990000000000006</v>
      </c>
      <c r="M308" s="924">
        <v>0.54990000000000006</v>
      </c>
    </row>
    <row r="309" spans="1:13">
      <c r="A309" s="921">
        <v>4</v>
      </c>
      <c r="B309" s="930">
        <v>0.7671</v>
      </c>
      <c r="C309" s="930">
        <v>0.7671</v>
      </c>
      <c r="D309" s="930">
        <v>0.72970000000000002</v>
      </c>
      <c r="E309" s="930">
        <v>0.72970000000000002</v>
      </c>
      <c r="F309" s="930">
        <v>0.72970000000000002</v>
      </c>
      <c r="G309" s="930">
        <v>0.62450000000000006</v>
      </c>
      <c r="H309" s="930">
        <v>0.62450000000000006</v>
      </c>
      <c r="I309" s="930">
        <v>0.54449999999999998</v>
      </c>
      <c r="J309" s="930">
        <v>0.54449999999999998</v>
      </c>
      <c r="K309" s="930">
        <v>0.54449999999999998</v>
      </c>
      <c r="L309" s="930">
        <v>0.54449999999999998</v>
      </c>
      <c r="M309" s="930">
        <v>0.54449999999999998</v>
      </c>
    </row>
    <row r="310" spans="1:13">
      <c r="A310" s="921">
        <v>4.0999999999999996</v>
      </c>
      <c r="B310" s="930">
        <v>0.76349999999999996</v>
      </c>
      <c r="C310" s="930">
        <v>0.76349999999999996</v>
      </c>
      <c r="D310" s="930">
        <v>0.72540000000000004</v>
      </c>
      <c r="E310" s="930">
        <v>0.72540000000000004</v>
      </c>
      <c r="F310" s="930">
        <v>0.72540000000000004</v>
      </c>
      <c r="G310" s="930">
        <v>0.61970000000000003</v>
      </c>
      <c r="H310" s="930">
        <v>0.61970000000000003</v>
      </c>
      <c r="I310" s="930">
        <v>0.53959999999999997</v>
      </c>
      <c r="J310" s="930">
        <v>0.53959999999999997</v>
      </c>
      <c r="K310" s="930">
        <v>0.53959999999999997</v>
      </c>
      <c r="L310" s="930">
        <v>0.53959999999999997</v>
      </c>
      <c r="M310" s="930">
        <v>0.53959999999999997</v>
      </c>
    </row>
    <row r="311" spans="1:13">
      <c r="A311" s="921">
        <v>4.2</v>
      </c>
      <c r="B311" s="930">
        <v>0.7601</v>
      </c>
      <c r="C311" s="930">
        <v>0.7601</v>
      </c>
      <c r="D311" s="930">
        <v>0.72140000000000004</v>
      </c>
      <c r="E311" s="930">
        <v>0.72140000000000004</v>
      </c>
      <c r="F311" s="930">
        <v>0.72140000000000004</v>
      </c>
      <c r="G311" s="930">
        <v>0.61529999999999996</v>
      </c>
      <c r="H311" s="930">
        <v>0.61529999999999996</v>
      </c>
      <c r="I311" s="930">
        <v>0.53490000000000004</v>
      </c>
      <c r="J311" s="930">
        <v>0.53490000000000004</v>
      </c>
      <c r="K311" s="930">
        <v>0.53490000000000004</v>
      </c>
      <c r="L311" s="930">
        <v>0.53490000000000004</v>
      </c>
      <c r="M311" s="930">
        <v>0.53490000000000004</v>
      </c>
    </row>
    <row r="312" spans="1:13">
      <c r="A312" s="921">
        <v>4.3</v>
      </c>
      <c r="B312" s="930">
        <v>0.75700000000000001</v>
      </c>
      <c r="C312" s="930">
        <v>0.75700000000000001</v>
      </c>
      <c r="D312" s="930">
        <v>0.7177</v>
      </c>
      <c r="E312" s="930">
        <v>0.7177</v>
      </c>
      <c r="F312" s="930">
        <v>0.7177</v>
      </c>
      <c r="G312" s="930">
        <v>0.61109999999999998</v>
      </c>
      <c r="H312" s="930">
        <v>0.61109999999999998</v>
      </c>
      <c r="I312" s="930">
        <v>0.53049999999999997</v>
      </c>
      <c r="J312" s="930">
        <v>0.53049999999999997</v>
      </c>
      <c r="K312" s="930">
        <v>0.53049999999999997</v>
      </c>
      <c r="L312" s="930">
        <v>0.53049999999999997</v>
      </c>
      <c r="M312" s="930">
        <v>0.53049999999999997</v>
      </c>
    </row>
    <row r="313" spans="1:13">
      <c r="A313" s="921">
        <v>4.4000000000000004</v>
      </c>
      <c r="B313" s="930">
        <v>0.754</v>
      </c>
      <c r="C313" s="930">
        <v>0.754</v>
      </c>
      <c r="D313" s="930">
        <v>0.71409999999999996</v>
      </c>
      <c r="E313" s="930">
        <v>0.71409999999999996</v>
      </c>
      <c r="F313" s="930">
        <v>0.71409999999999996</v>
      </c>
      <c r="G313" s="930">
        <v>0.60709999999999997</v>
      </c>
      <c r="H313" s="930">
        <v>0.60709999999999997</v>
      </c>
      <c r="I313" s="930">
        <v>0.52639999999999998</v>
      </c>
      <c r="J313" s="930">
        <v>0.52639999999999998</v>
      </c>
      <c r="K313" s="930">
        <v>0.52639999999999998</v>
      </c>
      <c r="L313" s="930">
        <v>0.52639999999999998</v>
      </c>
      <c r="M313" s="930">
        <v>0.52639999999999998</v>
      </c>
    </row>
    <row r="314" spans="1:13">
      <c r="A314" s="921">
        <v>4.5</v>
      </c>
      <c r="B314" s="930">
        <v>0.75119999999999998</v>
      </c>
      <c r="C314" s="930">
        <v>0.75119999999999998</v>
      </c>
      <c r="D314" s="930">
        <v>0.71079999999999999</v>
      </c>
      <c r="E314" s="930">
        <v>0.71079999999999999</v>
      </c>
      <c r="F314" s="930">
        <v>0.71079999999999999</v>
      </c>
      <c r="G314" s="930">
        <v>0.60329999999999995</v>
      </c>
      <c r="H314" s="930">
        <v>0.60329999999999995</v>
      </c>
      <c r="I314" s="930">
        <v>0.52249999999999996</v>
      </c>
      <c r="J314" s="930">
        <v>0.52249999999999996</v>
      </c>
      <c r="K314" s="930">
        <v>0.52249999999999996</v>
      </c>
      <c r="L314" s="930">
        <v>0.52249999999999996</v>
      </c>
      <c r="M314" s="930">
        <v>0.52249999999999996</v>
      </c>
    </row>
    <row r="315" spans="1:13">
      <c r="A315" s="921">
        <v>4.5999999999999996</v>
      </c>
      <c r="B315" s="930">
        <v>0.74860000000000004</v>
      </c>
      <c r="C315" s="930">
        <v>0.74860000000000004</v>
      </c>
      <c r="D315" s="930">
        <v>0.70760000000000001</v>
      </c>
      <c r="E315" s="930">
        <v>0.70760000000000001</v>
      </c>
      <c r="F315" s="930">
        <v>0.70760000000000001</v>
      </c>
      <c r="G315" s="930">
        <v>0.59970000000000001</v>
      </c>
      <c r="H315" s="930">
        <v>0.59970000000000001</v>
      </c>
      <c r="I315" s="930">
        <v>0.51890000000000003</v>
      </c>
      <c r="J315" s="930">
        <v>0.51890000000000003</v>
      </c>
      <c r="K315" s="930">
        <v>0.51890000000000003</v>
      </c>
      <c r="L315" s="930">
        <v>0.51890000000000003</v>
      </c>
      <c r="M315" s="930">
        <v>0.51890000000000003</v>
      </c>
    </row>
    <row r="316" spans="1:13">
      <c r="A316" s="921">
        <v>4.7</v>
      </c>
      <c r="B316" s="930">
        <v>0.74609999999999999</v>
      </c>
      <c r="C316" s="930">
        <v>0.74609999999999999</v>
      </c>
      <c r="D316" s="930">
        <v>0.7046</v>
      </c>
      <c r="E316" s="930">
        <v>0.7046</v>
      </c>
      <c r="F316" s="930">
        <v>0.7046</v>
      </c>
      <c r="G316" s="930">
        <v>0.59630000000000005</v>
      </c>
      <c r="H316" s="930">
        <v>0.59630000000000005</v>
      </c>
      <c r="I316" s="930">
        <v>0.51529999999999998</v>
      </c>
      <c r="J316" s="930">
        <v>0.51529999999999998</v>
      </c>
      <c r="K316" s="930">
        <v>0.51529999999999998</v>
      </c>
      <c r="L316" s="930">
        <v>0.51529999999999998</v>
      </c>
      <c r="M316" s="930">
        <v>0.51529999999999998</v>
      </c>
    </row>
    <row r="317" spans="1:13">
      <c r="A317" s="921">
        <v>4.8</v>
      </c>
      <c r="B317" s="930">
        <v>0.74380000000000002</v>
      </c>
      <c r="C317" s="930">
        <v>0.74380000000000002</v>
      </c>
      <c r="D317" s="930">
        <v>0.70169999999999999</v>
      </c>
      <c r="E317" s="930">
        <v>0.70169999999999999</v>
      </c>
      <c r="F317" s="930">
        <v>0.70169999999999999</v>
      </c>
      <c r="G317" s="930">
        <v>0.59309999999999996</v>
      </c>
      <c r="H317" s="930">
        <v>0.59309999999999996</v>
      </c>
      <c r="I317" s="930">
        <v>0.5121</v>
      </c>
      <c r="J317" s="930">
        <v>0.5121</v>
      </c>
      <c r="K317" s="930">
        <v>0.5121</v>
      </c>
      <c r="L317" s="930">
        <v>0.5121</v>
      </c>
      <c r="M317" s="930">
        <v>0.5121</v>
      </c>
    </row>
    <row r="318" spans="1:13">
      <c r="A318" s="921">
        <v>4.9000000000000004</v>
      </c>
      <c r="B318" s="930">
        <v>0.74160000000000004</v>
      </c>
      <c r="C318" s="930">
        <v>0.74160000000000004</v>
      </c>
      <c r="D318" s="930">
        <v>0.69889999999999997</v>
      </c>
      <c r="E318" s="930">
        <v>0.69889999999999997</v>
      </c>
      <c r="F318" s="930">
        <v>0.69889999999999997</v>
      </c>
      <c r="G318" s="930">
        <v>0.59009999999999996</v>
      </c>
      <c r="H318" s="930">
        <v>0.59009999999999996</v>
      </c>
      <c r="I318" s="930">
        <v>0.50900000000000001</v>
      </c>
      <c r="J318" s="930">
        <v>0.50900000000000001</v>
      </c>
      <c r="K318" s="930">
        <v>0.50900000000000001</v>
      </c>
      <c r="L318" s="930">
        <v>0.50900000000000001</v>
      </c>
      <c r="M318" s="930">
        <v>0.50900000000000001</v>
      </c>
    </row>
    <row r="319" spans="1:13">
      <c r="A319" s="921">
        <v>5</v>
      </c>
      <c r="B319" s="930">
        <v>0.73950000000000005</v>
      </c>
      <c r="C319" s="930">
        <v>0.73950000000000005</v>
      </c>
      <c r="D319" s="930">
        <v>0.69620000000000004</v>
      </c>
      <c r="E319" s="930">
        <v>0.69620000000000004</v>
      </c>
      <c r="F319" s="930">
        <v>0.69620000000000004</v>
      </c>
      <c r="G319" s="930">
        <v>0.58720000000000006</v>
      </c>
      <c r="H319" s="930">
        <v>0.58720000000000006</v>
      </c>
      <c r="I319" s="930">
        <v>0.50609999999999999</v>
      </c>
      <c r="J319" s="930">
        <v>0.50609999999999999</v>
      </c>
      <c r="K319" s="930">
        <v>0.50609999999999999</v>
      </c>
      <c r="L319" s="930">
        <v>0.50609999999999999</v>
      </c>
      <c r="M319" s="930">
        <v>0.50609999999999999</v>
      </c>
    </row>
    <row r="320" spans="1:13">
      <c r="A320" s="921">
        <v>5.0999999999999996</v>
      </c>
      <c r="B320" s="930">
        <v>0.73750000000000004</v>
      </c>
      <c r="C320" s="930">
        <v>0.73750000000000004</v>
      </c>
      <c r="D320" s="930">
        <v>0.69359999999999999</v>
      </c>
      <c r="E320" s="930">
        <v>0.69359999999999999</v>
      </c>
      <c r="F320" s="930">
        <v>0.69359999999999999</v>
      </c>
      <c r="G320" s="930">
        <v>0.58440000000000003</v>
      </c>
      <c r="H320" s="930">
        <v>0.58440000000000003</v>
      </c>
      <c r="I320" s="930">
        <v>0.50329999999999997</v>
      </c>
      <c r="J320" s="930">
        <v>0.50329999999999997</v>
      </c>
      <c r="K320" s="930">
        <v>0.50329999999999997</v>
      </c>
      <c r="L320" s="930">
        <v>0.50329999999999997</v>
      </c>
      <c r="M320" s="930">
        <v>0.50329999999999997</v>
      </c>
    </row>
    <row r="321" spans="1:13">
      <c r="A321" s="921">
        <v>5.2</v>
      </c>
      <c r="B321" s="930">
        <v>0.73560000000000003</v>
      </c>
      <c r="C321" s="930">
        <v>0.73560000000000003</v>
      </c>
      <c r="D321" s="930">
        <v>0.69110000000000005</v>
      </c>
      <c r="E321" s="930">
        <v>0.69110000000000005</v>
      </c>
      <c r="F321" s="930">
        <v>0.69110000000000005</v>
      </c>
      <c r="G321" s="930">
        <v>0.58169999999999999</v>
      </c>
      <c r="H321" s="930">
        <v>0.58169999999999999</v>
      </c>
      <c r="I321" s="930">
        <v>0.50060000000000004</v>
      </c>
      <c r="J321" s="930">
        <v>0.50060000000000004</v>
      </c>
      <c r="K321" s="930">
        <v>0.50060000000000004</v>
      </c>
      <c r="L321" s="930">
        <v>0.50060000000000004</v>
      </c>
      <c r="M321" s="930">
        <v>0.50060000000000004</v>
      </c>
    </row>
    <row r="322" spans="1:13">
      <c r="A322" s="921">
        <v>5.3</v>
      </c>
      <c r="B322" s="930">
        <v>0.73380000000000001</v>
      </c>
      <c r="C322" s="930">
        <v>0.73380000000000001</v>
      </c>
      <c r="D322" s="930">
        <v>0.68869999999999998</v>
      </c>
      <c r="E322" s="930">
        <v>0.68869999999999998</v>
      </c>
      <c r="F322" s="930">
        <v>0.68869999999999998</v>
      </c>
      <c r="G322" s="930">
        <v>0.57909999999999995</v>
      </c>
      <c r="H322" s="930">
        <v>0.57909999999999995</v>
      </c>
      <c r="I322" s="930">
        <v>0.49809999999999999</v>
      </c>
      <c r="J322" s="930">
        <v>0.49809999999999999</v>
      </c>
      <c r="K322" s="930">
        <v>0.49809999999999999</v>
      </c>
      <c r="L322" s="930">
        <v>0.49809999999999999</v>
      </c>
      <c r="M322" s="930">
        <v>0.49809999999999999</v>
      </c>
    </row>
    <row r="323" spans="1:13">
      <c r="A323" s="921">
        <v>5.4</v>
      </c>
      <c r="B323" s="930">
        <v>0.73199999999999998</v>
      </c>
      <c r="C323" s="930">
        <v>0.73199999999999998</v>
      </c>
      <c r="D323" s="930">
        <v>0.68640000000000001</v>
      </c>
      <c r="E323" s="930">
        <v>0.68640000000000001</v>
      </c>
      <c r="F323" s="930">
        <v>0.68640000000000001</v>
      </c>
      <c r="G323" s="930">
        <v>0.57650000000000001</v>
      </c>
      <c r="H323" s="930">
        <v>0.57650000000000001</v>
      </c>
      <c r="I323" s="930">
        <v>0.49559999999999998</v>
      </c>
      <c r="J323" s="930">
        <v>0.49559999999999998</v>
      </c>
      <c r="K323" s="930">
        <v>0.49559999999999998</v>
      </c>
      <c r="L323" s="930">
        <v>0.49559999999999998</v>
      </c>
      <c r="M323" s="930">
        <v>0.49559999999999998</v>
      </c>
    </row>
    <row r="324" spans="1:13">
      <c r="A324" s="921">
        <v>5.5</v>
      </c>
      <c r="B324" s="930">
        <v>0.73009999999999997</v>
      </c>
      <c r="C324" s="930">
        <v>0.73009999999999997</v>
      </c>
      <c r="D324" s="930">
        <v>0.68420000000000003</v>
      </c>
      <c r="E324" s="930">
        <v>0.68420000000000003</v>
      </c>
      <c r="F324" s="930">
        <v>0.68420000000000003</v>
      </c>
      <c r="G324" s="930">
        <v>0.57399999999999995</v>
      </c>
      <c r="H324" s="930">
        <v>0.57399999999999995</v>
      </c>
      <c r="I324" s="930">
        <v>0.49320000000000003</v>
      </c>
      <c r="J324" s="930">
        <v>0.49320000000000003</v>
      </c>
      <c r="K324" s="930">
        <v>0.49320000000000003</v>
      </c>
      <c r="L324" s="930">
        <v>0.49320000000000003</v>
      </c>
      <c r="M324" s="930">
        <v>0.49320000000000003</v>
      </c>
    </row>
    <row r="325" spans="1:13">
      <c r="A325" s="921">
        <v>5.6</v>
      </c>
      <c r="B325" s="930">
        <v>0.72819999999999996</v>
      </c>
      <c r="C325" s="930">
        <v>0.72819999999999996</v>
      </c>
      <c r="D325" s="930">
        <v>0.68200000000000005</v>
      </c>
      <c r="E325" s="930">
        <v>0.68200000000000005</v>
      </c>
      <c r="F325" s="930">
        <v>0.68200000000000005</v>
      </c>
      <c r="G325" s="930">
        <v>0.57150000000000001</v>
      </c>
      <c r="H325" s="930">
        <v>0.57150000000000001</v>
      </c>
      <c r="I325" s="930">
        <v>0.49080000000000001</v>
      </c>
      <c r="J325" s="930">
        <v>0.49080000000000001</v>
      </c>
      <c r="K325" s="930">
        <v>0.49080000000000001</v>
      </c>
      <c r="L325" s="930">
        <v>0.49080000000000001</v>
      </c>
      <c r="M325" s="930">
        <v>0.49080000000000001</v>
      </c>
    </row>
    <row r="326" spans="1:13">
      <c r="A326" s="921">
        <v>5.7</v>
      </c>
      <c r="B326" s="930">
        <v>0.72640000000000005</v>
      </c>
      <c r="C326" s="930">
        <v>0.72640000000000005</v>
      </c>
      <c r="D326" s="930">
        <v>0.67989999999999995</v>
      </c>
      <c r="E326" s="930">
        <v>0.67989999999999995</v>
      </c>
      <c r="F326" s="930">
        <v>0.67989999999999995</v>
      </c>
      <c r="G326" s="930">
        <v>0.56899999999999995</v>
      </c>
      <c r="H326" s="930">
        <v>0.56899999999999995</v>
      </c>
      <c r="I326" s="930">
        <v>0.4884</v>
      </c>
      <c r="J326" s="930">
        <v>0.4884</v>
      </c>
      <c r="K326" s="930">
        <v>0.4884</v>
      </c>
      <c r="L326" s="930">
        <v>0.4884</v>
      </c>
      <c r="M326" s="930">
        <v>0.4884</v>
      </c>
    </row>
    <row r="327" spans="1:13">
      <c r="A327" s="921">
        <v>5.8</v>
      </c>
      <c r="B327" s="930">
        <v>0.72460000000000002</v>
      </c>
      <c r="C327" s="930">
        <v>0.72460000000000002</v>
      </c>
      <c r="D327" s="930">
        <v>0.67779999999999996</v>
      </c>
      <c r="E327" s="930">
        <v>0.67779999999999996</v>
      </c>
      <c r="F327" s="930">
        <v>0.67779999999999996</v>
      </c>
      <c r="G327" s="930">
        <v>0.56659999999999999</v>
      </c>
      <c r="H327" s="930">
        <v>0.56659999999999999</v>
      </c>
      <c r="I327" s="930">
        <v>0.48609999999999998</v>
      </c>
      <c r="J327" s="930">
        <v>0.48609999999999998</v>
      </c>
      <c r="K327" s="930">
        <v>0.48609999999999998</v>
      </c>
      <c r="L327" s="930">
        <v>0.48609999999999998</v>
      </c>
      <c r="M327" s="930">
        <v>0.48609999999999998</v>
      </c>
    </row>
    <row r="328" spans="1:13">
      <c r="A328" s="921">
        <v>5.9</v>
      </c>
      <c r="B328" s="930">
        <v>0.7228</v>
      </c>
      <c r="C328" s="930">
        <v>0.7228</v>
      </c>
      <c r="D328" s="930">
        <v>0.67569999999999997</v>
      </c>
      <c r="E328" s="930">
        <v>0.67569999999999997</v>
      </c>
      <c r="F328" s="930">
        <v>0.67569999999999997</v>
      </c>
      <c r="G328" s="930">
        <v>0.56420000000000003</v>
      </c>
      <c r="H328" s="930">
        <v>0.56420000000000003</v>
      </c>
      <c r="I328" s="930">
        <v>0.48380000000000001</v>
      </c>
      <c r="J328" s="930">
        <v>0.48380000000000001</v>
      </c>
      <c r="K328" s="930">
        <v>0.48380000000000001</v>
      </c>
      <c r="L328" s="930">
        <v>0.48380000000000001</v>
      </c>
      <c r="M328" s="930">
        <v>0.48380000000000001</v>
      </c>
    </row>
    <row r="329" spans="1:13">
      <c r="A329" s="937">
        <v>6</v>
      </c>
      <c r="B329" s="930">
        <v>0.72099999999999997</v>
      </c>
      <c r="C329" s="930">
        <v>0.72099999999999997</v>
      </c>
      <c r="D329" s="930">
        <v>0.67359999999999998</v>
      </c>
      <c r="E329" s="930">
        <v>0.67359999999999998</v>
      </c>
      <c r="F329" s="930">
        <v>0.67359999999999998</v>
      </c>
      <c r="G329" s="930">
        <v>0.56179999999999997</v>
      </c>
      <c r="H329" s="930">
        <v>0.56179999999999997</v>
      </c>
      <c r="I329" s="930">
        <v>0.48159999999999997</v>
      </c>
      <c r="J329" s="930">
        <v>0.48159999999999997</v>
      </c>
      <c r="K329" s="930">
        <v>0.48159999999999997</v>
      </c>
      <c r="L329" s="930">
        <v>0.48159999999999997</v>
      </c>
      <c r="M329" s="930">
        <v>0.48159999999999997</v>
      </c>
    </row>
    <row r="330" spans="1:13">
      <c r="A330" s="937">
        <v>6.1</v>
      </c>
      <c r="B330" s="930">
        <v>0.71930000000000005</v>
      </c>
      <c r="C330" s="930">
        <v>0.71930000000000005</v>
      </c>
      <c r="D330" s="930">
        <v>0.67159999999999997</v>
      </c>
      <c r="E330" s="930">
        <v>0.67159999999999997</v>
      </c>
      <c r="F330" s="930">
        <v>0.67159999999999997</v>
      </c>
      <c r="G330" s="930">
        <v>0.55940000000000001</v>
      </c>
      <c r="H330" s="930">
        <v>0.55940000000000001</v>
      </c>
      <c r="I330" s="930">
        <v>0.4793</v>
      </c>
      <c r="J330" s="930">
        <v>0.4793</v>
      </c>
      <c r="K330" s="930">
        <v>0.4793</v>
      </c>
      <c r="L330" s="930">
        <v>0.4793</v>
      </c>
      <c r="M330" s="930">
        <v>0.4793</v>
      </c>
    </row>
    <row r="331" spans="1:13">
      <c r="A331" s="937">
        <v>6.2</v>
      </c>
      <c r="B331" s="930">
        <v>0.71760000000000002</v>
      </c>
      <c r="C331" s="930">
        <v>0.71760000000000002</v>
      </c>
      <c r="D331" s="930">
        <v>0.66959999999999997</v>
      </c>
      <c r="E331" s="930">
        <v>0.66959999999999997</v>
      </c>
      <c r="F331" s="930">
        <v>0.66959999999999997</v>
      </c>
      <c r="G331" s="930">
        <v>0.55710000000000004</v>
      </c>
      <c r="H331" s="930">
        <v>0.55710000000000004</v>
      </c>
      <c r="I331" s="930">
        <v>0.47710000000000002</v>
      </c>
      <c r="J331" s="930">
        <v>0.47710000000000002</v>
      </c>
      <c r="K331" s="930">
        <v>0.47710000000000002</v>
      </c>
      <c r="L331" s="930">
        <v>0.47710000000000002</v>
      </c>
      <c r="M331" s="930">
        <v>0.47710000000000002</v>
      </c>
    </row>
    <row r="332" spans="1:13">
      <c r="A332" s="937">
        <v>6.3</v>
      </c>
      <c r="B332" s="930">
        <v>0.71589999999999998</v>
      </c>
      <c r="C332" s="930">
        <v>0.71589999999999998</v>
      </c>
      <c r="D332" s="930">
        <v>0.66759999999999997</v>
      </c>
      <c r="E332" s="930">
        <v>0.66759999999999997</v>
      </c>
      <c r="F332" s="930">
        <v>0.66759999999999997</v>
      </c>
      <c r="G332" s="930">
        <v>0.55479999999999996</v>
      </c>
      <c r="H332" s="930">
        <v>0.55479999999999996</v>
      </c>
      <c r="I332" s="930">
        <v>0.47489999999999999</v>
      </c>
      <c r="J332" s="930">
        <v>0.47489999999999999</v>
      </c>
      <c r="K332" s="930">
        <v>0.47489999999999999</v>
      </c>
      <c r="L332" s="930">
        <v>0.47489999999999999</v>
      </c>
      <c r="M332" s="930">
        <v>0.47489999999999999</v>
      </c>
    </row>
    <row r="333" spans="1:13">
      <c r="A333" s="937">
        <v>6.4</v>
      </c>
      <c r="B333" s="930">
        <v>0.71419999999999995</v>
      </c>
      <c r="C333" s="930">
        <v>0.71419999999999995</v>
      </c>
      <c r="D333" s="930">
        <v>0.66559999999999997</v>
      </c>
      <c r="E333" s="930">
        <v>0.66559999999999997</v>
      </c>
      <c r="F333" s="930">
        <v>0.66559999999999997</v>
      </c>
      <c r="G333" s="930">
        <v>0.55249999999999999</v>
      </c>
      <c r="H333" s="930">
        <v>0.55249999999999999</v>
      </c>
      <c r="I333" s="930">
        <v>0.47270000000000001</v>
      </c>
      <c r="J333" s="930">
        <v>0.47270000000000001</v>
      </c>
      <c r="K333" s="930">
        <v>0.47270000000000001</v>
      </c>
      <c r="L333" s="930">
        <v>0.47270000000000001</v>
      </c>
      <c r="M333" s="930">
        <v>0.47270000000000001</v>
      </c>
    </row>
    <row r="334" spans="1:13">
      <c r="A334" s="937">
        <v>6.5</v>
      </c>
      <c r="B334" s="930">
        <v>0.71250000000000002</v>
      </c>
      <c r="C334" s="930">
        <v>0.71250000000000002</v>
      </c>
      <c r="D334" s="930">
        <v>0.66359999999999997</v>
      </c>
      <c r="E334" s="930">
        <v>0.66359999999999997</v>
      </c>
      <c r="F334" s="930">
        <v>0.66359999999999997</v>
      </c>
      <c r="G334" s="930">
        <v>0.55020000000000002</v>
      </c>
      <c r="H334" s="930">
        <v>0.55020000000000002</v>
      </c>
      <c r="I334" s="930">
        <v>0.47060000000000002</v>
      </c>
      <c r="J334" s="930">
        <v>0.47060000000000002</v>
      </c>
      <c r="K334" s="930">
        <v>0.47060000000000002</v>
      </c>
      <c r="L334" s="930">
        <v>0.47060000000000002</v>
      </c>
      <c r="M334" s="930">
        <v>0.47060000000000002</v>
      </c>
    </row>
    <row r="335" spans="1:13">
      <c r="A335" s="937">
        <v>6.6</v>
      </c>
      <c r="B335" s="930">
        <v>0.71089999999999998</v>
      </c>
      <c r="C335" s="930">
        <v>0.71089999999999998</v>
      </c>
      <c r="D335" s="930">
        <v>0.66159999999999997</v>
      </c>
      <c r="E335" s="930">
        <v>0.66159999999999997</v>
      </c>
      <c r="F335" s="930">
        <v>0.66159999999999997</v>
      </c>
      <c r="G335" s="930">
        <v>0.54800000000000004</v>
      </c>
      <c r="H335" s="930">
        <v>0.54800000000000004</v>
      </c>
      <c r="I335" s="930">
        <v>0.46839999999999998</v>
      </c>
      <c r="J335" s="930">
        <v>0.46839999999999998</v>
      </c>
      <c r="K335" s="930">
        <v>0.46839999999999998</v>
      </c>
      <c r="L335" s="930">
        <v>0.46839999999999998</v>
      </c>
      <c r="M335" s="930">
        <v>0.46839999999999998</v>
      </c>
    </row>
    <row r="336" spans="1:13">
      <c r="A336" s="937">
        <v>6.7</v>
      </c>
      <c r="B336" s="930">
        <v>0.70930000000000004</v>
      </c>
      <c r="C336" s="930">
        <v>0.70930000000000004</v>
      </c>
      <c r="D336" s="930">
        <v>0.65969999999999995</v>
      </c>
      <c r="E336" s="930">
        <v>0.65969999999999995</v>
      </c>
      <c r="F336" s="930">
        <v>0.65969999999999995</v>
      </c>
      <c r="G336" s="930">
        <v>0.54579999999999995</v>
      </c>
      <c r="H336" s="930">
        <v>0.54579999999999995</v>
      </c>
      <c r="I336" s="930">
        <v>0.46629999999999999</v>
      </c>
      <c r="J336" s="930">
        <v>0.46629999999999999</v>
      </c>
      <c r="K336" s="930">
        <v>0.46629999999999999</v>
      </c>
      <c r="L336" s="930">
        <v>0.46629999999999999</v>
      </c>
      <c r="M336" s="930">
        <v>0.46629999999999999</v>
      </c>
    </row>
    <row r="337" spans="1:13">
      <c r="A337" s="937">
        <v>6.8</v>
      </c>
      <c r="B337" s="930">
        <v>0.7077</v>
      </c>
      <c r="C337" s="930">
        <v>0.7077</v>
      </c>
      <c r="D337" s="930">
        <v>0.65780000000000005</v>
      </c>
      <c r="E337" s="930">
        <v>0.65780000000000005</v>
      </c>
      <c r="F337" s="930">
        <v>0.65780000000000005</v>
      </c>
      <c r="G337" s="930">
        <v>0.54359999999999997</v>
      </c>
      <c r="H337" s="930">
        <v>0.54359999999999997</v>
      </c>
      <c r="I337" s="930">
        <v>0.46410000000000001</v>
      </c>
      <c r="J337" s="930">
        <v>0.46410000000000001</v>
      </c>
      <c r="K337" s="930">
        <v>0.46410000000000001</v>
      </c>
      <c r="L337" s="930">
        <v>0.46410000000000001</v>
      </c>
      <c r="M337" s="930">
        <v>0.46410000000000001</v>
      </c>
    </row>
    <row r="338" spans="1:13">
      <c r="A338" s="937">
        <v>6.9</v>
      </c>
      <c r="B338" s="930">
        <v>0.70609999999999995</v>
      </c>
      <c r="C338" s="930">
        <v>0.70609999999999995</v>
      </c>
      <c r="D338" s="930">
        <v>0.65590000000000004</v>
      </c>
      <c r="E338" s="930">
        <v>0.65590000000000004</v>
      </c>
      <c r="F338" s="930">
        <v>0.65590000000000004</v>
      </c>
      <c r="G338" s="930">
        <v>0.54139999999999999</v>
      </c>
      <c r="H338" s="930">
        <v>0.54139999999999999</v>
      </c>
      <c r="I338" s="930">
        <v>0.46200000000000002</v>
      </c>
      <c r="J338" s="930">
        <v>0.46200000000000002</v>
      </c>
      <c r="K338" s="930">
        <v>0.46200000000000002</v>
      </c>
      <c r="L338" s="930">
        <v>0.46200000000000002</v>
      </c>
      <c r="M338" s="930">
        <v>0.46200000000000002</v>
      </c>
    </row>
    <row r="339" spans="1:13">
      <c r="A339" s="937">
        <v>7</v>
      </c>
      <c r="B339" s="930">
        <v>0.70450000000000002</v>
      </c>
      <c r="C339" s="930">
        <v>0.70450000000000002</v>
      </c>
      <c r="D339" s="930">
        <v>0.65400000000000003</v>
      </c>
      <c r="E339" s="930">
        <v>0.65400000000000003</v>
      </c>
      <c r="F339" s="930">
        <v>0.65400000000000003</v>
      </c>
      <c r="G339" s="930">
        <v>0.53920000000000001</v>
      </c>
      <c r="H339" s="930">
        <v>0.53920000000000001</v>
      </c>
      <c r="I339" s="930">
        <v>0.45979999999999999</v>
      </c>
      <c r="J339" s="930">
        <v>0.45979999999999999</v>
      </c>
      <c r="K339" s="930">
        <v>0.45979999999999999</v>
      </c>
      <c r="L339" s="930">
        <v>0.45979999999999999</v>
      </c>
      <c r="M339" s="930">
        <v>0.45979999999999999</v>
      </c>
    </row>
    <row r="340" spans="1:13">
      <c r="A340" s="937">
        <v>7.1</v>
      </c>
      <c r="B340" s="930">
        <v>0.70289999999999997</v>
      </c>
      <c r="C340" s="930">
        <v>0.70289999999999997</v>
      </c>
      <c r="D340" s="930">
        <v>0.65210000000000001</v>
      </c>
      <c r="E340" s="930">
        <v>0.65210000000000001</v>
      </c>
      <c r="F340" s="930">
        <v>0.65210000000000001</v>
      </c>
      <c r="G340" s="930">
        <v>0.53710000000000002</v>
      </c>
      <c r="H340" s="930">
        <v>0.53710000000000002</v>
      </c>
      <c r="I340" s="930">
        <v>0.45779999999999998</v>
      </c>
      <c r="J340" s="930">
        <v>0.45779999999999998</v>
      </c>
      <c r="K340" s="930">
        <v>0.45779999999999998</v>
      </c>
      <c r="L340" s="930">
        <v>0.45779999999999998</v>
      </c>
      <c r="M340" s="930">
        <v>0.45779999999999998</v>
      </c>
    </row>
    <row r="341" spans="1:13">
      <c r="A341" s="937">
        <v>7.2</v>
      </c>
      <c r="B341" s="930">
        <v>0.70140000000000002</v>
      </c>
      <c r="C341" s="930">
        <v>0.70140000000000002</v>
      </c>
      <c r="D341" s="930">
        <v>0.6502</v>
      </c>
      <c r="E341" s="930">
        <v>0.6502</v>
      </c>
      <c r="F341" s="930">
        <v>0.6502</v>
      </c>
      <c r="G341" s="930">
        <v>0.53500000000000003</v>
      </c>
      <c r="H341" s="930">
        <v>0.53500000000000003</v>
      </c>
      <c r="I341" s="930">
        <v>0.45569999999999999</v>
      </c>
      <c r="J341" s="930">
        <v>0.45569999999999999</v>
      </c>
      <c r="K341" s="930">
        <v>0.45569999999999999</v>
      </c>
      <c r="L341" s="930">
        <v>0.45569999999999999</v>
      </c>
      <c r="M341" s="930">
        <v>0.45569999999999999</v>
      </c>
    </row>
    <row r="342" spans="1:13">
      <c r="A342" s="937">
        <v>7.3</v>
      </c>
      <c r="B342" s="930">
        <v>0.69989999999999997</v>
      </c>
      <c r="C342" s="930">
        <v>0.69989999999999997</v>
      </c>
      <c r="D342" s="930">
        <v>0.64829999999999999</v>
      </c>
      <c r="E342" s="930">
        <v>0.64829999999999999</v>
      </c>
      <c r="F342" s="930">
        <v>0.64829999999999999</v>
      </c>
      <c r="G342" s="930">
        <v>0.53290000000000004</v>
      </c>
      <c r="H342" s="930">
        <v>0.53290000000000004</v>
      </c>
      <c r="I342" s="930">
        <v>0.45369999999999999</v>
      </c>
      <c r="J342" s="930">
        <v>0.45369999999999999</v>
      </c>
      <c r="K342" s="930">
        <v>0.45369999999999999</v>
      </c>
      <c r="L342" s="930">
        <v>0.45369999999999999</v>
      </c>
      <c r="M342" s="930">
        <v>0.45369999999999999</v>
      </c>
    </row>
    <row r="343" spans="1:13">
      <c r="A343" s="937">
        <v>7.4</v>
      </c>
      <c r="B343" s="930">
        <v>0.69840000000000002</v>
      </c>
      <c r="C343" s="930">
        <v>0.69840000000000002</v>
      </c>
      <c r="D343" s="930">
        <v>0.64649999999999996</v>
      </c>
      <c r="E343" s="930">
        <v>0.64649999999999996</v>
      </c>
      <c r="F343" s="930">
        <v>0.64649999999999996</v>
      </c>
      <c r="G343" s="930">
        <v>0.53080000000000005</v>
      </c>
      <c r="H343" s="930">
        <v>0.53080000000000005</v>
      </c>
      <c r="I343" s="930">
        <v>0.4516</v>
      </c>
      <c r="J343" s="930">
        <v>0.4516</v>
      </c>
      <c r="K343" s="930">
        <v>0.4516</v>
      </c>
      <c r="L343" s="930">
        <v>0.4516</v>
      </c>
      <c r="M343" s="930">
        <v>0.4516</v>
      </c>
    </row>
    <row r="344" spans="1:13">
      <c r="A344" s="937">
        <v>7.5</v>
      </c>
      <c r="B344" s="930">
        <v>0.69689999999999996</v>
      </c>
      <c r="C344" s="930">
        <v>0.69689999999999996</v>
      </c>
      <c r="D344" s="930">
        <v>0.64470000000000005</v>
      </c>
      <c r="E344" s="930">
        <v>0.64470000000000005</v>
      </c>
      <c r="F344" s="930">
        <v>0.64470000000000005</v>
      </c>
      <c r="G344" s="930">
        <v>0.52869999999999995</v>
      </c>
      <c r="H344" s="930">
        <v>0.52869999999999995</v>
      </c>
      <c r="I344" s="930">
        <v>0.44950000000000001</v>
      </c>
      <c r="J344" s="930">
        <v>0.44950000000000001</v>
      </c>
      <c r="K344" s="930">
        <v>0.44950000000000001</v>
      </c>
      <c r="L344" s="930">
        <v>0.44950000000000001</v>
      </c>
      <c r="M344" s="930">
        <v>0.44950000000000001</v>
      </c>
    </row>
    <row r="345" spans="1:13">
      <c r="A345" s="937">
        <v>7.6</v>
      </c>
      <c r="B345" s="930">
        <v>0.69540000000000002</v>
      </c>
      <c r="C345" s="930">
        <v>0.69540000000000002</v>
      </c>
      <c r="D345" s="930">
        <v>0.64290000000000003</v>
      </c>
      <c r="E345" s="930">
        <v>0.64290000000000003</v>
      </c>
      <c r="F345" s="930">
        <v>0.64290000000000003</v>
      </c>
      <c r="G345" s="930">
        <v>0.52659999999999996</v>
      </c>
      <c r="H345" s="930">
        <v>0.52659999999999996</v>
      </c>
      <c r="I345" s="930">
        <v>0.44750000000000001</v>
      </c>
      <c r="J345" s="930">
        <v>0.44750000000000001</v>
      </c>
      <c r="K345" s="930">
        <v>0.44750000000000001</v>
      </c>
      <c r="L345" s="930">
        <v>0.44750000000000001</v>
      </c>
      <c r="M345" s="930">
        <v>0.44750000000000001</v>
      </c>
    </row>
    <row r="346" spans="1:13">
      <c r="A346" s="937">
        <v>7.7</v>
      </c>
      <c r="B346" s="930">
        <v>0.69389999999999996</v>
      </c>
      <c r="C346" s="930">
        <v>0.69389999999999996</v>
      </c>
      <c r="D346" s="930">
        <v>0.6411</v>
      </c>
      <c r="E346" s="930">
        <v>0.6411</v>
      </c>
      <c r="F346" s="930">
        <v>0.6411</v>
      </c>
      <c r="G346" s="930">
        <v>0.52459999999999996</v>
      </c>
      <c r="H346" s="930">
        <v>0.52459999999999996</v>
      </c>
      <c r="I346" s="930">
        <v>0.44540000000000002</v>
      </c>
      <c r="J346" s="930">
        <v>0.44540000000000002</v>
      </c>
      <c r="K346" s="930">
        <v>0.44540000000000002</v>
      </c>
      <c r="L346" s="930">
        <v>0.44540000000000002</v>
      </c>
      <c r="M346" s="930">
        <v>0.44540000000000002</v>
      </c>
    </row>
    <row r="347" spans="1:13">
      <c r="A347" s="937">
        <v>7.8</v>
      </c>
      <c r="B347" s="930">
        <v>0.69240000000000002</v>
      </c>
      <c r="C347" s="930">
        <v>0.69240000000000002</v>
      </c>
      <c r="D347" s="930">
        <v>0.63929999999999998</v>
      </c>
      <c r="E347" s="930">
        <v>0.63929999999999998</v>
      </c>
      <c r="F347" s="930">
        <v>0.63929999999999998</v>
      </c>
      <c r="G347" s="930">
        <v>0.52259999999999995</v>
      </c>
      <c r="H347" s="930">
        <v>0.52259999999999995</v>
      </c>
      <c r="I347" s="930">
        <v>0.44340000000000002</v>
      </c>
      <c r="J347" s="930">
        <v>0.44340000000000002</v>
      </c>
      <c r="K347" s="930">
        <v>0.44340000000000002</v>
      </c>
      <c r="L347" s="930">
        <v>0.44340000000000002</v>
      </c>
      <c r="M347" s="930">
        <v>0.44340000000000002</v>
      </c>
    </row>
    <row r="348" spans="1:13">
      <c r="A348" s="937">
        <v>7.9</v>
      </c>
      <c r="B348" s="930">
        <v>0.69099999999999995</v>
      </c>
      <c r="C348" s="930">
        <v>0.69099999999999995</v>
      </c>
      <c r="D348" s="930">
        <v>0.63749999999999996</v>
      </c>
      <c r="E348" s="930">
        <v>0.63749999999999996</v>
      </c>
      <c r="F348" s="930">
        <v>0.63749999999999996</v>
      </c>
      <c r="G348" s="930">
        <v>0.52059999999999995</v>
      </c>
      <c r="H348" s="930">
        <v>0.52059999999999995</v>
      </c>
      <c r="I348" s="930">
        <v>0.44130000000000003</v>
      </c>
      <c r="J348" s="930">
        <v>0.44130000000000003</v>
      </c>
      <c r="K348" s="930">
        <v>0.44130000000000003</v>
      </c>
      <c r="L348" s="930">
        <v>0.44130000000000003</v>
      </c>
      <c r="M348" s="930">
        <v>0.44130000000000003</v>
      </c>
    </row>
    <row r="349" spans="1:13">
      <c r="A349" s="937">
        <v>8</v>
      </c>
      <c r="B349" s="930">
        <v>0.68959999999999999</v>
      </c>
      <c r="C349" s="930">
        <v>0.68959999999999999</v>
      </c>
      <c r="D349" s="930">
        <v>0.63570000000000004</v>
      </c>
      <c r="E349" s="930">
        <v>0.63570000000000004</v>
      </c>
      <c r="F349" s="930">
        <v>0.63570000000000004</v>
      </c>
      <c r="G349" s="930">
        <v>0.51859999999999995</v>
      </c>
      <c r="H349" s="930">
        <v>0.51859999999999995</v>
      </c>
      <c r="I349" s="930">
        <v>0.43919999999999998</v>
      </c>
      <c r="J349" s="930">
        <v>0.43919999999999998</v>
      </c>
      <c r="K349" s="930">
        <v>0.43919999999999998</v>
      </c>
      <c r="L349" s="930">
        <v>0.43919999999999998</v>
      </c>
      <c r="M349" s="930">
        <v>0.43919999999999998</v>
      </c>
    </row>
    <row r="350" spans="1:13">
      <c r="A350" s="937">
        <v>8.1</v>
      </c>
      <c r="B350" s="930">
        <v>0.68820000000000003</v>
      </c>
      <c r="C350" s="930">
        <v>0.68820000000000003</v>
      </c>
      <c r="D350" s="930">
        <v>0.63390000000000002</v>
      </c>
      <c r="E350" s="930">
        <v>0.63390000000000002</v>
      </c>
      <c r="F350" s="930">
        <v>0.63390000000000002</v>
      </c>
      <c r="G350" s="930">
        <v>0.51659999999999995</v>
      </c>
      <c r="H350" s="930">
        <v>0.51659999999999995</v>
      </c>
      <c r="I350" s="930">
        <v>0.43730000000000002</v>
      </c>
      <c r="J350" s="930">
        <v>0.43730000000000002</v>
      </c>
      <c r="K350" s="930">
        <v>0.43730000000000002</v>
      </c>
      <c r="L350" s="930">
        <v>0.43730000000000002</v>
      </c>
      <c r="M350" s="930">
        <v>0.43730000000000002</v>
      </c>
    </row>
    <row r="351" spans="1:13">
      <c r="A351" s="937">
        <v>8.1999999999999993</v>
      </c>
      <c r="B351" s="930">
        <v>0.68679999999999997</v>
      </c>
      <c r="C351" s="930">
        <v>0.68679999999999997</v>
      </c>
      <c r="D351" s="930">
        <v>0.63219999999999998</v>
      </c>
      <c r="E351" s="930">
        <v>0.63219999999999998</v>
      </c>
      <c r="F351" s="930">
        <v>0.63219999999999998</v>
      </c>
      <c r="G351" s="930">
        <v>0.51459999999999995</v>
      </c>
      <c r="H351" s="930">
        <v>0.51459999999999995</v>
      </c>
      <c r="I351" s="930">
        <v>0.43530000000000002</v>
      </c>
      <c r="J351" s="930">
        <v>0.43530000000000002</v>
      </c>
      <c r="K351" s="930">
        <v>0.43530000000000002</v>
      </c>
      <c r="L351" s="930">
        <v>0.43530000000000002</v>
      </c>
      <c r="M351" s="930">
        <v>0.43530000000000002</v>
      </c>
    </row>
    <row r="352" spans="1:13">
      <c r="A352" s="937">
        <v>8.3000000000000007</v>
      </c>
      <c r="B352" s="930">
        <v>0.68540000000000001</v>
      </c>
      <c r="C352" s="930">
        <v>0.68540000000000001</v>
      </c>
      <c r="D352" s="930">
        <v>0.63049999999999995</v>
      </c>
      <c r="E352" s="930">
        <v>0.63049999999999995</v>
      </c>
      <c r="F352" s="930">
        <v>0.63049999999999995</v>
      </c>
      <c r="G352" s="930">
        <v>0.51259999999999994</v>
      </c>
      <c r="H352" s="930">
        <v>0.51259999999999994</v>
      </c>
      <c r="I352" s="930">
        <v>0.43330000000000002</v>
      </c>
      <c r="J352" s="930">
        <v>0.43330000000000002</v>
      </c>
      <c r="K352" s="930">
        <v>0.43330000000000002</v>
      </c>
      <c r="L352" s="930">
        <v>0.43330000000000002</v>
      </c>
      <c r="M352" s="930">
        <v>0.43330000000000002</v>
      </c>
    </row>
    <row r="353" spans="1:13">
      <c r="A353" s="937">
        <v>8.4</v>
      </c>
      <c r="B353" s="930">
        <v>0.68400000000000005</v>
      </c>
      <c r="C353" s="930">
        <v>0.68400000000000005</v>
      </c>
      <c r="D353" s="930">
        <v>0.62880000000000003</v>
      </c>
      <c r="E353" s="930">
        <v>0.62880000000000003</v>
      </c>
      <c r="F353" s="930">
        <v>0.62880000000000003</v>
      </c>
      <c r="G353" s="930">
        <v>0.51070000000000004</v>
      </c>
      <c r="H353" s="930">
        <v>0.51070000000000004</v>
      </c>
      <c r="I353" s="930">
        <v>0.43130000000000002</v>
      </c>
      <c r="J353" s="930">
        <v>0.43130000000000002</v>
      </c>
      <c r="K353" s="930">
        <v>0.43130000000000002</v>
      </c>
      <c r="L353" s="930">
        <v>0.43130000000000002</v>
      </c>
      <c r="M353" s="930">
        <v>0.43130000000000002</v>
      </c>
    </row>
    <row r="354" spans="1:13">
      <c r="A354" s="937">
        <v>8.5</v>
      </c>
      <c r="B354" s="930">
        <v>0.68259999999999998</v>
      </c>
      <c r="C354" s="930">
        <v>0.68259999999999998</v>
      </c>
      <c r="D354" s="930">
        <v>0.62709999999999999</v>
      </c>
      <c r="E354" s="930">
        <v>0.62709999999999999</v>
      </c>
      <c r="F354" s="930">
        <v>0.62709999999999999</v>
      </c>
      <c r="G354" s="930">
        <v>0.50880000000000003</v>
      </c>
      <c r="H354" s="930">
        <v>0.50880000000000003</v>
      </c>
      <c r="I354" s="930">
        <v>0.4294</v>
      </c>
      <c r="J354" s="930">
        <v>0.4294</v>
      </c>
      <c r="K354" s="930">
        <v>0.4294</v>
      </c>
      <c r="L354" s="930">
        <v>0.4294</v>
      </c>
      <c r="M354" s="930">
        <v>0.4294</v>
      </c>
    </row>
    <row r="355" spans="1:13">
      <c r="A355" s="937">
        <v>8.6</v>
      </c>
      <c r="B355" s="930">
        <v>0.68120000000000003</v>
      </c>
      <c r="C355" s="930">
        <v>0.68120000000000003</v>
      </c>
      <c r="D355" s="930">
        <v>0.62539999999999996</v>
      </c>
      <c r="E355" s="930">
        <v>0.62539999999999996</v>
      </c>
      <c r="F355" s="930">
        <v>0.62539999999999996</v>
      </c>
      <c r="G355" s="930">
        <v>0.50690000000000002</v>
      </c>
      <c r="H355" s="930">
        <v>0.50690000000000002</v>
      </c>
      <c r="I355" s="930">
        <v>0.4274</v>
      </c>
      <c r="J355" s="930">
        <v>0.4274</v>
      </c>
      <c r="K355" s="930">
        <v>0.4274</v>
      </c>
      <c r="L355" s="930">
        <v>0.4274</v>
      </c>
      <c r="M355" s="930">
        <v>0.4274</v>
      </c>
    </row>
    <row r="356" spans="1:13">
      <c r="A356" s="937">
        <v>8.6999999999999993</v>
      </c>
      <c r="B356" s="930">
        <v>0.67989999999999995</v>
      </c>
      <c r="C356" s="930">
        <v>0.67989999999999995</v>
      </c>
      <c r="D356" s="930">
        <v>0.62370000000000003</v>
      </c>
      <c r="E356" s="930">
        <v>0.62370000000000003</v>
      </c>
      <c r="F356" s="930">
        <v>0.62370000000000003</v>
      </c>
      <c r="G356" s="930">
        <v>0.505</v>
      </c>
      <c r="H356" s="930">
        <v>0.505</v>
      </c>
      <c r="I356" s="930">
        <v>0.4254</v>
      </c>
      <c r="J356" s="930">
        <v>0.4254</v>
      </c>
      <c r="K356" s="930">
        <v>0.4254</v>
      </c>
      <c r="L356" s="930">
        <v>0.4254</v>
      </c>
      <c r="M356" s="930">
        <v>0.4254</v>
      </c>
    </row>
    <row r="357" spans="1:13">
      <c r="A357" s="937">
        <v>8.8000000000000007</v>
      </c>
      <c r="B357" s="930">
        <v>0.67859999999999998</v>
      </c>
      <c r="C357" s="930">
        <v>0.67859999999999998</v>
      </c>
      <c r="D357" s="930">
        <v>0.622</v>
      </c>
      <c r="E357" s="930">
        <v>0.622</v>
      </c>
      <c r="F357" s="930">
        <v>0.622</v>
      </c>
      <c r="G357" s="930">
        <v>0.50309999999999999</v>
      </c>
      <c r="H357" s="930">
        <v>0.50309999999999999</v>
      </c>
      <c r="I357" s="930">
        <v>0.4234</v>
      </c>
      <c r="J357" s="930">
        <v>0.4234</v>
      </c>
      <c r="K357" s="930">
        <v>0.4234</v>
      </c>
      <c r="L357" s="930">
        <v>0.4234</v>
      </c>
      <c r="M357" s="930">
        <v>0.4234</v>
      </c>
    </row>
    <row r="358" spans="1:13">
      <c r="A358" s="937">
        <v>8.9</v>
      </c>
      <c r="B358" s="930">
        <v>0.67730000000000001</v>
      </c>
      <c r="C358" s="930">
        <v>0.67730000000000001</v>
      </c>
      <c r="D358" s="930">
        <v>0.62029999999999996</v>
      </c>
      <c r="E358" s="930">
        <v>0.62029999999999996</v>
      </c>
      <c r="F358" s="930">
        <v>0.62029999999999996</v>
      </c>
      <c r="G358" s="930">
        <v>0.50119999999999998</v>
      </c>
      <c r="H358" s="930">
        <v>0.50119999999999998</v>
      </c>
      <c r="I358" s="930">
        <v>0.42149999999999999</v>
      </c>
      <c r="J358" s="930">
        <v>0.42149999999999999</v>
      </c>
      <c r="K358" s="930">
        <v>0.42149999999999999</v>
      </c>
      <c r="L358" s="930">
        <v>0.42149999999999999</v>
      </c>
      <c r="M358" s="930">
        <v>0.42149999999999999</v>
      </c>
    </row>
    <row r="359" spans="1:13">
      <c r="A359" s="921">
        <v>9</v>
      </c>
      <c r="B359" s="930">
        <v>0.67600000000000005</v>
      </c>
      <c r="C359" s="930">
        <v>0.67600000000000005</v>
      </c>
      <c r="D359" s="930">
        <v>0.61870000000000003</v>
      </c>
      <c r="E359" s="930">
        <v>0.61870000000000003</v>
      </c>
      <c r="F359" s="930">
        <v>0.61870000000000003</v>
      </c>
      <c r="G359" s="930">
        <v>0.49930000000000002</v>
      </c>
      <c r="H359" s="930">
        <v>0.49930000000000002</v>
      </c>
      <c r="I359" s="930">
        <v>0.41949999999999998</v>
      </c>
      <c r="J359" s="930">
        <v>0.41949999999999998</v>
      </c>
      <c r="K359" s="930">
        <v>0.41949999999999998</v>
      </c>
      <c r="L359" s="930">
        <v>0.41949999999999998</v>
      </c>
      <c r="M359" s="930">
        <v>0.41949999999999998</v>
      </c>
    </row>
    <row r="360" spans="1:13">
      <c r="A360" s="921">
        <v>9.1</v>
      </c>
      <c r="B360" s="930">
        <v>0.67469999999999997</v>
      </c>
      <c r="C360" s="930">
        <v>0.67469999999999997</v>
      </c>
      <c r="D360" s="930">
        <v>0.61709999999999998</v>
      </c>
      <c r="E360" s="930">
        <v>0.61709999999999998</v>
      </c>
      <c r="F360" s="930">
        <v>0.61709999999999998</v>
      </c>
      <c r="G360" s="930">
        <v>0.49740000000000001</v>
      </c>
      <c r="H360" s="930">
        <v>0.49740000000000001</v>
      </c>
      <c r="I360" s="930">
        <v>0.41760000000000003</v>
      </c>
      <c r="J360" s="930">
        <v>0.41760000000000003</v>
      </c>
      <c r="K360" s="930">
        <v>0.41760000000000003</v>
      </c>
      <c r="L360" s="930">
        <v>0.41760000000000003</v>
      </c>
      <c r="M360" s="930">
        <v>0.41760000000000003</v>
      </c>
    </row>
    <row r="361" spans="1:13">
      <c r="A361" s="921">
        <v>9.1999999999999993</v>
      </c>
      <c r="B361" s="930">
        <v>0.6734</v>
      </c>
      <c r="C361" s="930">
        <v>0.6734</v>
      </c>
      <c r="D361" s="930">
        <v>0.61550000000000005</v>
      </c>
      <c r="E361" s="930">
        <v>0.61550000000000005</v>
      </c>
      <c r="F361" s="930">
        <v>0.61550000000000005</v>
      </c>
      <c r="G361" s="930">
        <v>0.49559999999999998</v>
      </c>
      <c r="H361" s="930">
        <v>0.49559999999999998</v>
      </c>
      <c r="I361" s="930">
        <v>0.41570000000000001</v>
      </c>
      <c r="J361" s="930">
        <v>0.41570000000000001</v>
      </c>
      <c r="K361" s="930">
        <v>0.41570000000000001</v>
      </c>
      <c r="L361" s="930">
        <v>0.41570000000000001</v>
      </c>
      <c r="M361" s="930">
        <v>0.41570000000000001</v>
      </c>
    </row>
    <row r="362" spans="1:13">
      <c r="A362" s="921">
        <v>9.3000000000000007</v>
      </c>
      <c r="B362" s="930">
        <v>0.67210000000000003</v>
      </c>
      <c r="C362" s="930">
        <v>0.67210000000000003</v>
      </c>
      <c r="D362" s="930">
        <v>0.6139</v>
      </c>
      <c r="E362" s="930">
        <v>0.6139</v>
      </c>
      <c r="F362" s="930">
        <v>0.6139</v>
      </c>
      <c r="G362" s="930">
        <v>0.49380000000000002</v>
      </c>
      <c r="H362" s="930">
        <v>0.49380000000000002</v>
      </c>
      <c r="I362" s="930">
        <v>0.4138</v>
      </c>
      <c r="J362" s="930">
        <v>0.4138</v>
      </c>
      <c r="K362" s="930">
        <v>0.4138</v>
      </c>
      <c r="L362" s="930">
        <v>0.4138</v>
      </c>
      <c r="M362" s="930">
        <v>0.4138</v>
      </c>
    </row>
    <row r="363" spans="1:13">
      <c r="A363" s="921">
        <v>9.4</v>
      </c>
      <c r="B363" s="930">
        <v>0.67079999999999995</v>
      </c>
      <c r="C363" s="930">
        <v>0.67079999999999995</v>
      </c>
      <c r="D363" s="930">
        <v>0.61229999999999996</v>
      </c>
      <c r="E363" s="930">
        <v>0.61229999999999996</v>
      </c>
      <c r="F363" s="930">
        <v>0.61229999999999996</v>
      </c>
      <c r="G363" s="930">
        <v>0.49199999999999999</v>
      </c>
      <c r="H363" s="930">
        <v>0.49199999999999999</v>
      </c>
      <c r="I363" s="930">
        <v>0.41189999999999999</v>
      </c>
      <c r="J363" s="930">
        <v>0.41189999999999999</v>
      </c>
      <c r="K363" s="930">
        <v>0.41189999999999999</v>
      </c>
      <c r="L363" s="930">
        <v>0.41189999999999999</v>
      </c>
      <c r="M363" s="930">
        <v>0.41189999999999999</v>
      </c>
    </row>
    <row r="364" spans="1:13">
      <c r="A364" s="921">
        <v>9.5</v>
      </c>
      <c r="B364" s="930">
        <v>0.66959999999999997</v>
      </c>
      <c r="C364" s="930">
        <v>0.66959999999999997</v>
      </c>
      <c r="D364" s="930">
        <v>0.61070000000000002</v>
      </c>
      <c r="E364" s="930">
        <v>0.61070000000000002</v>
      </c>
      <c r="F364" s="930">
        <v>0.61070000000000002</v>
      </c>
      <c r="G364" s="930">
        <v>0.49020000000000002</v>
      </c>
      <c r="H364" s="930">
        <v>0.49020000000000002</v>
      </c>
      <c r="I364" s="930">
        <v>0.41</v>
      </c>
      <c r="J364" s="930">
        <v>0.41</v>
      </c>
      <c r="K364" s="930">
        <v>0.41</v>
      </c>
      <c r="L364" s="930">
        <v>0.41</v>
      </c>
      <c r="M364" s="930">
        <v>0.41</v>
      </c>
    </row>
    <row r="365" spans="1:13">
      <c r="A365" s="937">
        <v>9.6</v>
      </c>
      <c r="B365" s="930">
        <v>0.66839999999999999</v>
      </c>
      <c r="C365" s="930">
        <v>0.66839999999999999</v>
      </c>
      <c r="D365" s="930">
        <v>0.60909999999999997</v>
      </c>
      <c r="E365" s="930">
        <v>0.60909999999999997</v>
      </c>
      <c r="F365" s="930">
        <v>0.60909999999999997</v>
      </c>
      <c r="G365" s="930">
        <v>0.4884</v>
      </c>
      <c r="H365" s="930">
        <v>0.4884</v>
      </c>
      <c r="I365" s="930">
        <v>0.40810000000000002</v>
      </c>
      <c r="J365" s="930">
        <v>0.40810000000000002</v>
      </c>
      <c r="K365" s="930">
        <v>0.40810000000000002</v>
      </c>
      <c r="L365" s="930">
        <v>0.40810000000000002</v>
      </c>
      <c r="M365" s="930">
        <v>0.40810000000000002</v>
      </c>
    </row>
    <row r="366" spans="1:13">
      <c r="A366" s="921">
        <v>9.6999999999999993</v>
      </c>
      <c r="B366" s="930">
        <v>0.66720000000000002</v>
      </c>
      <c r="C366" s="930">
        <v>0.66720000000000002</v>
      </c>
      <c r="D366" s="930">
        <v>0.60750000000000004</v>
      </c>
      <c r="E366" s="930">
        <v>0.60750000000000004</v>
      </c>
      <c r="F366" s="930">
        <v>0.60750000000000004</v>
      </c>
      <c r="G366" s="930">
        <v>0.48659999999999998</v>
      </c>
      <c r="H366" s="930">
        <v>0.48659999999999998</v>
      </c>
      <c r="I366" s="930">
        <v>0.40620000000000001</v>
      </c>
      <c r="J366" s="930">
        <v>0.40620000000000001</v>
      </c>
      <c r="K366" s="930">
        <v>0.40620000000000001</v>
      </c>
      <c r="L366" s="930">
        <v>0.40620000000000001</v>
      </c>
      <c r="M366" s="930">
        <v>0.40620000000000001</v>
      </c>
    </row>
    <row r="367" spans="1:13">
      <c r="A367" s="921">
        <v>9.8000000000000007</v>
      </c>
      <c r="B367" s="930">
        <v>0.66600000000000004</v>
      </c>
      <c r="C367" s="930">
        <v>0.66600000000000004</v>
      </c>
      <c r="D367" s="930">
        <v>0.60599999999999998</v>
      </c>
      <c r="E367" s="930">
        <v>0.60599999999999998</v>
      </c>
      <c r="F367" s="930">
        <v>0.60599999999999998</v>
      </c>
      <c r="G367" s="930">
        <v>0.48480000000000001</v>
      </c>
      <c r="H367" s="930">
        <v>0.48480000000000001</v>
      </c>
      <c r="I367" s="930">
        <v>0.40429999999999999</v>
      </c>
      <c r="J367" s="930">
        <v>0.40429999999999999</v>
      </c>
      <c r="K367" s="930">
        <v>0.40429999999999999</v>
      </c>
      <c r="L367" s="930">
        <v>0.40429999999999999</v>
      </c>
      <c r="M367" s="930">
        <v>0.40429999999999999</v>
      </c>
    </row>
    <row r="368" spans="1:13">
      <c r="A368" s="921">
        <v>9.9</v>
      </c>
      <c r="B368" s="930">
        <v>0.66479999999999995</v>
      </c>
      <c r="C368" s="930">
        <v>0.66479999999999995</v>
      </c>
      <c r="D368" s="930">
        <v>0.60450000000000004</v>
      </c>
      <c r="E368" s="930">
        <v>0.60450000000000004</v>
      </c>
      <c r="F368" s="930">
        <v>0.60450000000000004</v>
      </c>
      <c r="G368" s="930">
        <v>0.48299999999999998</v>
      </c>
      <c r="H368" s="930">
        <v>0.48299999999999998</v>
      </c>
      <c r="I368" s="930">
        <v>0.40239999999999998</v>
      </c>
      <c r="J368" s="930">
        <v>0.40239999999999998</v>
      </c>
      <c r="K368" s="930">
        <v>0.40239999999999998</v>
      </c>
      <c r="L368" s="930">
        <v>0.40239999999999998</v>
      </c>
      <c r="M368" s="930">
        <v>0.40239999999999998</v>
      </c>
    </row>
    <row r="369" spans="1:14" ht="14.25">
      <c r="A369" s="3084" t="s">
        <v>2775</v>
      </c>
      <c r="B369" s="930"/>
      <c r="C369" s="930"/>
      <c r="D369" s="930"/>
      <c r="E369" s="930"/>
      <c r="F369" s="930"/>
      <c r="G369" s="930"/>
      <c r="H369" s="930"/>
      <c r="I369" s="930"/>
      <c r="J369" s="930"/>
      <c r="K369" s="930"/>
      <c r="L369" s="930"/>
      <c r="M369" s="930"/>
    </row>
    <row r="370" spans="1:14">
      <c r="A370" s="921" t="s">
        <v>1548</v>
      </c>
      <c r="B370" s="930" t="s">
        <v>990</v>
      </c>
      <c r="C370" s="930" t="s">
        <v>1031</v>
      </c>
      <c r="D370" s="930" t="s">
        <v>1145</v>
      </c>
      <c r="E370" s="930" t="s">
        <v>853</v>
      </c>
      <c r="F370" s="930" t="s">
        <v>1152</v>
      </c>
      <c r="G370" s="930" t="s">
        <v>1153</v>
      </c>
      <c r="H370" s="930" t="s">
        <v>1154</v>
      </c>
      <c r="I370" s="930" t="s">
        <v>1155</v>
      </c>
      <c r="J370" s="930" t="s">
        <v>1156</v>
      </c>
      <c r="K370" s="930" t="s">
        <v>1157</v>
      </c>
      <c r="L370" s="930" t="s">
        <v>2758</v>
      </c>
      <c r="M370" s="930" t="s">
        <v>2759</v>
      </c>
      <c r="N370" s="920" t="e">
        <f>SUMPRODUCT((A371:A460=ROUNDDOWN([5]基准地价修正!G3,1))*(B370:M370=[5]基准地价修正!G2)*(B371:M460))</f>
        <v>#REF!</v>
      </c>
    </row>
    <row r="371" spans="1:14">
      <c r="A371" s="921">
        <v>1</v>
      </c>
      <c r="B371" s="930">
        <v>1.1839999999999999</v>
      </c>
      <c r="C371" s="930">
        <v>1.1839999999999999</v>
      </c>
      <c r="D371" s="930">
        <v>1.1565000000000001</v>
      </c>
      <c r="E371" s="930">
        <v>1.1565000000000001</v>
      </c>
      <c r="F371" s="930">
        <v>1.1565000000000001</v>
      </c>
      <c r="G371" s="930">
        <v>1.1565000000000001</v>
      </c>
      <c r="H371" s="930">
        <v>1.1565000000000001</v>
      </c>
      <c r="I371" s="930">
        <v>1.1198999999999999</v>
      </c>
      <c r="J371" s="930">
        <v>1.1198999999999999</v>
      </c>
      <c r="K371" s="930">
        <v>1.1198999999999999</v>
      </c>
      <c r="L371" s="930">
        <v>1.1198999999999999</v>
      </c>
      <c r="M371" s="930">
        <v>1.1198999999999999</v>
      </c>
    </row>
    <row r="372" spans="1:14">
      <c r="A372" s="921">
        <v>1.1000000000000001</v>
      </c>
      <c r="B372" s="930">
        <v>1.1658999999999999</v>
      </c>
      <c r="C372" s="930">
        <v>1.1658999999999999</v>
      </c>
      <c r="D372" s="930">
        <v>1.1364000000000001</v>
      </c>
      <c r="E372" s="930">
        <v>1.1364000000000001</v>
      </c>
      <c r="F372" s="930">
        <v>1.1364000000000001</v>
      </c>
      <c r="G372" s="930">
        <v>1.1364000000000001</v>
      </c>
      <c r="H372" s="930">
        <v>1.1364000000000001</v>
      </c>
      <c r="I372" s="930">
        <v>1.0931</v>
      </c>
      <c r="J372" s="930">
        <v>1.0931</v>
      </c>
      <c r="K372" s="930">
        <v>1.0931</v>
      </c>
      <c r="L372" s="930">
        <v>1.0931</v>
      </c>
      <c r="M372" s="930">
        <v>1.0931</v>
      </c>
    </row>
    <row r="373" spans="1:14">
      <c r="A373" s="921">
        <v>1.2</v>
      </c>
      <c r="B373" s="930">
        <v>1.1489</v>
      </c>
      <c r="C373" s="930">
        <v>1.1489</v>
      </c>
      <c r="D373" s="930">
        <v>1.1174999999999999</v>
      </c>
      <c r="E373" s="930">
        <v>1.1174999999999999</v>
      </c>
      <c r="F373" s="930">
        <v>1.1174999999999999</v>
      </c>
      <c r="G373" s="930">
        <v>1.1174999999999999</v>
      </c>
      <c r="H373" s="930">
        <v>1.1174999999999999</v>
      </c>
      <c r="I373" s="930">
        <v>1.0678000000000001</v>
      </c>
      <c r="J373" s="930">
        <v>1.0678000000000001</v>
      </c>
      <c r="K373" s="930">
        <v>1.0678000000000001</v>
      </c>
      <c r="L373" s="930">
        <v>1.0678000000000001</v>
      </c>
      <c r="M373" s="930">
        <v>1.0678000000000001</v>
      </c>
    </row>
    <row r="374" spans="1:14">
      <c r="A374" s="921">
        <v>1.3</v>
      </c>
      <c r="B374" s="930">
        <v>1.1328</v>
      </c>
      <c r="C374" s="930">
        <v>1.1328</v>
      </c>
      <c r="D374" s="930">
        <v>1.0995999999999999</v>
      </c>
      <c r="E374" s="930">
        <v>1.0995999999999999</v>
      </c>
      <c r="F374" s="930">
        <v>1.0995999999999999</v>
      </c>
      <c r="G374" s="930">
        <v>1.0995999999999999</v>
      </c>
      <c r="H374" s="930">
        <v>1.0995999999999999</v>
      </c>
      <c r="I374" s="930">
        <v>1.044</v>
      </c>
      <c r="J374" s="930">
        <v>1.044</v>
      </c>
      <c r="K374" s="930">
        <v>1.044</v>
      </c>
      <c r="L374" s="930">
        <v>1.044</v>
      </c>
      <c r="M374" s="930">
        <v>1.044</v>
      </c>
    </row>
    <row r="375" spans="1:14">
      <c r="A375" s="921">
        <v>1.4</v>
      </c>
      <c r="B375" s="930">
        <v>1.1175999999999999</v>
      </c>
      <c r="C375" s="930">
        <v>1.1175999999999999</v>
      </c>
      <c r="D375" s="930">
        <v>1.0827</v>
      </c>
      <c r="E375" s="930">
        <v>1.0827</v>
      </c>
      <c r="F375" s="930">
        <v>1.0827</v>
      </c>
      <c r="G375" s="930">
        <v>1.0827</v>
      </c>
      <c r="H375" s="930">
        <v>1.0827</v>
      </c>
      <c r="I375" s="930">
        <v>1.0214000000000001</v>
      </c>
      <c r="J375" s="930">
        <v>1.0214000000000001</v>
      </c>
      <c r="K375" s="930">
        <v>1.0214000000000001</v>
      </c>
      <c r="L375" s="930">
        <v>1.0214000000000001</v>
      </c>
      <c r="M375" s="930">
        <v>1.0214000000000001</v>
      </c>
    </row>
    <row r="376" spans="1:14">
      <c r="A376" s="921">
        <v>1.5</v>
      </c>
      <c r="B376" s="930">
        <v>1.1032999999999999</v>
      </c>
      <c r="C376" s="930">
        <v>1.1032999999999999</v>
      </c>
      <c r="D376" s="930">
        <v>1.0668</v>
      </c>
      <c r="E376" s="930">
        <v>1.0668</v>
      </c>
      <c r="F376" s="930">
        <v>1.0668</v>
      </c>
      <c r="G376" s="930">
        <v>1.0668</v>
      </c>
      <c r="H376" s="930">
        <v>1.0668</v>
      </c>
      <c r="I376" s="930">
        <v>1</v>
      </c>
      <c r="J376" s="930">
        <v>1</v>
      </c>
      <c r="K376" s="930">
        <v>1</v>
      </c>
      <c r="L376" s="930">
        <v>1</v>
      </c>
      <c r="M376" s="930">
        <v>1</v>
      </c>
    </row>
    <row r="377" spans="1:14">
      <c r="A377" s="921">
        <v>1.6</v>
      </c>
      <c r="B377" s="930">
        <v>1.0899000000000001</v>
      </c>
      <c r="C377" s="930">
        <v>1.0899000000000001</v>
      </c>
      <c r="D377" s="930">
        <v>1.0517000000000001</v>
      </c>
      <c r="E377" s="930">
        <v>1.0517000000000001</v>
      </c>
      <c r="F377" s="930">
        <v>1.0517000000000001</v>
      </c>
      <c r="G377" s="930">
        <v>1.0517000000000001</v>
      </c>
      <c r="H377" s="930">
        <v>1.0517000000000001</v>
      </c>
      <c r="I377" s="930">
        <v>0.97989999999999999</v>
      </c>
      <c r="J377" s="930">
        <v>0.97989999999999999</v>
      </c>
      <c r="K377" s="930">
        <v>0.97989999999999999</v>
      </c>
      <c r="L377" s="930">
        <v>0.97989999999999999</v>
      </c>
      <c r="M377" s="930">
        <v>0.97989999999999999</v>
      </c>
    </row>
    <row r="378" spans="1:14">
      <c r="A378" s="921">
        <v>1.7</v>
      </c>
      <c r="B378" s="930">
        <v>1.0771999999999999</v>
      </c>
      <c r="C378" s="930">
        <v>1.0771999999999999</v>
      </c>
      <c r="D378" s="930">
        <v>1.0376000000000001</v>
      </c>
      <c r="E378" s="930">
        <v>1.0376000000000001</v>
      </c>
      <c r="F378" s="930">
        <v>1.0376000000000001</v>
      </c>
      <c r="G378" s="930">
        <v>1.0376000000000001</v>
      </c>
      <c r="H378" s="930">
        <v>1.0376000000000001</v>
      </c>
      <c r="I378" s="930">
        <v>0.96089999999999998</v>
      </c>
      <c r="J378" s="930">
        <v>0.96089999999999998</v>
      </c>
      <c r="K378" s="930">
        <v>0.96089999999999998</v>
      </c>
      <c r="L378" s="930">
        <v>0.96089999999999998</v>
      </c>
      <c r="M378" s="930">
        <v>0.96089999999999998</v>
      </c>
    </row>
    <row r="379" spans="1:14">
      <c r="A379" s="921">
        <v>1.8</v>
      </c>
      <c r="B379" s="930">
        <v>1.0652999999999999</v>
      </c>
      <c r="C379" s="930">
        <v>1.0652999999999999</v>
      </c>
      <c r="D379" s="930">
        <v>1.0243</v>
      </c>
      <c r="E379" s="930">
        <v>1.0243</v>
      </c>
      <c r="F379" s="930">
        <v>1.0243</v>
      </c>
      <c r="G379" s="930">
        <v>1.0243</v>
      </c>
      <c r="H379" s="930">
        <v>1.0243</v>
      </c>
      <c r="I379" s="930">
        <v>0.94299999999999995</v>
      </c>
      <c r="J379" s="930">
        <v>0.94299999999999995</v>
      </c>
      <c r="K379" s="930">
        <v>0.94299999999999995</v>
      </c>
      <c r="L379" s="930">
        <v>0.94299999999999995</v>
      </c>
      <c r="M379" s="930">
        <v>0.94299999999999995</v>
      </c>
    </row>
    <row r="380" spans="1:14">
      <c r="A380" s="921">
        <v>1.9</v>
      </c>
      <c r="B380" s="930">
        <v>1.054</v>
      </c>
      <c r="C380" s="930">
        <v>1.054</v>
      </c>
      <c r="D380" s="930">
        <v>1.0118</v>
      </c>
      <c r="E380" s="930">
        <v>1.0118</v>
      </c>
      <c r="F380" s="930">
        <v>1.0118</v>
      </c>
      <c r="G380" s="930">
        <v>1.0118</v>
      </c>
      <c r="H380" s="930">
        <v>1.0118</v>
      </c>
      <c r="I380" s="930">
        <v>0.92620000000000002</v>
      </c>
      <c r="J380" s="930">
        <v>0.92620000000000002</v>
      </c>
      <c r="K380" s="930">
        <v>0.92620000000000002</v>
      </c>
      <c r="L380" s="930">
        <v>0.92620000000000002</v>
      </c>
      <c r="M380" s="930">
        <v>0.92620000000000002</v>
      </c>
    </row>
    <row r="381" spans="1:14">
      <c r="A381" s="921">
        <v>2</v>
      </c>
      <c r="B381" s="930">
        <v>1.0435000000000001</v>
      </c>
      <c r="C381" s="930">
        <v>1.0435000000000001</v>
      </c>
      <c r="D381" s="930">
        <v>1</v>
      </c>
      <c r="E381" s="930">
        <v>1</v>
      </c>
      <c r="F381" s="930">
        <v>1</v>
      </c>
      <c r="G381" s="930">
        <v>1</v>
      </c>
      <c r="H381" s="930">
        <v>1</v>
      </c>
      <c r="I381" s="930">
        <v>0.9103</v>
      </c>
      <c r="J381" s="930">
        <v>0.9103</v>
      </c>
      <c r="K381" s="930">
        <v>0.9103</v>
      </c>
      <c r="L381" s="930">
        <v>0.9103</v>
      </c>
      <c r="M381" s="930">
        <v>0.9103</v>
      </c>
    </row>
    <row r="382" spans="1:14">
      <c r="A382" s="921">
        <v>2.1</v>
      </c>
      <c r="B382" s="930">
        <v>1.0336000000000001</v>
      </c>
      <c r="C382" s="930">
        <v>1.0336000000000001</v>
      </c>
      <c r="D382" s="930">
        <v>0.98899999999999999</v>
      </c>
      <c r="E382" s="930">
        <v>0.98899999999999999</v>
      </c>
      <c r="F382" s="930">
        <v>0.98899999999999999</v>
      </c>
      <c r="G382" s="930">
        <v>0.98899999999999999</v>
      </c>
      <c r="H382" s="930">
        <v>0.98899999999999999</v>
      </c>
      <c r="I382" s="930">
        <v>0.89539999999999997</v>
      </c>
      <c r="J382" s="930">
        <v>0.89539999999999997</v>
      </c>
      <c r="K382" s="930">
        <v>0.89539999999999997</v>
      </c>
      <c r="L382" s="930">
        <v>0.89539999999999997</v>
      </c>
      <c r="M382" s="930">
        <v>0.89539999999999997</v>
      </c>
    </row>
    <row r="383" spans="1:14">
      <c r="A383" s="921">
        <v>2.2000000000000002</v>
      </c>
      <c r="B383" s="930">
        <v>1.0243</v>
      </c>
      <c r="C383" s="930">
        <v>1.0243</v>
      </c>
      <c r="D383" s="930">
        <v>0.97860000000000003</v>
      </c>
      <c r="E383" s="930">
        <v>0.97860000000000003</v>
      </c>
      <c r="F383" s="930">
        <v>0.97860000000000003</v>
      </c>
      <c r="G383" s="930">
        <v>0.97860000000000003</v>
      </c>
      <c r="H383" s="930">
        <v>0.97860000000000003</v>
      </c>
      <c r="I383" s="930">
        <v>0.88139999999999996</v>
      </c>
      <c r="J383" s="930">
        <v>0.88139999999999996</v>
      </c>
      <c r="K383" s="930">
        <v>0.88139999999999996</v>
      </c>
      <c r="L383" s="930">
        <v>0.88139999999999996</v>
      </c>
      <c r="M383" s="930">
        <v>0.88139999999999996</v>
      </c>
    </row>
    <row r="384" spans="1:14">
      <c r="A384" s="921">
        <v>2.2999999999999998</v>
      </c>
      <c r="B384" s="930">
        <v>1.0157</v>
      </c>
      <c r="C384" s="930">
        <v>1.0157</v>
      </c>
      <c r="D384" s="930">
        <v>0.96889999999999998</v>
      </c>
      <c r="E384" s="930">
        <v>0.96889999999999998</v>
      </c>
      <c r="F384" s="930">
        <v>0.96889999999999998</v>
      </c>
      <c r="G384" s="930">
        <v>0.96889999999999998</v>
      </c>
      <c r="H384" s="930">
        <v>0.96889999999999998</v>
      </c>
      <c r="I384" s="930">
        <v>0.86819999999999997</v>
      </c>
      <c r="J384" s="930">
        <v>0.86819999999999997</v>
      </c>
      <c r="K384" s="930">
        <v>0.86819999999999997</v>
      </c>
      <c r="L384" s="930">
        <v>0.86819999999999997</v>
      </c>
      <c r="M384" s="930">
        <v>0.86819999999999997</v>
      </c>
    </row>
    <row r="385" spans="1:13">
      <c r="A385" s="921">
        <v>2.4</v>
      </c>
      <c r="B385" s="930">
        <v>1.0076000000000001</v>
      </c>
      <c r="C385" s="930">
        <v>1.0076000000000001</v>
      </c>
      <c r="D385" s="930">
        <v>0.95979999999999999</v>
      </c>
      <c r="E385" s="930">
        <v>0.95979999999999999</v>
      </c>
      <c r="F385" s="930">
        <v>0.95979999999999999</v>
      </c>
      <c r="G385" s="930">
        <v>0.95979999999999999</v>
      </c>
      <c r="H385" s="930">
        <v>0.95979999999999999</v>
      </c>
      <c r="I385" s="930">
        <v>0.85580000000000001</v>
      </c>
      <c r="J385" s="930">
        <v>0.85580000000000001</v>
      </c>
      <c r="K385" s="930">
        <v>0.85580000000000001</v>
      </c>
      <c r="L385" s="930">
        <v>0.85580000000000001</v>
      </c>
      <c r="M385" s="930">
        <v>0.85580000000000001</v>
      </c>
    </row>
    <row r="386" spans="1:13">
      <c r="A386" s="921">
        <v>2.5</v>
      </c>
      <c r="B386" s="930">
        <v>1</v>
      </c>
      <c r="C386" s="930">
        <v>1</v>
      </c>
      <c r="D386" s="930">
        <v>0.95120000000000005</v>
      </c>
      <c r="E386" s="930">
        <v>0.95120000000000005</v>
      </c>
      <c r="F386" s="930">
        <v>0.95120000000000005</v>
      </c>
      <c r="G386" s="930">
        <v>0.95120000000000005</v>
      </c>
      <c r="H386" s="930">
        <v>0.95120000000000005</v>
      </c>
      <c r="I386" s="930">
        <v>0.84419999999999995</v>
      </c>
      <c r="J386" s="930">
        <v>0.84419999999999995</v>
      </c>
      <c r="K386" s="930">
        <v>0.84419999999999995</v>
      </c>
      <c r="L386" s="930">
        <v>0.84419999999999995</v>
      </c>
      <c r="M386" s="930">
        <v>0.84419999999999995</v>
      </c>
    </row>
    <row r="387" spans="1:13">
      <c r="A387" s="921">
        <v>2.6</v>
      </c>
      <c r="B387" s="930">
        <v>0.9929</v>
      </c>
      <c r="C387" s="930">
        <v>0.9929</v>
      </c>
      <c r="D387" s="930">
        <v>0.94320000000000004</v>
      </c>
      <c r="E387" s="930">
        <v>0.94320000000000004</v>
      </c>
      <c r="F387" s="930">
        <v>0.94320000000000004</v>
      </c>
      <c r="G387" s="930">
        <v>0.94320000000000004</v>
      </c>
      <c r="H387" s="930">
        <v>0.94320000000000004</v>
      </c>
      <c r="I387" s="930">
        <v>0.83330000000000004</v>
      </c>
      <c r="J387" s="930">
        <v>0.83330000000000004</v>
      </c>
      <c r="K387" s="930">
        <v>0.83330000000000004</v>
      </c>
      <c r="L387" s="930">
        <v>0.83330000000000004</v>
      </c>
      <c r="M387" s="930">
        <v>0.83330000000000004</v>
      </c>
    </row>
    <row r="388" spans="1:13">
      <c r="A388" s="921">
        <v>2.7</v>
      </c>
      <c r="B388" s="930">
        <v>0.98629999999999995</v>
      </c>
      <c r="C388" s="930">
        <v>0.98629999999999995</v>
      </c>
      <c r="D388" s="930">
        <v>0.93569999999999998</v>
      </c>
      <c r="E388" s="930">
        <v>0.93569999999999998</v>
      </c>
      <c r="F388" s="930">
        <v>0.93569999999999998</v>
      </c>
      <c r="G388" s="930">
        <v>0.93569999999999998</v>
      </c>
      <c r="H388" s="930">
        <v>0.93569999999999998</v>
      </c>
      <c r="I388" s="930">
        <v>0.82320000000000004</v>
      </c>
      <c r="J388" s="930">
        <v>0.82320000000000004</v>
      </c>
      <c r="K388" s="930">
        <v>0.82320000000000004</v>
      </c>
      <c r="L388" s="930">
        <v>0.82320000000000004</v>
      </c>
      <c r="M388" s="930">
        <v>0.82320000000000004</v>
      </c>
    </row>
    <row r="389" spans="1:13">
      <c r="A389" s="921">
        <v>2.8</v>
      </c>
      <c r="B389" s="930">
        <v>0.98009999999999997</v>
      </c>
      <c r="C389" s="930">
        <v>0.98009999999999997</v>
      </c>
      <c r="D389" s="930">
        <v>0.92879999999999996</v>
      </c>
      <c r="E389" s="930">
        <v>0.92879999999999996</v>
      </c>
      <c r="F389" s="930">
        <v>0.92879999999999996</v>
      </c>
      <c r="G389" s="930">
        <v>0.92879999999999996</v>
      </c>
      <c r="H389" s="930">
        <v>0.92879999999999996</v>
      </c>
      <c r="I389" s="930">
        <v>0.81359999999999999</v>
      </c>
      <c r="J389" s="930">
        <v>0.81359999999999999</v>
      </c>
      <c r="K389" s="930">
        <v>0.81359999999999999</v>
      </c>
      <c r="L389" s="930">
        <v>0.81359999999999999</v>
      </c>
      <c r="M389" s="930">
        <v>0.81359999999999999</v>
      </c>
    </row>
    <row r="390" spans="1:13">
      <c r="A390" s="921">
        <v>2.9</v>
      </c>
      <c r="B390" s="930">
        <v>0.97430000000000005</v>
      </c>
      <c r="C390" s="930">
        <v>0.97430000000000005</v>
      </c>
      <c r="D390" s="930">
        <v>0.92220000000000002</v>
      </c>
      <c r="E390" s="930">
        <v>0.92220000000000002</v>
      </c>
      <c r="F390" s="930">
        <v>0.92220000000000002</v>
      </c>
      <c r="G390" s="930">
        <v>0.92220000000000002</v>
      </c>
      <c r="H390" s="930">
        <v>0.92220000000000002</v>
      </c>
      <c r="I390" s="930">
        <v>0.80459999999999998</v>
      </c>
      <c r="J390" s="930">
        <v>0.80459999999999998</v>
      </c>
      <c r="K390" s="930">
        <v>0.80459999999999998</v>
      </c>
      <c r="L390" s="930">
        <v>0.80459999999999998</v>
      </c>
      <c r="M390" s="930">
        <v>0.80459999999999998</v>
      </c>
    </row>
    <row r="391" spans="1:13">
      <c r="A391" s="921">
        <v>3</v>
      </c>
      <c r="B391" s="930">
        <v>0.96889999999999998</v>
      </c>
      <c r="C391" s="930">
        <v>0.96889999999999998</v>
      </c>
      <c r="D391" s="930">
        <v>0.91610000000000003</v>
      </c>
      <c r="E391" s="930">
        <v>0.91610000000000003</v>
      </c>
      <c r="F391" s="930">
        <v>0.91610000000000003</v>
      </c>
      <c r="G391" s="930">
        <v>0.91610000000000003</v>
      </c>
      <c r="H391" s="930">
        <v>0.91610000000000003</v>
      </c>
      <c r="I391" s="930">
        <v>0.79620000000000002</v>
      </c>
      <c r="J391" s="930">
        <v>0.79620000000000002</v>
      </c>
      <c r="K391" s="930">
        <v>0.79620000000000002</v>
      </c>
      <c r="L391" s="930">
        <v>0.79620000000000002</v>
      </c>
      <c r="M391" s="930">
        <v>0.79620000000000002</v>
      </c>
    </row>
    <row r="392" spans="1:13">
      <c r="A392" s="921">
        <v>3.1</v>
      </c>
      <c r="B392" s="930">
        <v>0.96389999999999998</v>
      </c>
      <c r="C392" s="930">
        <v>0.96389999999999998</v>
      </c>
      <c r="D392" s="930">
        <v>0.91039999999999999</v>
      </c>
      <c r="E392" s="930">
        <v>0.91039999999999999</v>
      </c>
      <c r="F392" s="930">
        <v>0.91039999999999999</v>
      </c>
      <c r="G392" s="930">
        <v>0.91039999999999999</v>
      </c>
      <c r="H392" s="930">
        <v>0.91039999999999999</v>
      </c>
      <c r="I392" s="930">
        <v>0.7883</v>
      </c>
      <c r="J392" s="930">
        <v>0.7883</v>
      </c>
      <c r="K392" s="930">
        <v>0.7883</v>
      </c>
      <c r="L392" s="930">
        <v>0.7883</v>
      </c>
      <c r="M392" s="930">
        <v>0.7883</v>
      </c>
    </row>
    <row r="393" spans="1:13">
      <c r="A393" s="921">
        <v>3.2</v>
      </c>
      <c r="B393" s="930">
        <v>0.95930000000000004</v>
      </c>
      <c r="C393" s="930">
        <v>0.95930000000000004</v>
      </c>
      <c r="D393" s="930">
        <v>0.9052</v>
      </c>
      <c r="E393" s="930">
        <v>0.9052</v>
      </c>
      <c r="F393" s="930">
        <v>0.9052</v>
      </c>
      <c r="G393" s="930">
        <v>0.9052</v>
      </c>
      <c r="H393" s="930">
        <v>0.9052</v>
      </c>
      <c r="I393" s="930">
        <v>0.78090000000000004</v>
      </c>
      <c r="J393" s="930">
        <v>0.78090000000000004</v>
      </c>
      <c r="K393" s="930">
        <v>0.78090000000000004</v>
      </c>
      <c r="L393" s="930">
        <v>0.78090000000000004</v>
      </c>
      <c r="M393" s="930">
        <v>0.78090000000000004</v>
      </c>
    </row>
    <row r="394" spans="1:13">
      <c r="A394" s="921">
        <v>3.3</v>
      </c>
      <c r="B394" s="930">
        <v>0.95489999999999997</v>
      </c>
      <c r="C394" s="930">
        <v>0.95489999999999997</v>
      </c>
      <c r="D394" s="930">
        <v>0.9002</v>
      </c>
      <c r="E394" s="930">
        <v>0.9002</v>
      </c>
      <c r="F394" s="930">
        <v>0.9002</v>
      </c>
      <c r="G394" s="930">
        <v>0.9002</v>
      </c>
      <c r="H394" s="930">
        <v>0.9002</v>
      </c>
      <c r="I394" s="930">
        <v>0.77410000000000001</v>
      </c>
      <c r="J394" s="930">
        <v>0.77410000000000001</v>
      </c>
      <c r="K394" s="930">
        <v>0.77410000000000001</v>
      </c>
      <c r="L394" s="930">
        <v>0.77410000000000001</v>
      </c>
      <c r="M394" s="930">
        <v>0.77410000000000001</v>
      </c>
    </row>
    <row r="395" spans="1:13">
      <c r="A395" s="921">
        <v>3.4</v>
      </c>
      <c r="B395" s="930">
        <v>0.95089999999999997</v>
      </c>
      <c r="C395" s="930">
        <v>0.95089999999999997</v>
      </c>
      <c r="D395" s="930">
        <v>0.89559999999999995</v>
      </c>
      <c r="E395" s="930">
        <v>0.89559999999999995</v>
      </c>
      <c r="F395" s="930">
        <v>0.89559999999999995</v>
      </c>
      <c r="G395" s="930">
        <v>0.89559999999999995</v>
      </c>
      <c r="H395" s="930">
        <v>0.89559999999999995</v>
      </c>
      <c r="I395" s="930">
        <v>0.76759999999999995</v>
      </c>
      <c r="J395" s="930">
        <v>0.76759999999999995</v>
      </c>
      <c r="K395" s="930">
        <v>0.76759999999999995</v>
      </c>
      <c r="L395" s="930">
        <v>0.76759999999999995</v>
      </c>
      <c r="M395" s="930">
        <v>0.76759999999999995</v>
      </c>
    </row>
    <row r="396" spans="1:13">
      <c r="A396" s="921">
        <v>3.5</v>
      </c>
      <c r="B396" s="930">
        <v>0.94710000000000005</v>
      </c>
      <c r="C396" s="930">
        <v>0.94710000000000005</v>
      </c>
      <c r="D396" s="930">
        <v>0.89129999999999998</v>
      </c>
      <c r="E396" s="930">
        <v>0.89129999999999998</v>
      </c>
      <c r="F396" s="930">
        <v>0.89129999999999998</v>
      </c>
      <c r="G396" s="930">
        <v>0.89129999999999998</v>
      </c>
      <c r="H396" s="930">
        <v>0.89129999999999998</v>
      </c>
      <c r="I396" s="930">
        <v>0.76160000000000005</v>
      </c>
      <c r="J396" s="930">
        <v>0.76160000000000005</v>
      </c>
      <c r="K396" s="930">
        <v>0.76160000000000005</v>
      </c>
      <c r="L396" s="930">
        <v>0.76160000000000005</v>
      </c>
      <c r="M396" s="930">
        <v>0.76160000000000005</v>
      </c>
    </row>
    <row r="397" spans="1:13">
      <c r="A397" s="921">
        <v>3.6</v>
      </c>
      <c r="B397" s="930">
        <v>0.94359999999999999</v>
      </c>
      <c r="C397" s="930">
        <v>0.94359999999999999</v>
      </c>
      <c r="D397" s="930">
        <v>0.88729999999999998</v>
      </c>
      <c r="E397" s="930">
        <v>0.88729999999999998</v>
      </c>
      <c r="F397" s="930">
        <v>0.88729999999999998</v>
      </c>
      <c r="G397" s="930">
        <v>0.88729999999999998</v>
      </c>
      <c r="H397" s="930">
        <v>0.88729999999999998</v>
      </c>
      <c r="I397" s="930">
        <v>0.75590000000000002</v>
      </c>
      <c r="J397" s="930">
        <v>0.75590000000000002</v>
      </c>
      <c r="K397" s="930">
        <v>0.75590000000000002</v>
      </c>
      <c r="L397" s="930">
        <v>0.75590000000000002</v>
      </c>
      <c r="M397" s="930">
        <v>0.75590000000000002</v>
      </c>
    </row>
    <row r="398" spans="1:13">
      <c r="A398" s="937">
        <v>3.7</v>
      </c>
      <c r="B398" s="930">
        <v>0.94040000000000001</v>
      </c>
      <c r="C398" s="930">
        <v>0.94040000000000001</v>
      </c>
      <c r="D398" s="930">
        <v>0.88349999999999995</v>
      </c>
      <c r="E398" s="930">
        <v>0.88349999999999995</v>
      </c>
      <c r="F398" s="930">
        <v>0.88349999999999995</v>
      </c>
      <c r="G398" s="930">
        <v>0.88349999999999995</v>
      </c>
      <c r="H398" s="930">
        <v>0.88349999999999995</v>
      </c>
      <c r="I398" s="930">
        <v>0.75070000000000003</v>
      </c>
      <c r="J398" s="930">
        <v>0.75070000000000003</v>
      </c>
      <c r="K398" s="930">
        <v>0.75070000000000003</v>
      </c>
      <c r="L398" s="930">
        <v>0.75070000000000003</v>
      </c>
      <c r="M398" s="930">
        <v>0.75070000000000003</v>
      </c>
    </row>
    <row r="399" spans="1:13">
      <c r="A399" s="937">
        <v>3.8</v>
      </c>
      <c r="B399" s="930">
        <v>0.93740000000000001</v>
      </c>
      <c r="C399" s="930">
        <v>0.93740000000000001</v>
      </c>
      <c r="D399" s="930">
        <v>0.88009999999999999</v>
      </c>
      <c r="E399" s="930">
        <v>0.88009999999999999</v>
      </c>
      <c r="F399" s="930">
        <v>0.88009999999999999</v>
      </c>
      <c r="G399" s="930">
        <v>0.88009999999999999</v>
      </c>
      <c r="H399" s="930">
        <v>0.88009999999999999</v>
      </c>
      <c r="I399" s="930">
        <v>0.74570000000000003</v>
      </c>
      <c r="J399" s="930">
        <v>0.74570000000000003</v>
      </c>
      <c r="K399" s="930">
        <v>0.74570000000000003</v>
      </c>
      <c r="L399" s="930">
        <v>0.74570000000000003</v>
      </c>
      <c r="M399" s="930">
        <v>0.74570000000000003</v>
      </c>
    </row>
    <row r="400" spans="1:13">
      <c r="A400" s="937">
        <v>3.9</v>
      </c>
      <c r="B400" s="930">
        <v>0.93459999999999999</v>
      </c>
      <c r="C400" s="930">
        <v>0.93459999999999999</v>
      </c>
      <c r="D400" s="930">
        <v>0.87680000000000002</v>
      </c>
      <c r="E400" s="930">
        <v>0.87680000000000002</v>
      </c>
      <c r="F400" s="930">
        <v>0.87680000000000002</v>
      </c>
      <c r="G400" s="930">
        <v>0.87680000000000002</v>
      </c>
      <c r="H400" s="930">
        <v>0.87680000000000002</v>
      </c>
      <c r="I400" s="930">
        <v>0.74109999999999998</v>
      </c>
      <c r="J400" s="930">
        <v>0.74109999999999998</v>
      </c>
      <c r="K400" s="930">
        <v>0.74109999999999998</v>
      </c>
      <c r="L400" s="930">
        <v>0.74109999999999998</v>
      </c>
      <c r="M400" s="930">
        <v>0.74109999999999998</v>
      </c>
    </row>
    <row r="401" spans="1:13">
      <c r="A401" s="937">
        <v>4</v>
      </c>
      <c r="B401" s="930">
        <v>0.93179999999999996</v>
      </c>
      <c r="C401" s="930">
        <v>0.93179999999999996</v>
      </c>
      <c r="D401" s="930">
        <v>0.87380000000000002</v>
      </c>
      <c r="E401" s="930">
        <v>0.87380000000000002</v>
      </c>
      <c r="F401" s="930">
        <v>0.87380000000000002</v>
      </c>
      <c r="G401" s="930">
        <v>0.87380000000000002</v>
      </c>
      <c r="H401" s="930">
        <v>0.87380000000000002</v>
      </c>
      <c r="I401" s="930">
        <v>0.73680000000000001</v>
      </c>
      <c r="J401" s="930">
        <v>0.73680000000000001</v>
      </c>
      <c r="K401" s="930">
        <v>0.73680000000000001</v>
      </c>
      <c r="L401" s="930">
        <v>0.73680000000000001</v>
      </c>
      <c r="M401" s="930">
        <v>0.73680000000000001</v>
      </c>
    </row>
    <row r="402" spans="1:13">
      <c r="A402" s="937">
        <v>4.0999999999999996</v>
      </c>
      <c r="B402" s="930">
        <v>0.92920000000000003</v>
      </c>
      <c r="C402" s="930">
        <v>0.92920000000000003</v>
      </c>
      <c r="D402" s="930">
        <v>0.87090000000000001</v>
      </c>
      <c r="E402" s="930">
        <v>0.87090000000000001</v>
      </c>
      <c r="F402" s="930">
        <v>0.87090000000000001</v>
      </c>
      <c r="G402" s="930">
        <v>0.87090000000000001</v>
      </c>
      <c r="H402" s="930">
        <v>0.87090000000000001</v>
      </c>
      <c r="I402" s="930">
        <v>0.73270000000000002</v>
      </c>
      <c r="J402" s="930">
        <v>0.73270000000000002</v>
      </c>
      <c r="K402" s="930">
        <v>0.73270000000000002</v>
      </c>
      <c r="L402" s="930">
        <v>0.73270000000000002</v>
      </c>
      <c r="M402" s="930">
        <v>0.73270000000000002</v>
      </c>
    </row>
    <row r="403" spans="1:13">
      <c r="A403" s="937">
        <v>4.2</v>
      </c>
      <c r="B403" s="930">
        <v>0.92659999999999998</v>
      </c>
      <c r="C403" s="930">
        <v>0.92659999999999998</v>
      </c>
      <c r="D403" s="930">
        <v>0.86819999999999997</v>
      </c>
      <c r="E403" s="930">
        <v>0.86819999999999997</v>
      </c>
      <c r="F403" s="930">
        <v>0.86819999999999997</v>
      </c>
      <c r="G403" s="930">
        <v>0.86819999999999997</v>
      </c>
      <c r="H403" s="930">
        <v>0.86819999999999997</v>
      </c>
      <c r="I403" s="930">
        <v>0.7288</v>
      </c>
      <c r="J403" s="930">
        <v>0.7288</v>
      </c>
      <c r="K403" s="930">
        <v>0.7288</v>
      </c>
      <c r="L403" s="930">
        <v>0.7288</v>
      </c>
      <c r="M403" s="930">
        <v>0.7288</v>
      </c>
    </row>
    <row r="404" spans="1:13">
      <c r="A404" s="937">
        <v>4.3</v>
      </c>
      <c r="B404" s="930">
        <v>0.92410000000000003</v>
      </c>
      <c r="C404" s="930">
        <v>0.92410000000000003</v>
      </c>
      <c r="D404" s="930">
        <v>0.86550000000000005</v>
      </c>
      <c r="E404" s="930">
        <v>0.86550000000000005</v>
      </c>
      <c r="F404" s="930">
        <v>0.86550000000000005</v>
      </c>
      <c r="G404" s="930">
        <v>0.86550000000000005</v>
      </c>
      <c r="H404" s="930">
        <v>0.86550000000000005</v>
      </c>
      <c r="I404" s="930">
        <v>0.72509999999999997</v>
      </c>
      <c r="J404" s="930">
        <v>0.72509999999999997</v>
      </c>
      <c r="K404" s="930">
        <v>0.72509999999999997</v>
      </c>
      <c r="L404" s="930">
        <v>0.72509999999999997</v>
      </c>
      <c r="M404" s="930">
        <v>0.72509999999999997</v>
      </c>
    </row>
    <row r="405" spans="1:13">
      <c r="A405" s="937">
        <v>4.4000000000000004</v>
      </c>
      <c r="B405" s="930">
        <v>0.92179999999999995</v>
      </c>
      <c r="C405" s="930">
        <v>0.92179999999999995</v>
      </c>
      <c r="D405" s="930">
        <v>0.8629</v>
      </c>
      <c r="E405" s="930">
        <v>0.8629</v>
      </c>
      <c r="F405" s="930">
        <v>0.8629</v>
      </c>
      <c r="G405" s="930">
        <v>0.8629</v>
      </c>
      <c r="H405" s="930">
        <v>0.8629</v>
      </c>
      <c r="I405" s="930">
        <v>0.72150000000000003</v>
      </c>
      <c r="J405" s="930">
        <v>0.72150000000000003</v>
      </c>
      <c r="K405" s="930">
        <v>0.72150000000000003</v>
      </c>
      <c r="L405" s="930">
        <v>0.72150000000000003</v>
      </c>
      <c r="M405" s="930">
        <v>0.72150000000000003</v>
      </c>
    </row>
    <row r="406" spans="1:13">
      <c r="A406" s="937">
        <v>4.5</v>
      </c>
      <c r="B406" s="930">
        <v>0.91949999999999998</v>
      </c>
      <c r="C406" s="930">
        <v>0.91949999999999998</v>
      </c>
      <c r="D406" s="930">
        <v>0.86050000000000004</v>
      </c>
      <c r="E406" s="930">
        <v>0.86050000000000004</v>
      </c>
      <c r="F406" s="930">
        <v>0.86050000000000004</v>
      </c>
      <c r="G406" s="930">
        <v>0.86050000000000004</v>
      </c>
      <c r="H406" s="930">
        <v>0.86050000000000004</v>
      </c>
      <c r="I406" s="930">
        <v>0.71819999999999995</v>
      </c>
      <c r="J406" s="930">
        <v>0.71819999999999995</v>
      </c>
      <c r="K406" s="930">
        <v>0.71819999999999995</v>
      </c>
      <c r="L406" s="930">
        <v>0.71819999999999995</v>
      </c>
      <c r="M406" s="930">
        <v>0.71819999999999995</v>
      </c>
    </row>
    <row r="407" spans="1:13">
      <c r="A407" s="937">
        <v>4.5999999999999996</v>
      </c>
      <c r="B407" s="930">
        <v>0.9173</v>
      </c>
      <c r="C407" s="930">
        <v>0.9173</v>
      </c>
      <c r="D407" s="930">
        <v>0.85809999999999997</v>
      </c>
      <c r="E407" s="930">
        <v>0.85809999999999997</v>
      </c>
      <c r="F407" s="930">
        <v>0.85809999999999997</v>
      </c>
      <c r="G407" s="930">
        <v>0.85809999999999997</v>
      </c>
      <c r="H407" s="930">
        <v>0.85809999999999997</v>
      </c>
      <c r="I407" s="930">
        <v>0.71499999999999997</v>
      </c>
      <c r="J407" s="930">
        <v>0.71499999999999997</v>
      </c>
      <c r="K407" s="930">
        <v>0.71499999999999997</v>
      </c>
      <c r="L407" s="930">
        <v>0.71499999999999997</v>
      </c>
      <c r="M407" s="930">
        <v>0.71499999999999997</v>
      </c>
    </row>
    <row r="408" spans="1:13">
      <c r="A408" s="937">
        <v>4.7</v>
      </c>
      <c r="B408" s="930">
        <v>0.91520000000000001</v>
      </c>
      <c r="C408" s="930">
        <v>0.91520000000000001</v>
      </c>
      <c r="D408" s="930">
        <v>0.85570000000000002</v>
      </c>
      <c r="E408" s="930">
        <v>0.85570000000000002</v>
      </c>
      <c r="F408" s="930">
        <v>0.85570000000000002</v>
      </c>
      <c r="G408" s="930">
        <v>0.85570000000000002</v>
      </c>
      <c r="H408" s="930">
        <v>0.85570000000000002</v>
      </c>
      <c r="I408" s="930">
        <v>0.71199999999999997</v>
      </c>
      <c r="J408" s="930">
        <v>0.71199999999999997</v>
      </c>
      <c r="K408" s="930">
        <v>0.71199999999999997</v>
      </c>
      <c r="L408" s="930">
        <v>0.71199999999999997</v>
      </c>
      <c r="M408" s="930">
        <v>0.71199999999999997</v>
      </c>
    </row>
    <row r="409" spans="1:13">
      <c r="A409" s="937">
        <v>4.8</v>
      </c>
      <c r="B409" s="930">
        <v>0.91310000000000002</v>
      </c>
      <c r="C409" s="930">
        <v>0.91310000000000002</v>
      </c>
      <c r="D409" s="930">
        <v>0.85340000000000005</v>
      </c>
      <c r="E409" s="930">
        <v>0.85340000000000005</v>
      </c>
      <c r="F409" s="930">
        <v>0.85340000000000005</v>
      </c>
      <c r="G409" s="930">
        <v>0.85340000000000005</v>
      </c>
      <c r="H409" s="930">
        <v>0.85340000000000005</v>
      </c>
      <c r="I409" s="930">
        <v>0.70909999999999995</v>
      </c>
      <c r="J409" s="930">
        <v>0.70909999999999995</v>
      </c>
      <c r="K409" s="930">
        <v>0.70909999999999995</v>
      </c>
      <c r="L409" s="930">
        <v>0.70909999999999995</v>
      </c>
      <c r="M409" s="930">
        <v>0.70909999999999995</v>
      </c>
    </row>
    <row r="410" spans="1:13">
      <c r="A410" s="937">
        <v>4.9000000000000004</v>
      </c>
      <c r="B410" s="930">
        <v>0.91120000000000001</v>
      </c>
      <c r="C410" s="930">
        <v>0.91120000000000001</v>
      </c>
      <c r="D410" s="930">
        <v>0.85109999999999997</v>
      </c>
      <c r="E410" s="930">
        <v>0.85109999999999997</v>
      </c>
      <c r="F410" s="930">
        <v>0.85109999999999997</v>
      </c>
      <c r="G410" s="930">
        <v>0.85109999999999997</v>
      </c>
      <c r="H410" s="930">
        <v>0.85109999999999997</v>
      </c>
      <c r="I410" s="930">
        <v>0.70620000000000005</v>
      </c>
      <c r="J410" s="930">
        <v>0.70620000000000005</v>
      </c>
      <c r="K410" s="930">
        <v>0.70620000000000005</v>
      </c>
      <c r="L410" s="930">
        <v>0.70620000000000005</v>
      </c>
      <c r="M410" s="930">
        <v>0.70620000000000005</v>
      </c>
    </row>
    <row r="411" spans="1:13">
      <c r="A411" s="937">
        <v>5</v>
      </c>
      <c r="B411" s="930">
        <v>0.90920000000000001</v>
      </c>
      <c r="C411" s="930">
        <v>0.90920000000000001</v>
      </c>
      <c r="D411" s="930">
        <v>0.84889999999999999</v>
      </c>
      <c r="E411" s="930">
        <v>0.84889999999999999</v>
      </c>
      <c r="F411" s="930">
        <v>0.84889999999999999</v>
      </c>
      <c r="G411" s="930">
        <v>0.84889999999999999</v>
      </c>
      <c r="H411" s="930">
        <v>0.84889999999999999</v>
      </c>
      <c r="I411" s="930">
        <v>0.70350000000000001</v>
      </c>
      <c r="J411" s="930">
        <v>0.70350000000000001</v>
      </c>
      <c r="K411" s="930">
        <v>0.70350000000000001</v>
      </c>
      <c r="L411" s="930">
        <v>0.70350000000000001</v>
      </c>
      <c r="M411" s="930">
        <v>0.70350000000000001</v>
      </c>
    </row>
    <row r="412" spans="1:13">
      <c r="A412" s="937">
        <v>5.0999999999999996</v>
      </c>
      <c r="B412" s="930">
        <v>0.90720000000000001</v>
      </c>
      <c r="C412" s="930">
        <v>0.90720000000000001</v>
      </c>
      <c r="D412" s="930">
        <v>0.84670000000000001</v>
      </c>
      <c r="E412" s="930">
        <v>0.84670000000000001</v>
      </c>
      <c r="F412" s="930">
        <v>0.84670000000000001</v>
      </c>
      <c r="G412" s="930">
        <v>0.84670000000000001</v>
      </c>
      <c r="H412" s="930">
        <v>0.84670000000000001</v>
      </c>
      <c r="I412" s="930">
        <v>0.70089999999999997</v>
      </c>
      <c r="J412" s="930">
        <v>0.70089999999999997</v>
      </c>
      <c r="K412" s="930">
        <v>0.70089999999999997</v>
      </c>
      <c r="L412" s="930">
        <v>0.70089999999999997</v>
      </c>
      <c r="M412" s="930">
        <v>0.70089999999999997</v>
      </c>
    </row>
    <row r="413" spans="1:13">
      <c r="A413" s="937">
        <v>5.2</v>
      </c>
      <c r="B413" s="930">
        <v>0.90529999999999999</v>
      </c>
      <c r="C413" s="930">
        <v>0.90529999999999999</v>
      </c>
      <c r="D413" s="930">
        <v>0.84450000000000003</v>
      </c>
      <c r="E413" s="930">
        <v>0.84450000000000003</v>
      </c>
      <c r="F413" s="930">
        <v>0.84450000000000003</v>
      </c>
      <c r="G413" s="930">
        <v>0.84450000000000003</v>
      </c>
      <c r="H413" s="930">
        <v>0.84450000000000003</v>
      </c>
      <c r="I413" s="930">
        <v>0.69820000000000004</v>
      </c>
      <c r="J413" s="930">
        <v>0.69820000000000004</v>
      </c>
      <c r="K413" s="930">
        <v>0.69820000000000004</v>
      </c>
      <c r="L413" s="930">
        <v>0.69820000000000004</v>
      </c>
      <c r="M413" s="930">
        <v>0.69820000000000004</v>
      </c>
    </row>
    <row r="414" spans="1:13">
      <c r="A414" s="937">
        <v>5.3</v>
      </c>
      <c r="B414" s="930">
        <v>0.90339999999999998</v>
      </c>
      <c r="C414" s="930">
        <v>0.90339999999999998</v>
      </c>
      <c r="D414" s="930">
        <v>0.84230000000000005</v>
      </c>
      <c r="E414" s="930">
        <v>0.84230000000000005</v>
      </c>
      <c r="F414" s="930">
        <v>0.84230000000000005</v>
      </c>
      <c r="G414" s="930">
        <v>0.84230000000000005</v>
      </c>
      <c r="H414" s="930">
        <v>0.84230000000000005</v>
      </c>
      <c r="I414" s="930">
        <v>0.69569999999999999</v>
      </c>
      <c r="J414" s="930">
        <v>0.69569999999999999</v>
      </c>
      <c r="K414" s="930">
        <v>0.69569999999999999</v>
      </c>
      <c r="L414" s="930">
        <v>0.69569999999999999</v>
      </c>
      <c r="M414" s="930">
        <v>0.69569999999999999</v>
      </c>
    </row>
    <row r="415" spans="1:13">
      <c r="A415" s="937">
        <v>5.4</v>
      </c>
      <c r="B415" s="930">
        <v>0.90149999999999997</v>
      </c>
      <c r="C415" s="930">
        <v>0.90149999999999997</v>
      </c>
      <c r="D415" s="930">
        <v>0.84019999999999995</v>
      </c>
      <c r="E415" s="930">
        <v>0.84019999999999995</v>
      </c>
      <c r="F415" s="930">
        <v>0.84019999999999995</v>
      </c>
      <c r="G415" s="930">
        <v>0.84019999999999995</v>
      </c>
      <c r="H415" s="930">
        <v>0.84019999999999995</v>
      </c>
      <c r="I415" s="930">
        <v>0.69310000000000005</v>
      </c>
      <c r="J415" s="930">
        <v>0.69310000000000005</v>
      </c>
      <c r="K415" s="930">
        <v>0.69310000000000005</v>
      </c>
      <c r="L415" s="930">
        <v>0.69310000000000005</v>
      </c>
      <c r="M415" s="930">
        <v>0.69310000000000005</v>
      </c>
    </row>
    <row r="416" spans="1:13">
      <c r="A416" s="937">
        <v>5.5</v>
      </c>
      <c r="B416" s="930">
        <v>0.89959999999999996</v>
      </c>
      <c r="C416" s="930">
        <v>0.89959999999999996</v>
      </c>
      <c r="D416" s="930">
        <v>0.83809999999999996</v>
      </c>
      <c r="E416" s="930">
        <v>0.83809999999999996</v>
      </c>
      <c r="F416" s="930">
        <v>0.83809999999999996</v>
      </c>
      <c r="G416" s="930">
        <v>0.83809999999999996</v>
      </c>
      <c r="H416" s="930">
        <v>0.83809999999999996</v>
      </c>
      <c r="I416" s="930">
        <v>0.69059999999999999</v>
      </c>
      <c r="J416" s="930">
        <v>0.69059999999999999</v>
      </c>
      <c r="K416" s="930">
        <v>0.69059999999999999</v>
      </c>
      <c r="L416" s="930">
        <v>0.69059999999999999</v>
      </c>
      <c r="M416" s="930">
        <v>0.69059999999999999</v>
      </c>
    </row>
    <row r="417" spans="1:13">
      <c r="A417" s="937">
        <v>5.6</v>
      </c>
      <c r="B417" s="930">
        <v>0.89780000000000004</v>
      </c>
      <c r="C417" s="930">
        <v>0.89780000000000004</v>
      </c>
      <c r="D417" s="930">
        <v>0.83599999999999997</v>
      </c>
      <c r="E417" s="930">
        <v>0.83599999999999997</v>
      </c>
      <c r="F417" s="930">
        <v>0.83599999999999997</v>
      </c>
      <c r="G417" s="930">
        <v>0.83599999999999997</v>
      </c>
      <c r="H417" s="930">
        <v>0.83599999999999997</v>
      </c>
      <c r="I417" s="930">
        <v>0.68810000000000004</v>
      </c>
      <c r="J417" s="930">
        <v>0.68810000000000004</v>
      </c>
      <c r="K417" s="930">
        <v>0.68810000000000004</v>
      </c>
      <c r="L417" s="930">
        <v>0.68810000000000004</v>
      </c>
      <c r="M417" s="930">
        <v>0.68810000000000004</v>
      </c>
    </row>
    <row r="418" spans="1:13">
      <c r="A418" s="937">
        <v>5.7</v>
      </c>
      <c r="B418" s="930">
        <v>0.89600000000000002</v>
      </c>
      <c r="C418" s="930">
        <v>0.89600000000000002</v>
      </c>
      <c r="D418" s="930">
        <v>0.83389999999999997</v>
      </c>
      <c r="E418" s="930">
        <v>0.83389999999999997</v>
      </c>
      <c r="F418" s="930">
        <v>0.83389999999999997</v>
      </c>
      <c r="G418" s="930">
        <v>0.83389999999999997</v>
      </c>
      <c r="H418" s="930">
        <v>0.83389999999999997</v>
      </c>
      <c r="I418" s="930">
        <v>0.68569999999999998</v>
      </c>
      <c r="J418" s="930">
        <v>0.68569999999999998</v>
      </c>
      <c r="K418" s="930">
        <v>0.68569999999999998</v>
      </c>
      <c r="L418" s="930">
        <v>0.68569999999999998</v>
      </c>
      <c r="M418" s="930">
        <v>0.68569999999999998</v>
      </c>
    </row>
    <row r="419" spans="1:13">
      <c r="A419" s="937">
        <v>5.8</v>
      </c>
      <c r="B419" s="930">
        <v>0.89419999999999999</v>
      </c>
      <c r="C419" s="930">
        <v>0.89419999999999999</v>
      </c>
      <c r="D419" s="930">
        <v>0.83189999999999997</v>
      </c>
      <c r="E419" s="930">
        <v>0.83189999999999997</v>
      </c>
      <c r="F419" s="930">
        <v>0.83189999999999997</v>
      </c>
      <c r="G419" s="930">
        <v>0.83189999999999997</v>
      </c>
      <c r="H419" s="930">
        <v>0.83189999999999997</v>
      </c>
      <c r="I419" s="930">
        <v>0.68320000000000003</v>
      </c>
      <c r="J419" s="930">
        <v>0.68320000000000003</v>
      </c>
      <c r="K419" s="930">
        <v>0.68320000000000003</v>
      </c>
      <c r="L419" s="930">
        <v>0.68320000000000003</v>
      </c>
      <c r="M419" s="930">
        <v>0.68320000000000003</v>
      </c>
    </row>
    <row r="420" spans="1:13">
      <c r="A420" s="937">
        <v>5.9</v>
      </c>
      <c r="B420" s="930">
        <v>0.89239999999999997</v>
      </c>
      <c r="C420" s="930">
        <v>0.89239999999999997</v>
      </c>
      <c r="D420" s="930">
        <v>0.82989999999999997</v>
      </c>
      <c r="E420" s="930">
        <v>0.82989999999999997</v>
      </c>
      <c r="F420" s="930">
        <v>0.82989999999999997</v>
      </c>
      <c r="G420" s="930">
        <v>0.82989999999999997</v>
      </c>
      <c r="H420" s="930">
        <v>0.82989999999999997</v>
      </c>
      <c r="I420" s="930">
        <v>0.68069999999999997</v>
      </c>
      <c r="J420" s="930">
        <v>0.68069999999999997</v>
      </c>
      <c r="K420" s="930">
        <v>0.68069999999999997</v>
      </c>
      <c r="L420" s="930">
        <v>0.68069999999999997</v>
      </c>
      <c r="M420" s="930">
        <v>0.68069999999999997</v>
      </c>
    </row>
    <row r="421" spans="1:13">
      <c r="A421" s="937">
        <v>6</v>
      </c>
      <c r="B421" s="930">
        <v>0.89070000000000005</v>
      </c>
      <c r="C421" s="930">
        <v>0.89070000000000005</v>
      </c>
      <c r="D421" s="930">
        <v>0.82789999999999997</v>
      </c>
      <c r="E421" s="930">
        <v>0.82789999999999997</v>
      </c>
      <c r="F421" s="930">
        <v>0.82789999999999997</v>
      </c>
      <c r="G421" s="930">
        <v>0.82789999999999997</v>
      </c>
      <c r="H421" s="930">
        <v>0.82789999999999997</v>
      </c>
      <c r="I421" s="930">
        <v>0.6784</v>
      </c>
      <c r="J421" s="930">
        <v>0.6784</v>
      </c>
      <c r="K421" s="930">
        <v>0.6784</v>
      </c>
      <c r="L421" s="930">
        <v>0.6784</v>
      </c>
      <c r="M421" s="930">
        <v>0.6784</v>
      </c>
    </row>
    <row r="422" spans="1:13">
      <c r="A422" s="937">
        <v>6.1</v>
      </c>
      <c r="B422" s="930">
        <v>0.88900000000000001</v>
      </c>
      <c r="C422" s="930">
        <v>0.88900000000000001</v>
      </c>
      <c r="D422" s="930">
        <v>0.82589999999999997</v>
      </c>
      <c r="E422" s="930">
        <v>0.82589999999999997</v>
      </c>
      <c r="F422" s="930">
        <v>0.82589999999999997</v>
      </c>
      <c r="G422" s="930">
        <v>0.82589999999999997</v>
      </c>
      <c r="H422" s="930">
        <v>0.82589999999999997</v>
      </c>
      <c r="I422" s="930">
        <v>0.67600000000000005</v>
      </c>
      <c r="J422" s="930">
        <v>0.67600000000000005</v>
      </c>
      <c r="K422" s="930">
        <v>0.67600000000000005</v>
      </c>
      <c r="L422" s="930">
        <v>0.67600000000000005</v>
      </c>
      <c r="M422" s="930">
        <v>0.67600000000000005</v>
      </c>
    </row>
    <row r="423" spans="1:13">
      <c r="A423" s="937">
        <v>6.2</v>
      </c>
      <c r="B423" s="930">
        <v>0.88729999999999998</v>
      </c>
      <c r="C423" s="930">
        <v>0.88729999999999998</v>
      </c>
      <c r="D423" s="930">
        <v>0.82389999999999997</v>
      </c>
      <c r="E423" s="930">
        <v>0.82389999999999997</v>
      </c>
      <c r="F423" s="930">
        <v>0.82389999999999997</v>
      </c>
      <c r="G423" s="930">
        <v>0.82389999999999997</v>
      </c>
      <c r="H423" s="930">
        <v>0.82389999999999997</v>
      </c>
      <c r="I423" s="930">
        <v>0.67359999999999998</v>
      </c>
      <c r="J423" s="930">
        <v>0.67359999999999998</v>
      </c>
      <c r="K423" s="930">
        <v>0.67359999999999998</v>
      </c>
      <c r="L423" s="930">
        <v>0.67359999999999998</v>
      </c>
      <c r="M423" s="930">
        <v>0.67359999999999998</v>
      </c>
    </row>
    <row r="424" spans="1:13">
      <c r="A424" s="937">
        <v>6.3</v>
      </c>
      <c r="B424" s="930">
        <v>0.88560000000000005</v>
      </c>
      <c r="C424" s="930">
        <v>0.88560000000000005</v>
      </c>
      <c r="D424" s="930">
        <v>0.82189999999999996</v>
      </c>
      <c r="E424" s="930">
        <v>0.82189999999999996</v>
      </c>
      <c r="F424" s="930">
        <v>0.82189999999999996</v>
      </c>
      <c r="G424" s="930">
        <v>0.82189999999999996</v>
      </c>
      <c r="H424" s="930">
        <v>0.82189999999999996</v>
      </c>
      <c r="I424" s="930">
        <v>0.67130000000000001</v>
      </c>
      <c r="J424" s="930">
        <v>0.67130000000000001</v>
      </c>
      <c r="K424" s="930">
        <v>0.67130000000000001</v>
      </c>
      <c r="L424" s="930">
        <v>0.67130000000000001</v>
      </c>
      <c r="M424" s="930">
        <v>0.67130000000000001</v>
      </c>
    </row>
    <row r="425" spans="1:13">
      <c r="A425" s="937">
        <v>6.4</v>
      </c>
      <c r="B425" s="930">
        <v>0.88390000000000002</v>
      </c>
      <c r="C425" s="930">
        <v>0.88390000000000002</v>
      </c>
      <c r="D425" s="930">
        <v>0.82</v>
      </c>
      <c r="E425" s="930">
        <v>0.82</v>
      </c>
      <c r="F425" s="930">
        <v>0.82</v>
      </c>
      <c r="G425" s="930">
        <v>0.82</v>
      </c>
      <c r="H425" s="930">
        <v>0.82</v>
      </c>
      <c r="I425" s="930">
        <v>0.66890000000000005</v>
      </c>
      <c r="J425" s="930">
        <v>0.66890000000000005</v>
      </c>
      <c r="K425" s="930">
        <v>0.66890000000000005</v>
      </c>
      <c r="L425" s="930">
        <v>0.66890000000000005</v>
      </c>
      <c r="M425" s="930">
        <v>0.66890000000000005</v>
      </c>
    </row>
    <row r="426" spans="1:13">
      <c r="A426" s="937">
        <v>6.5</v>
      </c>
      <c r="B426" s="930">
        <v>0.88229999999999997</v>
      </c>
      <c r="C426" s="930">
        <v>0.88229999999999997</v>
      </c>
      <c r="D426" s="930">
        <v>0.81810000000000005</v>
      </c>
      <c r="E426" s="930">
        <v>0.81810000000000005</v>
      </c>
      <c r="F426" s="930">
        <v>0.81810000000000005</v>
      </c>
      <c r="G426" s="930">
        <v>0.81810000000000005</v>
      </c>
      <c r="H426" s="930">
        <v>0.81810000000000005</v>
      </c>
      <c r="I426" s="930">
        <v>0.66659999999999997</v>
      </c>
      <c r="J426" s="930">
        <v>0.66659999999999997</v>
      </c>
      <c r="K426" s="930">
        <v>0.66659999999999997</v>
      </c>
      <c r="L426" s="930">
        <v>0.66659999999999997</v>
      </c>
      <c r="M426" s="930">
        <v>0.66659999999999997</v>
      </c>
    </row>
    <row r="427" spans="1:13">
      <c r="A427" s="937">
        <v>6.6</v>
      </c>
      <c r="B427" s="930">
        <v>0.88070000000000004</v>
      </c>
      <c r="C427" s="930">
        <v>0.88070000000000004</v>
      </c>
      <c r="D427" s="930">
        <v>0.81620000000000004</v>
      </c>
      <c r="E427" s="930">
        <v>0.81620000000000004</v>
      </c>
      <c r="F427" s="930">
        <v>0.81620000000000004</v>
      </c>
      <c r="G427" s="930">
        <v>0.81620000000000004</v>
      </c>
      <c r="H427" s="930">
        <v>0.81620000000000004</v>
      </c>
      <c r="I427" s="930">
        <v>0.66439999999999999</v>
      </c>
      <c r="J427" s="930">
        <v>0.66439999999999999</v>
      </c>
      <c r="K427" s="930">
        <v>0.66439999999999999</v>
      </c>
      <c r="L427" s="930">
        <v>0.66439999999999999</v>
      </c>
      <c r="M427" s="930">
        <v>0.66439999999999999</v>
      </c>
    </row>
    <row r="428" spans="1:13">
      <c r="A428" s="937">
        <v>6.7</v>
      </c>
      <c r="B428" s="930">
        <v>0.879</v>
      </c>
      <c r="C428" s="930">
        <v>0.879</v>
      </c>
      <c r="D428" s="930">
        <v>0.81430000000000002</v>
      </c>
      <c r="E428" s="930">
        <v>0.81430000000000002</v>
      </c>
      <c r="F428" s="930">
        <v>0.81430000000000002</v>
      </c>
      <c r="G428" s="930">
        <v>0.81430000000000002</v>
      </c>
      <c r="H428" s="930">
        <v>0.81430000000000002</v>
      </c>
      <c r="I428" s="930">
        <v>0.66210000000000002</v>
      </c>
      <c r="J428" s="930">
        <v>0.66210000000000002</v>
      </c>
      <c r="K428" s="930">
        <v>0.66210000000000002</v>
      </c>
      <c r="L428" s="930">
        <v>0.66210000000000002</v>
      </c>
      <c r="M428" s="930">
        <v>0.66210000000000002</v>
      </c>
    </row>
    <row r="429" spans="1:13">
      <c r="A429" s="937">
        <v>6.8</v>
      </c>
      <c r="B429" s="930">
        <v>0.87739999999999996</v>
      </c>
      <c r="C429" s="930">
        <v>0.87739999999999996</v>
      </c>
      <c r="D429" s="930">
        <v>0.81240000000000001</v>
      </c>
      <c r="E429" s="930">
        <v>0.81240000000000001</v>
      </c>
      <c r="F429" s="930">
        <v>0.81240000000000001</v>
      </c>
      <c r="G429" s="930">
        <v>0.81240000000000001</v>
      </c>
      <c r="H429" s="930">
        <v>0.81240000000000001</v>
      </c>
      <c r="I429" s="930">
        <v>0.65980000000000005</v>
      </c>
      <c r="J429" s="930">
        <v>0.65980000000000005</v>
      </c>
      <c r="K429" s="930">
        <v>0.65980000000000005</v>
      </c>
      <c r="L429" s="930">
        <v>0.65980000000000005</v>
      </c>
      <c r="M429" s="930">
        <v>0.65980000000000005</v>
      </c>
    </row>
    <row r="430" spans="1:13">
      <c r="A430" s="937">
        <v>6.9</v>
      </c>
      <c r="B430" s="930">
        <v>0.87580000000000002</v>
      </c>
      <c r="C430" s="930">
        <v>0.87580000000000002</v>
      </c>
      <c r="D430" s="930">
        <v>0.8105</v>
      </c>
      <c r="E430" s="930">
        <v>0.8105</v>
      </c>
      <c r="F430" s="930">
        <v>0.8105</v>
      </c>
      <c r="G430" s="930">
        <v>0.8105</v>
      </c>
      <c r="H430" s="930">
        <v>0.8105</v>
      </c>
      <c r="I430" s="930">
        <v>0.65749999999999997</v>
      </c>
      <c r="J430" s="930">
        <v>0.65749999999999997</v>
      </c>
      <c r="K430" s="930">
        <v>0.65749999999999997</v>
      </c>
      <c r="L430" s="930">
        <v>0.65749999999999997</v>
      </c>
      <c r="M430" s="930">
        <v>0.65749999999999997</v>
      </c>
    </row>
    <row r="431" spans="1:13">
      <c r="A431" s="937">
        <v>7</v>
      </c>
      <c r="B431" s="930">
        <v>0.87419999999999998</v>
      </c>
      <c r="C431" s="930">
        <v>0.87419999999999998</v>
      </c>
      <c r="D431" s="930">
        <v>0.80869999999999997</v>
      </c>
      <c r="E431" s="930">
        <v>0.80869999999999997</v>
      </c>
      <c r="F431" s="930">
        <v>0.80869999999999997</v>
      </c>
      <c r="G431" s="930">
        <v>0.80869999999999997</v>
      </c>
      <c r="H431" s="930">
        <v>0.80869999999999997</v>
      </c>
      <c r="I431" s="930">
        <v>0.65529999999999999</v>
      </c>
      <c r="J431" s="930">
        <v>0.65529999999999999</v>
      </c>
      <c r="K431" s="930">
        <v>0.65529999999999999</v>
      </c>
      <c r="L431" s="930">
        <v>0.65529999999999999</v>
      </c>
      <c r="M431" s="930">
        <v>0.65529999999999999</v>
      </c>
    </row>
    <row r="432" spans="1:13">
      <c r="A432" s="937">
        <v>7.1</v>
      </c>
      <c r="B432" s="930">
        <v>0.87270000000000003</v>
      </c>
      <c r="C432" s="930">
        <v>0.87270000000000003</v>
      </c>
      <c r="D432" s="930">
        <v>0.80689999999999995</v>
      </c>
      <c r="E432" s="930">
        <v>0.80689999999999995</v>
      </c>
      <c r="F432" s="930">
        <v>0.80689999999999995</v>
      </c>
      <c r="G432" s="930">
        <v>0.80689999999999995</v>
      </c>
      <c r="H432" s="930">
        <v>0.80689999999999995</v>
      </c>
      <c r="I432" s="930">
        <v>0.6532</v>
      </c>
      <c r="J432" s="930">
        <v>0.6532</v>
      </c>
      <c r="K432" s="930">
        <v>0.6532</v>
      </c>
      <c r="L432" s="930">
        <v>0.6532</v>
      </c>
      <c r="M432" s="930">
        <v>0.6532</v>
      </c>
    </row>
    <row r="433" spans="1:13">
      <c r="A433" s="937">
        <v>7.2</v>
      </c>
      <c r="B433" s="930">
        <v>0.87119999999999997</v>
      </c>
      <c r="C433" s="930">
        <v>0.87119999999999997</v>
      </c>
      <c r="D433" s="930">
        <v>0.80510000000000004</v>
      </c>
      <c r="E433" s="930">
        <v>0.80510000000000004</v>
      </c>
      <c r="F433" s="930">
        <v>0.80510000000000004</v>
      </c>
      <c r="G433" s="930">
        <v>0.80510000000000004</v>
      </c>
      <c r="H433" s="930">
        <v>0.80510000000000004</v>
      </c>
      <c r="I433" s="930">
        <v>0.65100000000000002</v>
      </c>
      <c r="J433" s="930">
        <v>0.65100000000000002</v>
      </c>
      <c r="K433" s="930">
        <v>0.65100000000000002</v>
      </c>
      <c r="L433" s="930">
        <v>0.65100000000000002</v>
      </c>
      <c r="M433" s="930">
        <v>0.65100000000000002</v>
      </c>
    </row>
    <row r="434" spans="1:13">
      <c r="A434" s="937">
        <v>7.3</v>
      </c>
      <c r="B434" s="930">
        <v>0.86970000000000003</v>
      </c>
      <c r="C434" s="930">
        <v>0.86970000000000003</v>
      </c>
      <c r="D434" s="930">
        <v>0.80330000000000001</v>
      </c>
      <c r="E434" s="930">
        <v>0.80330000000000001</v>
      </c>
      <c r="F434" s="930">
        <v>0.80330000000000001</v>
      </c>
      <c r="G434" s="930">
        <v>0.80330000000000001</v>
      </c>
      <c r="H434" s="930">
        <v>0.80330000000000001</v>
      </c>
      <c r="I434" s="930">
        <v>0.64880000000000004</v>
      </c>
      <c r="J434" s="930">
        <v>0.64880000000000004</v>
      </c>
      <c r="K434" s="930">
        <v>0.64880000000000004</v>
      </c>
      <c r="L434" s="930">
        <v>0.64880000000000004</v>
      </c>
      <c r="M434" s="930">
        <v>0.64880000000000004</v>
      </c>
    </row>
    <row r="435" spans="1:13">
      <c r="A435" s="937">
        <v>7.4</v>
      </c>
      <c r="B435" s="930">
        <v>0.86819999999999997</v>
      </c>
      <c r="C435" s="930">
        <v>0.86819999999999997</v>
      </c>
      <c r="D435" s="930">
        <v>0.80149999999999999</v>
      </c>
      <c r="E435" s="930">
        <v>0.80149999999999999</v>
      </c>
      <c r="F435" s="930">
        <v>0.80149999999999999</v>
      </c>
      <c r="G435" s="930">
        <v>0.80149999999999999</v>
      </c>
      <c r="H435" s="930">
        <v>0.80149999999999999</v>
      </c>
      <c r="I435" s="930">
        <v>0.64659999999999995</v>
      </c>
      <c r="J435" s="930">
        <v>0.64659999999999995</v>
      </c>
      <c r="K435" s="930">
        <v>0.64659999999999995</v>
      </c>
      <c r="L435" s="930">
        <v>0.64659999999999995</v>
      </c>
      <c r="M435" s="930">
        <v>0.64659999999999995</v>
      </c>
    </row>
    <row r="436" spans="1:13">
      <c r="A436" s="937">
        <v>7.5</v>
      </c>
      <c r="B436" s="930">
        <v>0.86660000000000004</v>
      </c>
      <c r="C436" s="930">
        <v>0.86660000000000004</v>
      </c>
      <c r="D436" s="930">
        <v>0.79969999999999997</v>
      </c>
      <c r="E436" s="930">
        <v>0.79969999999999997</v>
      </c>
      <c r="F436" s="930">
        <v>0.79969999999999997</v>
      </c>
      <c r="G436" s="930">
        <v>0.79969999999999997</v>
      </c>
      <c r="H436" s="930">
        <v>0.79969999999999997</v>
      </c>
      <c r="I436" s="930">
        <v>0.64449999999999996</v>
      </c>
      <c r="J436" s="930">
        <v>0.64449999999999996</v>
      </c>
      <c r="K436" s="930">
        <v>0.64449999999999996</v>
      </c>
      <c r="L436" s="930">
        <v>0.64449999999999996</v>
      </c>
      <c r="M436" s="930">
        <v>0.64449999999999996</v>
      </c>
    </row>
    <row r="437" spans="1:13">
      <c r="A437" s="937">
        <v>7.6</v>
      </c>
      <c r="B437" s="930">
        <v>0.86509999999999998</v>
      </c>
      <c r="C437" s="930">
        <v>0.86509999999999998</v>
      </c>
      <c r="D437" s="930">
        <v>0.79800000000000004</v>
      </c>
      <c r="E437" s="930">
        <v>0.79800000000000004</v>
      </c>
      <c r="F437" s="930">
        <v>0.79800000000000004</v>
      </c>
      <c r="G437" s="930">
        <v>0.79800000000000004</v>
      </c>
      <c r="H437" s="930">
        <v>0.79800000000000004</v>
      </c>
      <c r="I437" s="930">
        <v>0.64239999999999997</v>
      </c>
      <c r="J437" s="930">
        <v>0.64239999999999997</v>
      </c>
      <c r="K437" s="930">
        <v>0.64239999999999997</v>
      </c>
      <c r="L437" s="930">
        <v>0.64239999999999997</v>
      </c>
      <c r="M437" s="930">
        <v>0.64239999999999997</v>
      </c>
    </row>
    <row r="438" spans="1:13">
      <c r="A438" s="937">
        <v>7.7</v>
      </c>
      <c r="B438" s="930">
        <v>0.86370000000000002</v>
      </c>
      <c r="C438" s="930">
        <v>0.86370000000000002</v>
      </c>
      <c r="D438" s="930">
        <v>0.79630000000000001</v>
      </c>
      <c r="E438" s="930">
        <v>0.79630000000000001</v>
      </c>
      <c r="F438" s="930">
        <v>0.79630000000000001</v>
      </c>
      <c r="G438" s="930">
        <v>0.79630000000000001</v>
      </c>
      <c r="H438" s="930">
        <v>0.79630000000000001</v>
      </c>
      <c r="I438" s="930">
        <v>0.64029999999999998</v>
      </c>
      <c r="J438" s="930">
        <v>0.64029999999999998</v>
      </c>
      <c r="K438" s="930">
        <v>0.64029999999999998</v>
      </c>
      <c r="L438" s="930">
        <v>0.64029999999999998</v>
      </c>
      <c r="M438" s="930">
        <v>0.64029999999999998</v>
      </c>
    </row>
    <row r="439" spans="1:13">
      <c r="A439" s="937">
        <v>7.8</v>
      </c>
      <c r="B439" s="930">
        <v>0.86229999999999996</v>
      </c>
      <c r="C439" s="930">
        <v>0.86229999999999996</v>
      </c>
      <c r="D439" s="930">
        <v>0.79449999999999998</v>
      </c>
      <c r="E439" s="930">
        <v>0.79449999999999998</v>
      </c>
      <c r="F439" s="930">
        <v>0.79449999999999998</v>
      </c>
      <c r="G439" s="930">
        <v>0.79449999999999998</v>
      </c>
      <c r="H439" s="930">
        <v>0.79449999999999998</v>
      </c>
      <c r="I439" s="930">
        <v>0.63819999999999999</v>
      </c>
      <c r="J439" s="930">
        <v>0.63819999999999999</v>
      </c>
      <c r="K439" s="930">
        <v>0.63819999999999999</v>
      </c>
      <c r="L439" s="930">
        <v>0.63819999999999999</v>
      </c>
      <c r="M439" s="930">
        <v>0.63819999999999999</v>
      </c>
    </row>
    <row r="440" spans="1:13">
      <c r="A440" s="937">
        <v>7.9</v>
      </c>
      <c r="B440" s="930">
        <v>0.8609</v>
      </c>
      <c r="C440" s="930">
        <v>0.8609</v>
      </c>
      <c r="D440" s="930">
        <v>0.79279999999999995</v>
      </c>
      <c r="E440" s="930">
        <v>0.79279999999999995</v>
      </c>
      <c r="F440" s="930">
        <v>0.79279999999999995</v>
      </c>
      <c r="G440" s="930">
        <v>0.79279999999999995</v>
      </c>
      <c r="H440" s="930">
        <v>0.79279999999999995</v>
      </c>
      <c r="I440" s="930">
        <v>0.6361</v>
      </c>
      <c r="J440" s="930">
        <v>0.6361</v>
      </c>
      <c r="K440" s="930">
        <v>0.6361</v>
      </c>
      <c r="L440" s="930">
        <v>0.6361</v>
      </c>
      <c r="M440" s="930">
        <v>0.6361</v>
      </c>
    </row>
    <row r="441" spans="1:13">
      <c r="A441" s="937">
        <v>8</v>
      </c>
      <c r="B441" s="930">
        <v>0.85940000000000005</v>
      </c>
      <c r="C441" s="930">
        <v>0.85940000000000005</v>
      </c>
      <c r="D441" s="930">
        <v>0.79110000000000003</v>
      </c>
      <c r="E441" s="930">
        <v>0.79110000000000003</v>
      </c>
      <c r="F441" s="930">
        <v>0.79110000000000003</v>
      </c>
      <c r="G441" s="930">
        <v>0.79110000000000003</v>
      </c>
      <c r="H441" s="930">
        <v>0.79110000000000003</v>
      </c>
      <c r="I441" s="930">
        <v>0.6341</v>
      </c>
      <c r="J441" s="930">
        <v>0.6341</v>
      </c>
      <c r="K441" s="930">
        <v>0.6341</v>
      </c>
      <c r="L441" s="930">
        <v>0.6341</v>
      </c>
      <c r="M441" s="930">
        <v>0.6341</v>
      </c>
    </row>
    <row r="442" spans="1:13">
      <c r="A442" s="937">
        <v>8.1</v>
      </c>
      <c r="B442" s="930">
        <v>0.85799999999999998</v>
      </c>
      <c r="C442" s="930">
        <v>0.85799999999999998</v>
      </c>
      <c r="D442" s="930">
        <v>0.78939999999999999</v>
      </c>
      <c r="E442" s="930">
        <v>0.78939999999999999</v>
      </c>
      <c r="F442" s="930">
        <v>0.78939999999999999</v>
      </c>
      <c r="G442" s="930">
        <v>0.78939999999999999</v>
      </c>
      <c r="H442" s="930">
        <v>0.78939999999999999</v>
      </c>
      <c r="I442" s="930">
        <v>0.6321</v>
      </c>
      <c r="J442" s="930">
        <v>0.6321</v>
      </c>
      <c r="K442" s="930">
        <v>0.6321</v>
      </c>
      <c r="L442" s="930">
        <v>0.6321</v>
      </c>
      <c r="M442" s="930">
        <v>0.6321</v>
      </c>
    </row>
    <row r="443" spans="1:13">
      <c r="A443" s="937">
        <v>8.1999999999999993</v>
      </c>
      <c r="B443" s="930">
        <v>0.85660000000000003</v>
      </c>
      <c r="C443" s="930">
        <v>0.85660000000000003</v>
      </c>
      <c r="D443" s="930">
        <v>0.78779999999999994</v>
      </c>
      <c r="E443" s="930">
        <v>0.78779999999999994</v>
      </c>
      <c r="F443" s="930">
        <v>0.78779999999999994</v>
      </c>
      <c r="G443" s="930">
        <v>0.78779999999999994</v>
      </c>
      <c r="H443" s="930">
        <v>0.78779999999999994</v>
      </c>
      <c r="I443" s="930">
        <v>0.63009999999999999</v>
      </c>
      <c r="J443" s="930">
        <v>0.63009999999999999</v>
      </c>
      <c r="K443" s="930">
        <v>0.63009999999999999</v>
      </c>
      <c r="L443" s="930">
        <v>0.63009999999999999</v>
      </c>
      <c r="M443" s="930">
        <v>0.63009999999999999</v>
      </c>
    </row>
    <row r="444" spans="1:13">
      <c r="A444" s="937">
        <v>8.3000000000000007</v>
      </c>
      <c r="B444" s="930">
        <v>0.85529999999999995</v>
      </c>
      <c r="C444" s="930">
        <v>0.85529999999999995</v>
      </c>
      <c r="D444" s="930">
        <v>0.78620000000000001</v>
      </c>
      <c r="E444" s="930">
        <v>0.78620000000000001</v>
      </c>
      <c r="F444" s="930">
        <v>0.78620000000000001</v>
      </c>
      <c r="G444" s="930">
        <v>0.78620000000000001</v>
      </c>
      <c r="H444" s="930">
        <v>0.78620000000000001</v>
      </c>
      <c r="I444" s="930">
        <v>0.62809999999999999</v>
      </c>
      <c r="J444" s="930">
        <v>0.62809999999999999</v>
      </c>
      <c r="K444" s="930">
        <v>0.62809999999999999</v>
      </c>
      <c r="L444" s="930">
        <v>0.62809999999999999</v>
      </c>
      <c r="M444" s="930">
        <v>0.62809999999999999</v>
      </c>
    </row>
    <row r="445" spans="1:13">
      <c r="A445" s="937">
        <v>8.4</v>
      </c>
      <c r="B445" s="930">
        <v>0.85389999999999999</v>
      </c>
      <c r="C445" s="930">
        <v>0.85389999999999999</v>
      </c>
      <c r="D445" s="930">
        <v>0.78459999999999996</v>
      </c>
      <c r="E445" s="930">
        <v>0.78459999999999996</v>
      </c>
      <c r="F445" s="930">
        <v>0.78459999999999996</v>
      </c>
      <c r="G445" s="930">
        <v>0.78459999999999996</v>
      </c>
      <c r="H445" s="930">
        <v>0.78459999999999996</v>
      </c>
      <c r="I445" s="930">
        <v>0.62609999999999999</v>
      </c>
      <c r="J445" s="930">
        <v>0.62609999999999999</v>
      </c>
      <c r="K445" s="930">
        <v>0.62609999999999999</v>
      </c>
      <c r="L445" s="930">
        <v>0.62609999999999999</v>
      </c>
      <c r="M445" s="930">
        <v>0.62609999999999999</v>
      </c>
    </row>
    <row r="446" spans="1:13">
      <c r="A446" s="937">
        <v>8.5</v>
      </c>
      <c r="B446" s="930">
        <v>0.85260000000000002</v>
      </c>
      <c r="C446" s="930">
        <v>0.85260000000000002</v>
      </c>
      <c r="D446" s="930">
        <v>0.78290000000000004</v>
      </c>
      <c r="E446" s="930">
        <v>0.78290000000000004</v>
      </c>
      <c r="F446" s="930">
        <v>0.78290000000000004</v>
      </c>
      <c r="G446" s="930">
        <v>0.78290000000000004</v>
      </c>
      <c r="H446" s="930">
        <v>0.78290000000000004</v>
      </c>
      <c r="I446" s="930">
        <v>0.62419999999999998</v>
      </c>
      <c r="J446" s="930">
        <v>0.62419999999999998</v>
      </c>
      <c r="K446" s="930">
        <v>0.62419999999999998</v>
      </c>
      <c r="L446" s="930">
        <v>0.62419999999999998</v>
      </c>
      <c r="M446" s="930">
        <v>0.62419999999999998</v>
      </c>
    </row>
    <row r="447" spans="1:13">
      <c r="A447" s="937">
        <v>8.6</v>
      </c>
      <c r="B447" s="930">
        <v>0.85129999999999995</v>
      </c>
      <c r="C447" s="930">
        <v>0.85129999999999995</v>
      </c>
      <c r="D447" s="930">
        <v>0.78129999999999999</v>
      </c>
      <c r="E447" s="930">
        <v>0.78129999999999999</v>
      </c>
      <c r="F447" s="930">
        <v>0.78129999999999999</v>
      </c>
      <c r="G447" s="930">
        <v>0.78129999999999999</v>
      </c>
      <c r="H447" s="930">
        <v>0.78129999999999999</v>
      </c>
      <c r="I447" s="930">
        <v>0.62229999999999996</v>
      </c>
      <c r="J447" s="930">
        <v>0.62229999999999996</v>
      </c>
      <c r="K447" s="930">
        <v>0.62229999999999996</v>
      </c>
      <c r="L447" s="930">
        <v>0.62229999999999996</v>
      </c>
      <c r="M447" s="930">
        <v>0.62229999999999996</v>
      </c>
    </row>
    <row r="448" spans="1:13">
      <c r="A448" s="937">
        <v>8.6999999999999993</v>
      </c>
      <c r="B448" s="930">
        <v>0.85</v>
      </c>
      <c r="C448" s="930">
        <v>0.85</v>
      </c>
      <c r="D448" s="930">
        <v>0.77969999999999995</v>
      </c>
      <c r="E448" s="930">
        <v>0.77969999999999995</v>
      </c>
      <c r="F448" s="930">
        <v>0.77969999999999995</v>
      </c>
      <c r="G448" s="930">
        <v>0.77969999999999995</v>
      </c>
      <c r="H448" s="930">
        <v>0.77969999999999995</v>
      </c>
      <c r="I448" s="930">
        <v>0.62039999999999995</v>
      </c>
      <c r="J448" s="930">
        <v>0.62039999999999995</v>
      </c>
      <c r="K448" s="930">
        <v>0.62039999999999995</v>
      </c>
      <c r="L448" s="930">
        <v>0.62039999999999995</v>
      </c>
      <c r="M448" s="930">
        <v>0.62039999999999995</v>
      </c>
    </row>
    <row r="449" spans="1:13">
      <c r="A449" s="937">
        <v>8.8000000000000007</v>
      </c>
      <c r="B449" s="930">
        <v>0.84860000000000002</v>
      </c>
      <c r="C449" s="930">
        <v>0.84860000000000002</v>
      </c>
      <c r="D449" s="930">
        <v>0.7782</v>
      </c>
      <c r="E449" s="930">
        <v>0.7782</v>
      </c>
      <c r="F449" s="930">
        <v>0.7782</v>
      </c>
      <c r="G449" s="930">
        <v>0.7782</v>
      </c>
      <c r="H449" s="930">
        <v>0.7782</v>
      </c>
      <c r="I449" s="930">
        <v>0.61850000000000005</v>
      </c>
      <c r="J449" s="930">
        <v>0.61850000000000005</v>
      </c>
      <c r="K449" s="930">
        <v>0.61850000000000005</v>
      </c>
      <c r="L449" s="930">
        <v>0.61850000000000005</v>
      </c>
      <c r="M449" s="930">
        <v>0.61850000000000005</v>
      </c>
    </row>
    <row r="450" spans="1:13">
      <c r="A450" s="937">
        <v>8.9</v>
      </c>
      <c r="B450" s="930">
        <v>0.84740000000000004</v>
      </c>
      <c r="C450" s="930">
        <v>0.84740000000000004</v>
      </c>
      <c r="D450" s="930">
        <v>0.77669999999999995</v>
      </c>
      <c r="E450" s="930">
        <v>0.77669999999999995</v>
      </c>
      <c r="F450" s="930">
        <v>0.77669999999999995</v>
      </c>
      <c r="G450" s="930">
        <v>0.77669999999999995</v>
      </c>
      <c r="H450" s="930">
        <v>0.77669999999999995</v>
      </c>
      <c r="I450" s="930">
        <v>0.61670000000000003</v>
      </c>
      <c r="J450" s="930">
        <v>0.61670000000000003</v>
      </c>
      <c r="K450" s="930">
        <v>0.61670000000000003</v>
      </c>
      <c r="L450" s="930">
        <v>0.61670000000000003</v>
      </c>
      <c r="M450" s="930">
        <v>0.61670000000000003</v>
      </c>
    </row>
    <row r="451" spans="1:13">
      <c r="A451" s="937">
        <v>9</v>
      </c>
      <c r="B451" s="930">
        <v>0.84619999999999995</v>
      </c>
      <c r="C451" s="930">
        <v>0.84619999999999995</v>
      </c>
      <c r="D451" s="930">
        <v>0.77510000000000001</v>
      </c>
      <c r="E451" s="930">
        <v>0.77510000000000001</v>
      </c>
      <c r="F451" s="930">
        <v>0.77510000000000001</v>
      </c>
      <c r="G451" s="930">
        <v>0.77510000000000001</v>
      </c>
      <c r="H451" s="930">
        <v>0.77510000000000001</v>
      </c>
      <c r="I451" s="930">
        <v>0.61480000000000001</v>
      </c>
      <c r="J451" s="930">
        <v>0.61480000000000001</v>
      </c>
      <c r="K451" s="930">
        <v>0.61480000000000001</v>
      </c>
      <c r="L451" s="930">
        <v>0.61480000000000001</v>
      </c>
      <c r="M451" s="930">
        <v>0.61480000000000001</v>
      </c>
    </row>
    <row r="452" spans="1:13">
      <c r="A452" s="937">
        <v>9.1</v>
      </c>
      <c r="B452" s="930">
        <v>0.84499999999999997</v>
      </c>
      <c r="C452" s="930">
        <v>0.84499999999999997</v>
      </c>
      <c r="D452" s="930">
        <v>0.77359999999999995</v>
      </c>
      <c r="E452" s="930">
        <v>0.77359999999999995</v>
      </c>
      <c r="F452" s="930">
        <v>0.77359999999999995</v>
      </c>
      <c r="G452" s="930">
        <v>0.77359999999999995</v>
      </c>
      <c r="H452" s="930">
        <v>0.77359999999999995</v>
      </c>
      <c r="I452" s="930">
        <v>0.61299999999999999</v>
      </c>
      <c r="J452" s="930">
        <v>0.61299999999999999</v>
      </c>
      <c r="K452" s="930">
        <v>0.61299999999999999</v>
      </c>
      <c r="L452" s="930">
        <v>0.61299999999999999</v>
      </c>
      <c r="M452" s="930">
        <v>0.61299999999999999</v>
      </c>
    </row>
    <row r="453" spans="1:13">
      <c r="A453" s="937">
        <v>9.1999999999999993</v>
      </c>
      <c r="B453" s="930">
        <v>0.84370000000000001</v>
      </c>
      <c r="C453" s="930">
        <v>0.84370000000000001</v>
      </c>
      <c r="D453" s="930">
        <v>0.77210000000000001</v>
      </c>
      <c r="E453" s="930">
        <v>0.77210000000000001</v>
      </c>
      <c r="F453" s="930">
        <v>0.77210000000000001</v>
      </c>
      <c r="G453" s="930">
        <v>0.77210000000000001</v>
      </c>
      <c r="H453" s="930">
        <v>0.77210000000000001</v>
      </c>
      <c r="I453" s="930">
        <v>0.61119999999999997</v>
      </c>
      <c r="J453" s="930">
        <v>0.61119999999999997</v>
      </c>
      <c r="K453" s="930">
        <v>0.61119999999999997</v>
      </c>
      <c r="L453" s="930">
        <v>0.61119999999999997</v>
      </c>
      <c r="M453" s="930">
        <v>0.61119999999999997</v>
      </c>
    </row>
    <row r="454" spans="1:13">
      <c r="A454" s="937">
        <v>9.3000000000000007</v>
      </c>
      <c r="B454" s="930">
        <v>0.84250000000000003</v>
      </c>
      <c r="C454" s="930">
        <v>0.84250000000000003</v>
      </c>
      <c r="D454" s="930">
        <v>0.77059999999999995</v>
      </c>
      <c r="E454" s="930">
        <v>0.77059999999999995</v>
      </c>
      <c r="F454" s="930">
        <v>0.77059999999999995</v>
      </c>
      <c r="G454" s="930">
        <v>0.77059999999999995</v>
      </c>
      <c r="H454" s="930">
        <v>0.77059999999999995</v>
      </c>
      <c r="I454" s="930">
        <v>0.60940000000000005</v>
      </c>
      <c r="J454" s="930">
        <v>0.60940000000000005</v>
      </c>
      <c r="K454" s="930">
        <v>0.60940000000000005</v>
      </c>
      <c r="L454" s="930">
        <v>0.60940000000000005</v>
      </c>
      <c r="M454" s="930">
        <v>0.60940000000000005</v>
      </c>
    </row>
    <row r="455" spans="1:13">
      <c r="A455" s="937">
        <v>9.4</v>
      </c>
      <c r="B455" s="930">
        <v>0.84130000000000005</v>
      </c>
      <c r="C455" s="930">
        <v>0.84130000000000005</v>
      </c>
      <c r="D455" s="930">
        <v>0.76900000000000002</v>
      </c>
      <c r="E455" s="930">
        <v>0.76900000000000002</v>
      </c>
      <c r="F455" s="930">
        <v>0.76900000000000002</v>
      </c>
      <c r="G455" s="930">
        <v>0.76900000000000002</v>
      </c>
      <c r="H455" s="930">
        <v>0.76900000000000002</v>
      </c>
      <c r="I455" s="930">
        <v>0.60760000000000003</v>
      </c>
      <c r="J455" s="930">
        <v>0.60760000000000003</v>
      </c>
      <c r="K455" s="930">
        <v>0.60760000000000003</v>
      </c>
      <c r="L455" s="930">
        <v>0.60760000000000003</v>
      </c>
      <c r="M455" s="930">
        <v>0.60760000000000003</v>
      </c>
    </row>
    <row r="456" spans="1:13">
      <c r="A456" s="937">
        <v>9.5</v>
      </c>
      <c r="B456" s="930">
        <v>0.84009999999999996</v>
      </c>
      <c r="C456" s="930">
        <v>0.84009999999999996</v>
      </c>
      <c r="D456" s="930">
        <v>0.76759999999999995</v>
      </c>
      <c r="E456" s="930">
        <v>0.76759999999999995</v>
      </c>
      <c r="F456" s="930">
        <v>0.76759999999999995</v>
      </c>
      <c r="G456" s="930">
        <v>0.76759999999999995</v>
      </c>
      <c r="H456" s="930">
        <v>0.76759999999999995</v>
      </c>
      <c r="I456" s="930">
        <v>0.60580000000000001</v>
      </c>
      <c r="J456" s="930">
        <v>0.60580000000000001</v>
      </c>
      <c r="K456" s="930">
        <v>0.60580000000000001</v>
      </c>
      <c r="L456" s="930">
        <v>0.60580000000000001</v>
      </c>
      <c r="M456" s="930">
        <v>0.60580000000000001</v>
      </c>
    </row>
    <row r="457" spans="1:13">
      <c r="A457" s="937">
        <v>9.6</v>
      </c>
      <c r="B457" s="930">
        <v>0.83899999999999997</v>
      </c>
      <c r="C457" s="930">
        <v>0.83899999999999997</v>
      </c>
      <c r="D457" s="930">
        <v>0.76619999999999999</v>
      </c>
      <c r="E457" s="930">
        <v>0.76619999999999999</v>
      </c>
      <c r="F457" s="930">
        <v>0.76619999999999999</v>
      </c>
      <c r="G457" s="930">
        <v>0.76619999999999999</v>
      </c>
      <c r="H457" s="930">
        <v>0.76619999999999999</v>
      </c>
      <c r="I457" s="930">
        <v>0.60409999999999997</v>
      </c>
      <c r="J457" s="930">
        <v>0.60409999999999997</v>
      </c>
      <c r="K457" s="930">
        <v>0.60409999999999997</v>
      </c>
      <c r="L457" s="930">
        <v>0.60409999999999997</v>
      </c>
      <c r="M457" s="930">
        <v>0.60409999999999997</v>
      </c>
    </row>
    <row r="458" spans="1:13">
      <c r="A458" s="937">
        <v>9.6999999999999993</v>
      </c>
      <c r="B458" s="930">
        <v>0.83779999999999999</v>
      </c>
      <c r="C458" s="930">
        <v>0.83779999999999999</v>
      </c>
      <c r="D458" s="930">
        <v>0.76480000000000004</v>
      </c>
      <c r="E458" s="930">
        <v>0.76480000000000004</v>
      </c>
      <c r="F458" s="930">
        <v>0.76480000000000004</v>
      </c>
      <c r="G458" s="930">
        <v>0.76480000000000004</v>
      </c>
      <c r="H458" s="930">
        <v>0.76480000000000004</v>
      </c>
      <c r="I458" s="930">
        <v>0.60240000000000005</v>
      </c>
      <c r="J458" s="930">
        <v>0.60240000000000005</v>
      </c>
      <c r="K458" s="930">
        <v>0.60240000000000005</v>
      </c>
      <c r="L458" s="930">
        <v>0.60240000000000005</v>
      </c>
      <c r="M458" s="930">
        <v>0.60240000000000005</v>
      </c>
    </row>
    <row r="459" spans="1:13">
      <c r="A459" s="937">
        <v>9.8000000000000007</v>
      </c>
      <c r="B459" s="930">
        <v>0.8367</v>
      </c>
      <c r="C459" s="930">
        <v>0.8367</v>
      </c>
      <c r="D459" s="930">
        <v>0.76329999999999998</v>
      </c>
      <c r="E459" s="930">
        <v>0.76329999999999998</v>
      </c>
      <c r="F459" s="930">
        <v>0.76329999999999998</v>
      </c>
      <c r="G459" s="930">
        <v>0.76329999999999998</v>
      </c>
      <c r="H459" s="930">
        <v>0.76329999999999998</v>
      </c>
      <c r="I459" s="930">
        <v>0.60060000000000002</v>
      </c>
      <c r="J459" s="930">
        <v>0.60060000000000002</v>
      </c>
      <c r="K459" s="930">
        <v>0.60060000000000002</v>
      </c>
      <c r="L459" s="930">
        <v>0.60060000000000002</v>
      </c>
      <c r="M459" s="930">
        <v>0.60060000000000002</v>
      </c>
    </row>
    <row r="460" spans="1:13">
      <c r="A460" s="937">
        <v>9.9</v>
      </c>
      <c r="B460" s="930">
        <v>0.83560000000000001</v>
      </c>
      <c r="C460" s="930">
        <v>0.83560000000000001</v>
      </c>
      <c r="D460" s="930">
        <v>0.76190000000000002</v>
      </c>
      <c r="E460" s="930">
        <v>0.76190000000000002</v>
      </c>
      <c r="F460" s="930">
        <v>0.76190000000000002</v>
      </c>
      <c r="G460" s="930">
        <v>0.76190000000000002</v>
      </c>
      <c r="H460" s="930">
        <v>0.76190000000000002</v>
      </c>
      <c r="I460" s="930">
        <v>0.59889999999999999</v>
      </c>
      <c r="J460" s="930">
        <v>0.59889999999999999</v>
      </c>
      <c r="K460" s="930">
        <v>0.59889999999999999</v>
      </c>
      <c r="L460" s="930">
        <v>0.59889999999999999</v>
      </c>
      <c r="M460" s="930">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37.5">
      <c r="A4" s="1487" t="str">
        <f>"受贵公司委托，我公司对"&amp;项目基本情况!K2&amp;项目基本情况!B9&amp;"进行了预评估。"</f>
        <v>受贵公司委托，我公司对北京市丰台区大红门西后街甲1号“鸿都国际轻纺城”项目划拨国有建设用地使用权市场价格进行了预评估。</v>
      </c>
    </row>
    <row r="5" spans="1:4" ht="18.75">
      <c r="A5" s="1490" t="s">
        <v>1429</v>
      </c>
    </row>
    <row r="6" spans="1:4" ht="93.75">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丰台区大红门西后街甲1号“鸿都国际轻纺城”项目划拨国有建设用地使用权。根据《国有土地使用证》[丰国用（2002）字第001393号]，估价对象（分摊）划拨国有建设用地使用权面积为17556.58平方米。根据《房屋所有权证》[京房权证丰国字第04279号]，估价对象规划建筑面积为5006.88平方米。</v>
      </c>
    </row>
    <row r="7" spans="1:4" ht="56.25">
      <c r="A7" s="1491" t="s">
        <v>2026</v>
      </c>
    </row>
    <row r="8" spans="1:4" ht="18.75">
      <c r="A8" s="1490" t="s">
        <v>1430</v>
      </c>
    </row>
    <row r="9" spans="1:4" ht="37.5">
      <c r="A9" s="1487" t="str">
        <f>IF(项目基本情况!B8="抵押",IF(项目基本情况!B5=项目基本情况!B6,定义!C51,定义!B51),定义!D51)</f>
        <v>本次评估为委托估价方了解标的物之市场价格提供参考依据而评估划拨国有建设用地使用权市场价格。</v>
      </c>
    </row>
    <row r="10" spans="1:4" ht="18.75">
      <c r="A10" s="1492" t="s">
        <v>1542</v>
      </c>
    </row>
    <row r="11" spans="1:4" ht="18.75">
      <c r="A11" s="1476" t="str">
        <f>TEXT(项目基本情况!D3,"yyyy年m月d日;;")&amp;IF(项目基本情况!B3=项目基本情况!D3,"（评估专业人员勘察现场之日）","")</f>
        <v>2023年9月27日</v>
      </c>
    </row>
    <row r="12" spans="1:4" ht="18.75">
      <c r="A12" s="1492" t="s">
        <v>1541</v>
      </c>
    </row>
    <row r="13" spans="1:4" ht="18.75">
      <c r="A13" s="1487" t="s">
        <v>2198</v>
      </c>
    </row>
    <row r="14" spans="1:4" ht="37.5">
      <c r="A14" s="1487" t="str">
        <f>"根据"&amp;项目基本情况!F12&amp;"，本次评估估价对象证载（地类）用途为"&amp;项目基本情况!B12&amp;"。"</f>
        <v>根据《国有土地使用证》[丰国用（2002）字第001393号]，本次评估估价对象证载（地类）用途为仓储。</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本次评估设定用途即为证载用途仓储。</v>
      </c>
      <c r="C15" s="1477"/>
      <c r="D15" s="1478"/>
    </row>
    <row r="16" spans="1:4" ht="18.75">
      <c r="A16" s="1487" t="s">
        <v>1588</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根据委托估价方介绍及评估专业人员现场勘查，本次评估估价对象实际土地开发程度为红线外市政基础设施达“七通”（即通路、通电、通讯、通上水、通下水、通热、燃气）、宗地红线内场地未平整，已完工。</v>
      </c>
    </row>
    <row r="18" spans="1:1" ht="37.5">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7" t="s">
        <v>1589</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根据《国有土地使用证》[丰国用（2002）字第001393号]，估价对象（分摊）出让国有建设用地使用权面积为17556.58平方米。根据《房屋所有权证》[京房权证丰国字第04279号]，估价对象规划建筑面积为5006.88平方米。</v>
      </c>
    </row>
    <row r="21" spans="1:1" ht="18.75">
      <c r="A21" s="1487" t="s">
        <v>1590</v>
      </c>
    </row>
    <row r="22" spans="1:1" ht="18.75">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487" t="str">
        <f>IF(项目基本情况!A17="出让","本次评估设定估价对象剩余土地使用年限为"&amp;项目基本情况!D20&amp;"。","")</f>
        <v/>
      </c>
    </row>
    <row r="24" spans="1:1" ht="18.75">
      <c r="A24" s="1487" t="s">
        <v>1591</v>
      </c>
    </row>
    <row r="25" spans="1:1" ht="75">
      <c r="A25" s="1487" t="str">
        <f>定义!C53</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仓储的划拨国有建设用地使用权价格。</v>
      </c>
    </row>
    <row r="26" spans="1:1" ht="18.75">
      <c r="A26" s="1487" t="str">
        <f>IF(项目基本情况!B9="市场价格","——",IF(项目基本情况!E8="抵押价格",定义!C54,IF(项目基本情况!E8="已注销",定义!C55,定义!C56)))</f>
        <v>——</v>
      </c>
    </row>
    <row r="27" spans="1:1" ht="18.75">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487" t="str">
        <f>IF(项目基本情况!B9="市场价格","——",IF(项目基本情况!E9="——","",定义!C57))</f>
        <v>——</v>
      </c>
    </row>
    <row r="29" spans="1:1" ht="18.75">
      <c r="A29" s="1492" t="s">
        <v>1543</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93"/>
    </row>
    <row r="32" spans="1:1" ht="18.75">
      <c r="A32" s="1494"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384"/>
  <sheetViews>
    <sheetView workbookViewId="0">
      <selection sqref="A1:XFD1048576"/>
    </sheetView>
  </sheetViews>
  <sheetFormatPr defaultColWidth="8.875" defaultRowHeight="13.5"/>
  <cols>
    <col min="1" max="1" width="7.5" style="3196" customWidth="1"/>
    <col min="2" max="2" width="13.875" style="3196" customWidth="1"/>
    <col min="3" max="7" width="8.875" style="3196"/>
    <col min="8" max="16384" width="8.875" style="1489"/>
  </cols>
  <sheetData>
    <row r="1" spans="1:7">
      <c r="A1" s="3793" t="s">
        <v>3022</v>
      </c>
      <c r="B1" s="3793"/>
    </row>
    <row r="2" spans="1:7" ht="14.25" thickBot="1">
      <c r="A2" s="3197"/>
      <c r="B2" s="3197"/>
    </row>
    <row r="3" spans="1:7" ht="14.25" thickBot="1">
      <c r="A3" s="3197"/>
      <c r="B3" s="3197"/>
      <c r="C3" s="3198" t="s">
        <v>3023</v>
      </c>
      <c r="D3" s="3198" t="s">
        <v>3024</v>
      </c>
      <c r="E3" s="3198" t="s">
        <v>3025</v>
      </c>
      <c r="F3" s="3198" t="s">
        <v>3026</v>
      </c>
      <c r="G3" s="3198" t="s">
        <v>3027</v>
      </c>
    </row>
    <row r="4" spans="1:7" ht="14.25" thickBot="1">
      <c r="A4" s="3199" t="s">
        <v>3028</v>
      </c>
      <c r="B4" s="3200" t="s">
        <v>3029</v>
      </c>
      <c r="C4" s="3198"/>
      <c r="D4" s="3198"/>
      <c r="E4" s="3198"/>
      <c r="F4" s="3198"/>
      <c r="G4" s="3198"/>
    </row>
    <row r="5" spans="1:7">
      <c r="A5" s="3201" t="s">
        <v>3030</v>
      </c>
      <c r="B5" s="3202" t="s">
        <v>3031</v>
      </c>
      <c r="C5" s="3203">
        <v>9.8000000000000004E-2</v>
      </c>
      <c r="D5" s="3203">
        <v>8.6999999999999994E-2</v>
      </c>
      <c r="E5" s="3203">
        <v>8.6999999999999994E-2</v>
      </c>
      <c r="F5" s="3203">
        <v>9.8000000000000004E-2</v>
      </c>
      <c r="G5" s="3204">
        <v>9.5000000000000001E-2</v>
      </c>
    </row>
    <row r="6" spans="1:7">
      <c r="A6" s="3205" t="s">
        <v>990</v>
      </c>
      <c r="B6" s="3206" t="s">
        <v>3032</v>
      </c>
      <c r="C6" s="3207">
        <v>9.8000000000000004E-2</v>
      </c>
      <c r="D6" s="3207">
        <v>9.8000000000000004E-2</v>
      </c>
      <c r="E6" s="3207">
        <v>9.8000000000000004E-2</v>
      </c>
      <c r="F6" s="3207">
        <v>0.1</v>
      </c>
      <c r="G6" s="3208">
        <v>9.9000000000000005E-2</v>
      </c>
    </row>
    <row r="7" spans="1:7">
      <c r="A7" s="3205" t="s">
        <v>990</v>
      </c>
      <c r="B7" s="3206" t="s">
        <v>982</v>
      </c>
      <c r="C7" s="3207">
        <v>9.7000000000000003E-2</v>
      </c>
      <c r="D7" s="3207">
        <v>9.7000000000000003E-2</v>
      </c>
      <c r="E7" s="3207">
        <v>9.6000000000000002E-2</v>
      </c>
      <c r="F7" s="3207">
        <v>0.1</v>
      </c>
      <c r="G7" s="3208">
        <v>9.8000000000000004E-2</v>
      </c>
    </row>
    <row r="8" spans="1:7">
      <c r="A8" s="3205" t="s">
        <v>990</v>
      </c>
      <c r="B8" s="3206" t="s">
        <v>991</v>
      </c>
      <c r="C8" s="3207">
        <v>8.1000000000000003E-2</v>
      </c>
      <c r="D8" s="3207">
        <v>8.2000000000000003E-2</v>
      </c>
      <c r="E8" s="3207">
        <v>7.0000000000000007E-2</v>
      </c>
      <c r="F8" s="3207">
        <v>9.6000000000000002E-2</v>
      </c>
      <c r="G8" s="3208">
        <v>8.8999999999999996E-2</v>
      </c>
    </row>
    <row r="9" spans="1:7" ht="14.25" thickBot="1">
      <c r="A9" s="3209" t="s">
        <v>990</v>
      </c>
      <c r="B9" s="3210" t="s">
        <v>1001</v>
      </c>
      <c r="C9" s="3211">
        <v>0.1</v>
      </c>
      <c r="D9" s="3211">
        <v>0.1</v>
      </c>
      <c r="E9" s="3211">
        <v>0.1</v>
      </c>
      <c r="F9" s="3212"/>
      <c r="G9" s="3213">
        <v>0.1</v>
      </c>
    </row>
    <row r="10" spans="1:7">
      <c r="A10" s="3201" t="s">
        <v>1031</v>
      </c>
      <c r="B10" s="3202" t="s">
        <v>3033</v>
      </c>
      <c r="C10" s="3203">
        <v>6.7000000000000004E-2</v>
      </c>
      <c r="D10" s="3203">
        <v>7.9000000000000001E-2</v>
      </c>
      <c r="E10" s="3203">
        <v>7.9000000000000001E-2</v>
      </c>
      <c r="F10" s="3203">
        <v>0.1</v>
      </c>
      <c r="G10" s="3204">
        <v>9.0999999999999998E-2</v>
      </c>
    </row>
    <row r="11" spans="1:7">
      <c r="A11" s="3205" t="s">
        <v>1031</v>
      </c>
      <c r="B11" s="3206" t="s">
        <v>973</v>
      </c>
      <c r="C11" s="3207">
        <v>0.05</v>
      </c>
      <c r="D11" s="3207">
        <v>5.2999999999999999E-2</v>
      </c>
      <c r="E11" s="3207">
        <v>6.3E-2</v>
      </c>
      <c r="F11" s="3207">
        <v>0.1</v>
      </c>
      <c r="G11" s="3208">
        <v>7.1999999999999995E-2</v>
      </c>
    </row>
    <row r="12" spans="1:7">
      <c r="A12" s="3205" t="s">
        <v>1031</v>
      </c>
      <c r="B12" s="3206" t="s">
        <v>983</v>
      </c>
      <c r="C12" s="3207">
        <v>5.2999999999999999E-2</v>
      </c>
      <c r="D12" s="3207">
        <v>0.09</v>
      </c>
      <c r="E12" s="3207">
        <v>7.1999999999999995E-2</v>
      </c>
      <c r="F12" s="3207">
        <v>0.1</v>
      </c>
      <c r="G12" s="3208">
        <v>9.7000000000000003E-2</v>
      </c>
    </row>
    <row r="13" spans="1:7">
      <c r="A13" s="3205" t="s">
        <v>1031</v>
      </c>
      <c r="B13" s="3206" t="s">
        <v>992</v>
      </c>
      <c r="C13" s="3207">
        <v>9.7000000000000003E-2</v>
      </c>
      <c r="D13" s="3207">
        <v>9.1999999999999998E-2</v>
      </c>
      <c r="E13" s="3207">
        <v>9.5000000000000001E-2</v>
      </c>
      <c r="F13" s="3207">
        <v>0.1</v>
      </c>
      <c r="G13" s="3208">
        <v>9.7000000000000003E-2</v>
      </c>
    </row>
    <row r="14" spans="1:7">
      <c r="A14" s="3205" t="s">
        <v>1031</v>
      </c>
      <c r="B14" s="3206" t="s">
        <v>1002</v>
      </c>
      <c r="C14" s="3207">
        <v>9.7000000000000003E-2</v>
      </c>
      <c r="D14" s="3207">
        <v>9.7000000000000003E-2</v>
      </c>
      <c r="E14" s="3207">
        <v>9.7000000000000003E-2</v>
      </c>
      <c r="F14" s="3207">
        <v>0.1</v>
      </c>
      <c r="G14" s="3208">
        <v>9.8000000000000004E-2</v>
      </c>
    </row>
    <row r="15" spans="1:7">
      <c r="A15" s="3205" t="s">
        <v>1031</v>
      </c>
      <c r="B15" s="3206" t="s">
        <v>1009</v>
      </c>
      <c r="C15" s="3207">
        <v>9.8000000000000004E-2</v>
      </c>
      <c r="D15" s="3207">
        <v>9.0999999999999998E-2</v>
      </c>
      <c r="E15" s="3207">
        <v>0.06</v>
      </c>
      <c r="F15" s="3207">
        <v>0.1</v>
      </c>
      <c r="G15" s="3208">
        <v>9.7000000000000003E-2</v>
      </c>
    </row>
    <row r="16" spans="1:7">
      <c r="A16" s="3205" t="s">
        <v>1031</v>
      </c>
      <c r="B16" s="3206" t="s">
        <v>1015</v>
      </c>
      <c r="C16" s="3207">
        <v>9.8000000000000004E-2</v>
      </c>
      <c r="D16" s="3207">
        <v>9.7000000000000003E-2</v>
      </c>
      <c r="E16" s="3207">
        <v>9.5000000000000001E-2</v>
      </c>
      <c r="F16" s="3207">
        <v>0.1</v>
      </c>
      <c r="G16" s="3208">
        <v>9.9000000000000005E-2</v>
      </c>
    </row>
    <row r="17" spans="1:7">
      <c r="A17" s="3205" t="s">
        <v>1031</v>
      </c>
      <c r="B17" s="3206" t="s">
        <v>1022</v>
      </c>
      <c r="C17" s="3207">
        <v>8.8999999999999996E-2</v>
      </c>
      <c r="D17" s="3207">
        <v>9.1999999999999998E-2</v>
      </c>
      <c r="E17" s="3207">
        <v>6.0999999999999999E-2</v>
      </c>
      <c r="F17" s="3207">
        <v>0.1</v>
      </c>
      <c r="G17" s="3208">
        <v>9.7000000000000003E-2</v>
      </c>
    </row>
    <row r="18" spans="1:7">
      <c r="A18" s="3205" t="s">
        <v>1031</v>
      </c>
      <c r="B18" s="3206" t="s">
        <v>1032</v>
      </c>
      <c r="C18" s="3207">
        <v>9.8000000000000004E-2</v>
      </c>
      <c r="D18" s="3207">
        <v>9.8000000000000004E-2</v>
      </c>
      <c r="E18" s="3207">
        <v>9.8000000000000004E-2</v>
      </c>
      <c r="F18" s="3214"/>
      <c r="G18" s="3208">
        <v>9.9000000000000005E-2</v>
      </c>
    </row>
    <row r="19" spans="1:7">
      <c r="A19" s="3205" t="s">
        <v>1031</v>
      </c>
      <c r="B19" s="3206" t="s">
        <v>1041</v>
      </c>
      <c r="C19" s="3207">
        <v>9.9000000000000005E-2</v>
      </c>
      <c r="D19" s="3207">
        <v>7.3999999999999996E-2</v>
      </c>
      <c r="E19" s="3207">
        <v>8.1000000000000003E-2</v>
      </c>
      <c r="F19" s="3214"/>
      <c r="G19" s="3208">
        <v>9.2999999999999999E-2</v>
      </c>
    </row>
    <row r="20" spans="1:7">
      <c r="A20" s="3205" t="s">
        <v>1031</v>
      </c>
      <c r="B20" s="3206" t="s">
        <v>1048</v>
      </c>
      <c r="C20" s="3207">
        <v>0.1</v>
      </c>
      <c r="D20" s="3207">
        <v>8.8999999999999996E-2</v>
      </c>
      <c r="E20" s="3207">
        <v>8.8999999999999996E-2</v>
      </c>
      <c r="F20" s="3214"/>
      <c r="G20" s="3208">
        <v>9.5000000000000001E-2</v>
      </c>
    </row>
    <row r="21" spans="1:7">
      <c r="A21" s="3205" t="s">
        <v>1031</v>
      </c>
      <c r="B21" s="3206" t="s">
        <v>1055</v>
      </c>
      <c r="C21" s="3207">
        <v>0.1</v>
      </c>
      <c r="D21" s="3207">
        <v>9.0999999999999998E-2</v>
      </c>
      <c r="E21" s="3207">
        <v>8.2000000000000003E-2</v>
      </c>
      <c r="F21" s="3214"/>
      <c r="G21" s="3208">
        <v>9.7000000000000003E-2</v>
      </c>
    </row>
    <row r="22" spans="1:7">
      <c r="A22" s="3205" t="s">
        <v>1031</v>
      </c>
      <c r="B22" s="3206" t="s">
        <v>3034</v>
      </c>
      <c r="C22" s="3207">
        <v>9.5000000000000001E-2</v>
      </c>
      <c r="D22" s="3207">
        <v>9.9000000000000005E-2</v>
      </c>
      <c r="E22" s="3207">
        <v>9.8000000000000004E-2</v>
      </c>
      <c r="F22" s="3214"/>
      <c r="G22" s="3208">
        <v>0.1</v>
      </c>
    </row>
    <row r="23" spans="1:7">
      <c r="A23" s="3205" t="s">
        <v>1031</v>
      </c>
      <c r="B23" s="3206" t="s">
        <v>1070</v>
      </c>
      <c r="C23" s="3207">
        <v>9.9000000000000005E-2</v>
      </c>
      <c r="D23" s="3207">
        <v>0.1</v>
      </c>
      <c r="E23" s="3207">
        <v>0.1</v>
      </c>
      <c r="F23" s="3214"/>
      <c r="G23" s="3208">
        <v>0.1</v>
      </c>
    </row>
    <row r="24" spans="1:7">
      <c r="A24" s="3205" t="s">
        <v>1031</v>
      </c>
      <c r="B24" s="3206" t="s">
        <v>1078</v>
      </c>
      <c r="C24" s="3207">
        <v>9.5000000000000001E-2</v>
      </c>
      <c r="D24" s="3207">
        <v>0.1</v>
      </c>
      <c r="E24" s="3207">
        <v>9.8000000000000004E-2</v>
      </c>
      <c r="F24" s="3214"/>
      <c r="G24" s="3208">
        <v>0.1</v>
      </c>
    </row>
    <row r="25" spans="1:7">
      <c r="A25" s="3205" t="s">
        <v>1031</v>
      </c>
      <c r="B25" s="3206" t="s">
        <v>1083</v>
      </c>
      <c r="C25" s="3207">
        <v>0.05</v>
      </c>
      <c r="D25" s="3207">
        <v>9.6000000000000002E-2</v>
      </c>
      <c r="E25" s="3207">
        <v>9.6000000000000002E-2</v>
      </c>
      <c r="F25" s="3214"/>
      <c r="G25" s="3208">
        <v>9.6000000000000002E-2</v>
      </c>
    </row>
    <row r="26" spans="1:7">
      <c r="A26" s="3205" t="s">
        <v>1031</v>
      </c>
      <c r="B26" s="3206" t="s">
        <v>1092</v>
      </c>
      <c r="C26" s="3207">
        <v>6.3E-2</v>
      </c>
      <c r="D26" s="3207">
        <v>9.9000000000000005E-2</v>
      </c>
      <c r="E26" s="3207">
        <v>9.8000000000000004E-2</v>
      </c>
      <c r="F26" s="3214"/>
      <c r="G26" s="3208">
        <v>0.1</v>
      </c>
    </row>
    <row r="27" spans="1:7">
      <c r="A27" s="3205" t="s">
        <v>1031</v>
      </c>
      <c r="B27" s="3206" t="s">
        <v>1099</v>
      </c>
      <c r="C27" s="3207">
        <v>5.1999999999999998E-2</v>
      </c>
      <c r="D27" s="3207">
        <v>9.5000000000000001E-2</v>
      </c>
      <c r="E27" s="3207">
        <v>6.4000000000000001E-2</v>
      </c>
      <c r="F27" s="3214"/>
      <c r="G27" s="3208">
        <v>9.7000000000000003E-2</v>
      </c>
    </row>
    <row r="28" spans="1:7">
      <c r="A28" s="3205" t="s">
        <v>1031</v>
      </c>
      <c r="B28" s="3206" t="s">
        <v>1107</v>
      </c>
      <c r="C28" s="3214"/>
      <c r="D28" s="3207">
        <v>6.3E-2</v>
      </c>
      <c r="E28" s="3207">
        <v>5.1999999999999998E-2</v>
      </c>
      <c r="F28" s="3214"/>
      <c r="G28" s="3208">
        <v>6.3E-2</v>
      </c>
    </row>
    <row r="29" spans="1:7" ht="14.25" thickBot="1">
      <c r="A29" s="3209" t="s">
        <v>1031</v>
      </c>
      <c r="B29" s="3210" t="s">
        <v>2820</v>
      </c>
      <c r="C29" s="3215"/>
      <c r="D29" s="3211">
        <v>5.1999999999999998E-2</v>
      </c>
      <c r="E29" s="3211">
        <v>7.0000000000000007E-2</v>
      </c>
      <c r="F29" s="3215"/>
      <c r="G29" s="3213">
        <v>7.0999999999999994E-2</v>
      </c>
    </row>
    <row r="30" spans="1:7">
      <c r="A30" s="3216" t="s">
        <v>1145</v>
      </c>
      <c r="B30" s="3202" t="s">
        <v>3035</v>
      </c>
      <c r="C30" s="3203">
        <v>6.6000000000000003E-2</v>
      </c>
      <c r="D30" s="3203">
        <v>6.6000000000000003E-2</v>
      </c>
      <c r="E30" s="3203">
        <v>5.7000000000000002E-2</v>
      </c>
      <c r="F30" s="3203">
        <v>0.1</v>
      </c>
      <c r="G30" s="3204">
        <v>6.8000000000000005E-2</v>
      </c>
    </row>
    <row r="31" spans="1:7">
      <c r="A31" s="3217" t="s">
        <v>1145</v>
      </c>
      <c r="B31" s="3206" t="s">
        <v>974</v>
      </c>
      <c r="C31" s="3207">
        <v>5.5E-2</v>
      </c>
      <c r="D31" s="3207">
        <v>8.2000000000000003E-2</v>
      </c>
      <c r="E31" s="3207">
        <v>6.4000000000000001E-2</v>
      </c>
      <c r="F31" s="3207">
        <v>0.1</v>
      </c>
      <c r="G31" s="3208">
        <v>9.5000000000000001E-2</v>
      </c>
    </row>
    <row r="32" spans="1:7">
      <c r="A32" s="3217" t="s">
        <v>1145</v>
      </c>
      <c r="B32" s="3206" t="s">
        <v>984</v>
      </c>
      <c r="C32" s="3207">
        <v>8.2000000000000003E-2</v>
      </c>
      <c r="D32" s="3207">
        <v>8.6999999999999994E-2</v>
      </c>
      <c r="E32" s="3207">
        <v>9.5000000000000001E-2</v>
      </c>
      <c r="F32" s="3207">
        <v>0.1</v>
      </c>
      <c r="G32" s="3208">
        <v>9.6000000000000002E-2</v>
      </c>
    </row>
    <row r="33" spans="1:7">
      <c r="A33" s="3217" t="s">
        <v>1145</v>
      </c>
      <c r="B33" s="3206" t="s">
        <v>993</v>
      </c>
      <c r="C33" s="3207">
        <v>9.9000000000000005E-2</v>
      </c>
      <c r="D33" s="3207">
        <v>9.1999999999999998E-2</v>
      </c>
      <c r="E33" s="3207">
        <v>8.6999999999999994E-2</v>
      </c>
      <c r="F33" s="3207">
        <v>0.1</v>
      </c>
      <c r="G33" s="3208">
        <v>9.7000000000000003E-2</v>
      </c>
    </row>
    <row r="34" spans="1:7">
      <c r="A34" s="3217" t="s">
        <v>1145</v>
      </c>
      <c r="B34" s="3206" t="s">
        <v>1003</v>
      </c>
      <c r="C34" s="3207">
        <v>8.4000000000000005E-2</v>
      </c>
      <c r="D34" s="3207">
        <v>9.7000000000000003E-2</v>
      </c>
      <c r="E34" s="3207">
        <v>7.0999999999999994E-2</v>
      </c>
      <c r="F34" s="3207">
        <v>0.1</v>
      </c>
      <c r="G34" s="3208">
        <v>9.8000000000000004E-2</v>
      </c>
    </row>
    <row r="35" spans="1:7">
      <c r="A35" s="3217" t="s">
        <v>1145</v>
      </c>
      <c r="B35" s="3206" t="s">
        <v>1010</v>
      </c>
      <c r="C35" s="3207">
        <v>8.3000000000000004E-2</v>
      </c>
      <c r="D35" s="3207">
        <v>9.7000000000000003E-2</v>
      </c>
      <c r="E35" s="3207">
        <v>6.0999999999999999E-2</v>
      </c>
      <c r="F35" s="3207">
        <v>0.1</v>
      </c>
      <c r="G35" s="3208">
        <v>9.9000000000000005E-2</v>
      </c>
    </row>
    <row r="36" spans="1:7">
      <c r="A36" s="3217" t="s">
        <v>1145</v>
      </c>
      <c r="B36" s="3206" t="s">
        <v>1016</v>
      </c>
      <c r="C36" s="3207">
        <v>9.7000000000000003E-2</v>
      </c>
      <c r="D36" s="3207">
        <v>9.7000000000000003E-2</v>
      </c>
      <c r="E36" s="3207">
        <v>7.8E-2</v>
      </c>
      <c r="F36" s="3207">
        <v>0.1</v>
      </c>
      <c r="G36" s="3208">
        <v>9.9000000000000005E-2</v>
      </c>
    </row>
    <row r="37" spans="1:7">
      <c r="A37" s="3217" t="s">
        <v>1145</v>
      </c>
      <c r="B37" s="3206" t="s">
        <v>1023</v>
      </c>
      <c r="C37" s="3207">
        <v>9.7000000000000003E-2</v>
      </c>
      <c r="D37" s="3207">
        <v>9.5000000000000001E-2</v>
      </c>
      <c r="E37" s="3207">
        <v>7.8E-2</v>
      </c>
      <c r="F37" s="3207">
        <v>0.1</v>
      </c>
      <c r="G37" s="3208">
        <v>9.7000000000000003E-2</v>
      </c>
    </row>
    <row r="38" spans="1:7">
      <c r="A38" s="3217" t="s">
        <v>1145</v>
      </c>
      <c r="B38" s="3206" t="s">
        <v>1033</v>
      </c>
      <c r="C38" s="3207">
        <v>9.7000000000000003E-2</v>
      </c>
      <c r="D38" s="3207">
        <v>7.6999999999999999E-2</v>
      </c>
      <c r="E38" s="3207">
        <v>7.0000000000000007E-2</v>
      </c>
      <c r="F38" s="3207">
        <v>0.1</v>
      </c>
      <c r="G38" s="3208">
        <v>7.6999999999999999E-2</v>
      </c>
    </row>
    <row r="39" spans="1:7">
      <c r="A39" s="3217" t="s">
        <v>1145</v>
      </c>
      <c r="B39" s="3206" t="s">
        <v>1042</v>
      </c>
      <c r="C39" s="3207">
        <v>9.5000000000000001E-2</v>
      </c>
      <c r="D39" s="3207">
        <v>7.6999999999999999E-2</v>
      </c>
      <c r="E39" s="3207">
        <v>6.6000000000000003E-2</v>
      </c>
      <c r="F39" s="3207">
        <v>0.1</v>
      </c>
      <c r="G39" s="3208">
        <v>8.5999999999999993E-2</v>
      </c>
    </row>
    <row r="40" spans="1:7">
      <c r="A40" s="3217" t="s">
        <v>1145</v>
      </c>
      <c r="B40" s="3206" t="s">
        <v>1049</v>
      </c>
      <c r="C40" s="3207">
        <v>7.6999999999999999E-2</v>
      </c>
      <c r="D40" s="3207">
        <v>7.8E-2</v>
      </c>
      <c r="E40" s="3207">
        <v>8.2000000000000003E-2</v>
      </c>
      <c r="F40" s="3218"/>
      <c r="G40" s="3208">
        <v>7.8E-2</v>
      </c>
    </row>
    <row r="41" spans="1:7">
      <c r="A41" s="3217" t="s">
        <v>1145</v>
      </c>
      <c r="B41" s="3206" t="s">
        <v>1056</v>
      </c>
      <c r="C41" s="3207">
        <v>7.8E-2</v>
      </c>
      <c r="D41" s="3207">
        <v>7.8E-2</v>
      </c>
      <c r="E41" s="3207">
        <v>8.2000000000000003E-2</v>
      </c>
      <c r="F41" s="3218"/>
      <c r="G41" s="3208">
        <v>8.5999999999999993E-2</v>
      </c>
    </row>
    <row r="42" spans="1:7">
      <c r="A42" s="3217" t="s">
        <v>1145</v>
      </c>
      <c r="B42" s="3206" t="s">
        <v>1063</v>
      </c>
      <c r="C42" s="3207">
        <v>7.8E-2</v>
      </c>
      <c r="D42" s="3207">
        <v>9.6000000000000002E-2</v>
      </c>
      <c r="E42" s="3207">
        <v>7.1999999999999995E-2</v>
      </c>
      <c r="F42" s="3218"/>
      <c r="G42" s="3208">
        <v>9.8000000000000004E-2</v>
      </c>
    </row>
    <row r="43" spans="1:7">
      <c r="A43" s="3217" t="s">
        <v>3036</v>
      </c>
      <c r="B43" s="3206" t="s">
        <v>1071</v>
      </c>
      <c r="C43" s="3207">
        <v>7.8E-2</v>
      </c>
      <c r="D43" s="3207">
        <v>9.9000000000000005E-2</v>
      </c>
      <c r="E43" s="3207">
        <v>9.6000000000000002E-2</v>
      </c>
      <c r="F43" s="3218"/>
      <c r="G43" s="3208">
        <v>0.1</v>
      </c>
    </row>
    <row r="44" spans="1:7">
      <c r="A44" s="3217" t="s">
        <v>1145</v>
      </c>
      <c r="B44" s="3206" t="s">
        <v>1079</v>
      </c>
      <c r="C44" s="3207">
        <v>9.6000000000000002E-2</v>
      </c>
      <c r="D44" s="3207">
        <v>0.1</v>
      </c>
      <c r="E44" s="3207">
        <v>9.8000000000000004E-2</v>
      </c>
      <c r="F44" s="3218"/>
      <c r="G44" s="3208">
        <v>0.1</v>
      </c>
    </row>
    <row r="45" spans="1:7">
      <c r="A45" s="3217" t="s">
        <v>1145</v>
      </c>
      <c r="B45" s="3206" t="s">
        <v>1084</v>
      </c>
      <c r="C45" s="3207">
        <v>9.9000000000000005E-2</v>
      </c>
      <c r="D45" s="3207">
        <v>9.8000000000000004E-2</v>
      </c>
      <c r="E45" s="3207">
        <v>9.5000000000000001E-2</v>
      </c>
      <c r="F45" s="3218"/>
      <c r="G45" s="3208">
        <v>9.8000000000000004E-2</v>
      </c>
    </row>
    <row r="46" spans="1:7">
      <c r="A46" s="3217" t="s">
        <v>1145</v>
      </c>
      <c r="B46" s="3206" t="s">
        <v>1093</v>
      </c>
      <c r="C46" s="3207">
        <v>0.1</v>
      </c>
      <c r="D46" s="3207">
        <v>9.9000000000000005E-2</v>
      </c>
      <c r="E46" s="3207">
        <v>9.6000000000000002E-2</v>
      </c>
      <c r="F46" s="3218"/>
      <c r="G46" s="3208">
        <v>0.1</v>
      </c>
    </row>
    <row r="47" spans="1:7">
      <c r="A47" s="3217" t="s">
        <v>1145</v>
      </c>
      <c r="B47" s="3206" t="s">
        <v>1100</v>
      </c>
      <c r="C47" s="3207">
        <v>9.8000000000000004E-2</v>
      </c>
      <c r="D47" s="3207">
        <v>8.6999999999999994E-2</v>
      </c>
      <c r="E47" s="3207">
        <v>5.8999999999999997E-2</v>
      </c>
      <c r="F47" s="3218"/>
      <c r="G47" s="3208">
        <v>9.6000000000000002E-2</v>
      </c>
    </row>
    <row r="48" spans="1:7">
      <c r="A48" s="3217" t="s">
        <v>1145</v>
      </c>
      <c r="B48" s="3206" t="s">
        <v>1108</v>
      </c>
      <c r="C48" s="3207">
        <v>9.9000000000000005E-2</v>
      </c>
      <c r="D48" s="3207">
        <v>9.8000000000000004E-2</v>
      </c>
      <c r="E48" s="3207">
        <v>9.5000000000000001E-2</v>
      </c>
      <c r="F48" s="3218"/>
      <c r="G48" s="3208">
        <v>9.8000000000000004E-2</v>
      </c>
    </row>
    <row r="49" spans="1:7">
      <c r="A49" s="3217" t="s">
        <v>1145</v>
      </c>
      <c r="B49" s="3206" t="s">
        <v>1115</v>
      </c>
      <c r="C49" s="3207">
        <v>8.7999999999999995E-2</v>
      </c>
      <c r="D49" s="3207">
        <v>9.9000000000000005E-2</v>
      </c>
      <c r="E49" s="3207">
        <v>7.0000000000000007E-2</v>
      </c>
      <c r="F49" s="3218"/>
      <c r="G49" s="3208">
        <v>0.1</v>
      </c>
    </row>
    <row r="50" spans="1:7">
      <c r="A50" s="3217" t="s">
        <v>1145</v>
      </c>
      <c r="B50" s="3206" t="s">
        <v>2822</v>
      </c>
      <c r="C50" s="3207">
        <v>9.8000000000000004E-2</v>
      </c>
      <c r="D50" s="3207">
        <v>7.2999999999999995E-2</v>
      </c>
      <c r="E50" s="3207">
        <v>7.0999999999999994E-2</v>
      </c>
      <c r="F50" s="3218"/>
      <c r="G50" s="3208">
        <v>7.2999999999999995E-2</v>
      </c>
    </row>
    <row r="51" spans="1:7">
      <c r="A51" s="3217" t="s">
        <v>1145</v>
      </c>
      <c r="B51" s="3206" t="s">
        <v>2823</v>
      </c>
      <c r="C51" s="3207">
        <v>9.9000000000000005E-2</v>
      </c>
      <c r="D51" s="3207">
        <v>8.5000000000000006E-2</v>
      </c>
      <c r="E51" s="3207">
        <v>6.3E-2</v>
      </c>
      <c r="F51" s="3218"/>
      <c r="G51" s="3208">
        <v>9.6000000000000002E-2</v>
      </c>
    </row>
    <row r="52" spans="1:7">
      <c r="A52" s="3217" t="s">
        <v>1145</v>
      </c>
      <c r="B52" s="3206" t="s">
        <v>2824</v>
      </c>
      <c r="C52" s="3207">
        <v>7.3999999999999996E-2</v>
      </c>
      <c r="D52" s="3207">
        <v>9.6000000000000002E-2</v>
      </c>
      <c r="E52" s="3207">
        <v>0.05</v>
      </c>
      <c r="F52" s="3218"/>
      <c r="G52" s="3208">
        <v>9.8000000000000004E-2</v>
      </c>
    </row>
    <row r="53" spans="1:7">
      <c r="A53" s="3217" t="s">
        <v>1145</v>
      </c>
      <c r="B53" s="3206" t="s">
        <v>2825</v>
      </c>
      <c r="C53" s="3207">
        <v>8.5999999999999993E-2</v>
      </c>
      <c r="D53" s="3218"/>
      <c r="E53" s="3207">
        <v>9.1999999999999998E-2</v>
      </c>
      <c r="F53" s="3218"/>
      <c r="G53" s="3219"/>
    </row>
    <row r="54" spans="1:7" ht="14.25" thickBot="1">
      <c r="A54" s="3220" t="s">
        <v>1145</v>
      </c>
      <c r="B54" s="3210" t="s">
        <v>2826</v>
      </c>
      <c r="C54" s="3211">
        <v>9.6000000000000002E-2</v>
      </c>
      <c r="D54" s="3212"/>
      <c r="E54" s="3221"/>
      <c r="F54" s="3212"/>
      <c r="G54" s="3222"/>
    </row>
    <row r="55" spans="1:7">
      <c r="A55" s="3216" t="s">
        <v>853</v>
      </c>
      <c r="B55" s="3202" t="s">
        <v>3037</v>
      </c>
      <c r="C55" s="3203">
        <v>9.6000000000000002E-2</v>
      </c>
      <c r="D55" s="3203">
        <v>8.4000000000000005E-2</v>
      </c>
      <c r="E55" s="3203">
        <v>9.1999999999999998E-2</v>
      </c>
      <c r="F55" s="3203">
        <v>0.1</v>
      </c>
      <c r="G55" s="3204">
        <v>9.5000000000000001E-2</v>
      </c>
    </row>
    <row r="56" spans="1:7">
      <c r="A56" s="3217" t="s">
        <v>853</v>
      </c>
      <c r="B56" s="3206" t="s">
        <v>975</v>
      </c>
      <c r="C56" s="3207">
        <v>8.4000000000000005E-2</v>
      </c>
      <c r="D56" s="3207">
        <v>9.1999999999999998E-2</v>
      </c>
      <c r="E56" s="3207">
        <v>9.5000000000000001E-2</v>
      </c>
      <c r="F56" s="3207">
        <v>9.1999999999999998E-2</v>
      </c>
      <c r="G56" s="3208">
        <v>9.6000000000000002E-2</v>
      </c>
    </row>
    <row r="57" spans="1:7">
      <c r="A57" s="3217" t="s">
        <v>853</v>
      </c>
      <c r="B57" s="3206" t="s">
        <v>985</v>
      </c>
      <c r="C57" s="3207">
        <v>9.9000000000000005E-2</v>
      </c>
      <c r="D57" s="3207">
        <v>9.6000000000000002E-2</v>
      </c>
      <c r="E57" s="3207">
        <v>9.1999999999999998E-2</v>
      </c>
      <c r="F57" s="3207">
        <v>0.1</v>
      </c>
      <c r="G57" s="3208">
        <v>9.8000000000000004E-2</v>
      </c>
    </row>
    <row r="58" spans="1:7">
      <c r="A58" s="3217" t="s">
        <v>853</v>
      </c>
      <c r="B58" s="3206" t="s">
        <v>994</v>
      </c>
      <c r="C58" s="3207">
        <v>9.8000000000000004E-2</v>
      </c>
      <c r="D58" s="3207">
        <v>9.5000000000000001E-2</v>
      </c>
      <c r="E58" s="3207">
        <v>5.7000000000000002E-2</v>
      </c>
      <c r="F58" s="3207">
        <v>0.1</v>
      </c>
      <c r="G58" s="3208">
        <v>9.6000000000000002E-2</v>
      </c>
    </row>
    <row r="59" spans="1:7">
      <c r="A59" s="3217" t="s">
        <v>853</v>
      </c>
      <c r="B59" s="3206" t="s">
        <v>1004</v>
      </c>
      <c r="C59" s="3207">
        <v>9.5000000000000001E-2</v>
      </c>
      <c r="D59" s="3207">
        <v>0.1</v>
      </c>
      <c r="E59" s="3207">
        <v>7.4999999999999997E-2</v>
      </c>
      <c r="F59" s="3207">
        <v>0.1</v>
      </c>
      <c r="G59" s="3208">
        <v>0.1</v>
      </c>
    </row>
    <row r="60" spans="1:7">
      <c r="A60" s="3217" t="s">
        <v>853</v>
      </c>
      <c r="B60" s="3206" t="s">
        <v>1011</v>
      </c>
      <c r="C60" s="3207">
        <v>0.1</v>
      </c>
      <c r="D60" s="3207">
        <v>9.7000000000000003E-2</v>
      </c>
      <c r="E60" s="3207">
        <v>0.1</v>
      </c>
      <c r="F60" s="3207">
        <v>0.1</v>
      </c>
      <c r="G60" s="3208">
        <v>9.7000000000000003E-2</v>
      </c>
    </row>
    <row r="61" spans="1:7">
      <c r="A61" s="3217" t="s">
        <v>853</v>
      </c>
      <c r="B61" s="3206" t="s">
        <v>1017</v>
      </c>
      <c r="C61" s="3207">
        <v>9.7000000000000003E-2</v>
      </c>
      <c r="D61" s="3207">
        <v>0.1</v>
      </c>
      <c r="E61" s="3207">
        <v>9.2999999999999999E-2</v>
      </c>
      <c r="F61" s="3207">
        <v>0.1</v>
      </c>
      <c r="G61" s="3208">
        <v>0.1</v>
      </c>
    </row>
    <row r="62" spans="1:7">
      <c r="A62" s="3217" t="s">
        <v>853</v>
      </c>
      <c r="B62" s="3206" t="s">
        <v>1024</v>
      </c>
      <c r="C62" s="3207">
        <v>0.1</v>
      </c>
      <c r="D62" s="3207">
        <v>9.7000000000000003E-2</v>
      </c>
      <c r="E62" s="3207">
        <v>8.8999999999999996E-2</v>
      </c>
      <c r="F62" s="3207">
        <v>0.1</v>
      </c>
      <c r="G62" s="3208">
        <v>9.8000000000000004E-2</v>
      </c>
    </row>
    <row r="63" spans="1:7">
      <c r="A63" s="3217" t="s">
        <v>853</v>
      </c>
      <c r="B63" s="3206" t="s">
        <v>1034</v>
      </c>
      <c r="C63" s="3207">
        <v>9.7000000000000003E-2</v>
      </c>
      <c r="D63" s="3207">
        <v>9.7000000000000003E-2</v>
      </c>
      <c r="E63" s="3207">
        <v>9.9000000000000005E-2</v>
      </c>
      <c r="F63" s="3207">
        <v>0.1</v>
      </c>
      <c r="G63" s="3208">
        <v>9.7000000000000003E-2</v>
      </c>
    </row>
    <row r="64" spans="1:7">
      <c r="A64" s="3217" t="s">
        <v>853</v>
      </c>
      <c r="B64" s="3206" t="s">
        <v>1043</v>
      </c>
      <c r="C64" s="3207">
        <v>9.7000000000000003E-2</v>
      </c>
      <c r="D64" s="3207">
        <v>7.3999999999999996E-2</v>
      </c>
      <c r="E64" s="3207">
        <v>7.8E-2</v>
      </c>
      <c r="F64" s="3207">
        <v>0.1</v>
      </c>
      <c r="G64" s="3208">
        <v>8.8999999999999996E-2</v>
      </c>
    </row>
    <row r="65" spans="1:7">
      <c r="A65" s="3217" t="s">
        <v>853</v>
      </c>
      <c r="B65" s="3206" t="s">
        <v>1050</v>
      </c>
      <c r="C65" s="3207">
        <v>7.2999999999999995E-2</v>
      </c>
      <c r="D65" s="3207">
        <v>9.8000000000000004E-2</v>
      </c>
      <c r="E65" s="3207">
        <v>9.5000000000000001E-2</v>
      </c>
      <c r="F65" s="3207">
        <v>0.1</v>
      </c>
      <c r="G65" s="3208">
        <v>9.9000000000000005E-2</v>
      </c>
    </row>
    <row r="66" spans="1:7">
      <c r="A66" s="3217" t="s">
        <v>853</v>
      </c>
      <c r="B66" s="3206" t="s">
        <v>1057</v>
      </c>
      <c r="C66" s="3207">
        <v>9.8000000000000004E-2</v>
      </c>
      <c r="D66" s="3207">
        <v>9.5000000000000001E-2</v>
      </c>
      <c r="E66" s="3207">
        <v>0.05</v>
      </c>
      <c r="F66" s="3207">
        <v>0.1</v>
      </c>
      <c r="G66" s="3208">
        <v>9.7000000000000003E-2</v>
      </c>
    </row>
    <row r="67" spans="1:7">
      <c r="A67" s="3217" t="s">
        <v>853</v>
      </c>
      <c r="B67" s="3206" t="s">
        <v>1064</v>
      </c>
      <c r="C67" s="3207">
        <v>9.5000000000000001E-2</v>
      </c>
      <c r="D67" s="3207">
        <v>9.7000000000000003E-2</v>
      </c>
      <c r="E67" s="3207">
        <v>9.7000000000000003E-2</v>
      </c>
      <c r="F67" s="3207">
        <v>0.1</v>
      </c>
      <c r="G67" s="3208">
        <v>9.9000000000000005E-2</v>
      </c>
    </row>
    <row r="68" spans="1:7">
      <c r="A68" s="3217" t="s">
        <v>853</v>
      </c>
      <c r="B68" s="3206" t="s">
        <v>1072</v>
      </c>
      <c r="C68" s="3207">
        <v>9.7000000000000003E-2</v>
      </c>
      <c r="D68" s="3207">
        <v>6.8000000000000005E-2</v>
      </c>
      <c r="E68" s="3207">
        <v>6.6000000000000003E-2</v>
      </c>
      <c r="F68" s="3207">
        <v>0.1</v>
      </c>
      <c r="G68" s="3208">
        <v>8.4000000000000005E-2</v>
      </c>
    </row>
    <row r="69" spans="1:7">
      <c r="A69" s="3217" t="s">
        <v>853</v>
      </c>
      <c r="B69" s="3206" t="s">
        <v>1080</v>
      </c>
      <c r="C69" s="3207">
        <v>6.8000000000000005E-2</v>
      </c>
      <c r="D69" s="3207">
        <v>9.8000000000000004E-2</v>
      </c>
      <c r="E69" s="3207">
        <v>9.5000000000000001E-2</v>
      </c>
      <c r="F69" s="3207">
        <v>0.1</v>
      </c>
      <c r="G69" s="3208">
        <v>0.1</v>
      </c>
    </row>
    <row r="70" spans="1:7">
      <c r="A70" s="3217" t="s">
        <v>853</v>
      </c>
      <c r="B70" s="3206" t="s">
        <v>1085</v>
      </c>
      <c r="C70" s="3207">
        <v>9.8000000000000004E-2</v>
      </c>
      <c r="D70" s="3207">
        <v>8.8999999999999996E-2</v>
      </c>
      <c r="E70" s="3207">
        <v>5.8999999999999997E-2</v>
      </c>
      <c r="F70" s="3207">
        <v>0.1</v>
      </c>
      <c r="G70" s="3208">
        <v>9.6000000000000002E-2</v>
      </c>
    </row>
    <row r="71" spans="1:7">
      <c r="A71" s="3217" t="s">
        <v>853</v>
      </c>
      <c r="B71" s="3206" t="s">
        <v>1094</v>
      </c>
      <c r="C71" s="3207">
        <v>8.8999999999999996E-2</v>
      </c>
      <c r="D71" s="3207">
        <v>9.9000000000000005E-2</v>
      </c>
      <c r="E71" s="3207">
        <v>9.6000000000000002E-2</v>
      </c>
      <c r="F71" s="3207">
        <v>0.1</v>
      </c>
      <c r="G71" s="3208">
        <v>0.1</v>
      </c>
    </row>
    <row r="72" spans="1:7">
      <c r="A72" s="3217" t="s">
        <v>853</v>
      </c>
      <c r="B72" s="3206" t="s">
        <v>1101</v>
      </c>
      <c r="C72" s="3207">
        <v>9.9000000000000005E-2</v>
      </c>
      <c r="D72" s="3207">
        <v>0.1</v>
      </c>
      <c r="E72" s="3207">
        <v>7.0000000000000007E-2</v>
      </c>
      <c r="F72" s="3218"/>
      <c r="G72" s="3208">
        <v>0.1</v>
      </c>
    </row>
    <row r="73" spans="1:7">
      <c r="A73" s="3217" t="s">
        <v>853</v>
      </c>
      <c r="B73" s="3206" t="s">
        <v>1109</v>
      </c>
      <c r="C73" s="3207">
        <v>0.1</v>
      </c>
      <c r="D73" s="3207">
        <v>0.1</v>
      </c>
      <c r="E73" s="3207">
        <v>9.6000000000000002E-2</v>
      </c>
      <c r="F73" s="3218"/>
      <c r="G73" s="3208">
        <v>0.1</v>
      </c>
    </row>
    <row r="74" spans="1:7">
      <c r="A74" s="3217" t="s">
        <v>853</v>
      </c>
      <c r="B74" s="3206" t="s">
        <v>1116</v>
      </c>
      <c r="C74" s="3207">
        <v>0.1</v>
      </c>
      <c r="D74" s="3207">
        <v>0.1</v>
      </c>
      <c r="E74" s="3207">
        <v>9.8000000000000004E-2</v>
      </c>
      <c r="F74" s="3218"/>
      <c r="G74" s="3208">
        <v>0.1</v>
      </c>
    </row>
    <row r="75" spans="1:7">
      <c r="A75" s="3217" t="s">
        <v>853</v>
      </c>
      <c r="B75" s="3206" t="s">
        <v>1120</v>
      </c>
      <c r="C75" s="3207">
        <v>0.1</v>
      </c>
      <c r="D75" s="3207">
        <v>9.9000000000000005E-2</v>
      </c>
      <c r="E75" s="3207">
        <v>9.8000000000000004E-2</v>
      </c>
      <c r="F75" s="3218"/>
      <c r="G75" s="3208">
        <v>0.1</v>
      </c>
    </row>
    <row r="76" spans="1:7">
      <c r="A76" s="3217" t="s">
        <v>853</v>
      </c>
      <c r="B76" s="3206" t="s">
        <v>1127</v>
      </c>
      <c r="C76" s="3207">
        <v>9.9000000000000005E-2</v>
      </c>
      <c r="D76" s="3207">
        <v>0.1</v>
      </c>
      <c r="E76" s="3207">
        <v>9.7000000000000003E-2</v>
      </c>
      <c r="F76" s="3218"/>
      <c r="G76" s="3208">
        <v>0.1</v>
      </c>
    </row>
    <row r="77" spans="1:7">
      <c r="A77" s="3217" t="s">
        <v>853</v>
      </c>
      <c r="B77" s="3206" t="s">
        <v>1130</v>
      </c>
      <c r="C77" s="3207">
        <v>0.1</v>
      </c>
      <c r="D77" s="3207">
        <v>0.1</v>
      </c>
      <c r="E77" s="3207">
        <v>9.6000000000000002E-2</v>
      </c>
      <c r="F77" s="3218"/>
      <c r="G77" s="3208">
        <v>0.1</v>
      </c>
    </row>
    <row r="78" spans="1:7">
      <c r="A78" s="3217" t="s">
        <v>853</v>
      </c>
      <c r="B78" s="3206" t="s">
        <v>2828</v>
      </c>
      <c r="C78" s="3207">
        <v>0.1</v>
      </c>
      <c r="D78" s="3207">
        <v>8.5000000000000006E-2</v>
      </c>
      <c r="E78" s="3207">
        <v>9.6000000000000002E-2</v>
      </c>
      <c r="F78" s="3218"/>
      <c r="G78" s="3208">
        <v>9.6000000000000002E-2</v>
      </c>
    </row>
    <row r="79" spans="1:7">
      <c r="A79" s="3217" t="s">
        <v>853</v>
      </c>
      <c r="B79" s="3206" t="s">
        <v>2829</v>
      </c>
      <c r="C79" s="3207">
        <v>0.05</v>
      </c>
      <c r="D79" s="3207">
        <v>9.6000000000000002E-2</v>
      </c>
      <c r="E79" s="3207">
        <v>9.5000000000000001E-2</v>
      </c>
      <c r="F79" s="3218"/>
      <c r="G79" s="3208">
        <v>9.8000000000000004E-2</v>
      </c>
    </row>
    <row r="80" spans="1:7">
      <c r="A80" s="3217" t="s">
        <v>853</v>
      </c>
      <c r="B80" s="3206" t="s">
        <v>2830</v>
      </c>
      <c r="C80" s="3207">
        <v>8.5999999999999993E-2</v>
      </c>
      <c r="D80" s="3223"/>
      <c r="E80" s="3207">
        <v>0.1</v>
      </c>
      <c r="F80" s="3218"/>
      <c r="G80" s="3219"/>
    </row>
    <row r="81" spans="1:7">
      <c r="A81" s="3217" t="s">
        <v>853</v>
      </c>
      <c r="B81" s="3206" t="s">
        <v>2831</v>
      </c>
      <c r="C81" s="3207">
        <v>9.6000000000000002E-2</v>
      </c>
      <c r="D81" s="3218"/>
      <c r="E81" s="3207">
        <v>9.8000000000000004E-2</v>
      </c>
      <c r="F81" s="3218"/>
      <c r="G81" s="3219"/>
    </row>
    <row r="82" spans="1:7">
      <c r="A82" s="3217" t="s">
        <v>853</v>
      </c>
      <c r="B82" s="3206" t="s">
        <v>2832</v>
      </c>
      <c r="C82" s="3223"/>
      <c r="D82" s="3218"/>
      <c r="E82" s="3207">
        <v>7.6999999999999999E-2</v>
      </c>
      <c r="F82" s="3218"/>
      <c r="G82" s="3219"/>
    </row>
    <row r="83" spans="1:7">
      <c r="A83" s="3217" t="s">
        <v>853</v>
      </c>
      <c r="B83" s="3206" t="s">
        <v>3038</v>
      </c>
      <c r="C83" s="3218"/>
      <c r="D83" s="3218"/>
      <c r="E83" s="3218"/>
      <c r="F83" s="3207">
        <v>0.1</v>
      </c>
      <c r="G83" s="3224"/>
    </row>
    <row r="84" spans="1:7">
      <c r="A84" s="3217" t="s">
        <v>853</v>
      </c>
      <c r="B84" s="3206" t="s">
        <v>3039</v>
      </c>
      <c r="C84" s="3218"/>
      <c r="D84" s="3218"/>
      <c r="E84" s="3218"/>
      <c r="F84" s="3207">
        <v>0.1</v>
      </c>
      <c r="G84" s="3224"/>
    </row>
    <row r="85" spans="1:7">
      <c r="A85" s="3217" t="s">
        <v>853</v>
      </c>
      <c r="B85" s="3206" t="s">
        <v>3040</v>
      </c>
      <c r="C85" s="3218"/>
      <c r="D85" s="3218"/>
      <c r="E85" s="3218"/>
      <c r="F85" s="3207">
        <v>0.1</v>
      </c>
      <c r="G85" s="3224"/>
    </row>
    <row r="86" spans="1:7" ht="14.25" thickBot="1">
      <c r="A86" s="3220" t="s">
        <v>853</v>
      </c>
      <c r="B86" s="3210" t="s">
        <v>3041</v>
      </c>
      <c r="C86" s="3211">
        <v>9.8000000000000004E-2</v>
      </c>
      <c r="D86" s="3211">
        <v>9.8000000000000004E-2</v>
      </c>
      <c r="E86" s="3211">
        <v>9.6000000000000002E-2</v>
      </c>
      <c r="F86" s="3221"/>
      <c r="G86" s="3213">
        <v>0.1</v>
      </c>
    </row>
    <row r="87" spans="1:7">
      <c r="A87" s="3216" t="s">
        <v>1152</v>
      </c>
      <c r="B87" s="3202" t="s">
        <v>3042</v>
      </c>
      <c r="C87" s="3203">
        <v>0.1</v>
      </c>
      <c r="D87" s="3203">
        <v>0.1</v>
      </c>
      <c r="E87" s="3203">
        <v>9.8000000000000004E-2</v>
      </c>
      <c r="F87" s="3203">
        <v>0.1</v>
      </c>
      <c r="G87" s="3204">
        <v>0.1</v>
      </c>
    </row>
    <row r="88" spans="1:7">
      <c r="A88" s="3217" t="s">
        <v>1152</v>
      </c>
      <c r="B88" s="3206" t="s">
        <v>976</v>
      </c>
      <c r="C88" s="3207">
        <v>9.0999999999999998E-2</v>
      </c>
      <c r="D88" s="3207">
        <v>9.1999999999999998E-2</v>
      </c>
      <c r="E88" s="3207">
        <v>0.1</v>
      </c>
      <c r="F88" s="3207">
        <v>0.1</v>
      </c>
      <c r="G88" s="3208">
        <v>9.6000000000000002E-2</v>
      </c>
    </row>
    <row r="89" spans="1:7">
      <c r="A89" s="3217" t="s">
        <v>1152</v>
      </c>
      <c r="B89" s="3206" t="s">
        <v>986</v>
      </c>
      <c r="C89" s="3207">
        <v>0.1</v>
      </c>
      <c r="D89" s="3207">
        <v>0.1</v>
      </c>
      <c r="E89" s="3207">
        <v>6.7000000000000004E-2</v>
      </c>
      <c r="F89" s="3207">
        <v>9.2999999999999999E-2</v>
      </c>
      <c r="G89" s="3208">
        <v>0.1</v>
      </c>
    </row>
    <row r="90" spans="1:7">
      <c r="A90" s="3217" t="s">
        <v>1152</v>
      </c>
      <c r="B90" s="3206" t="s">
        <v>995</v>
      </c>
      <c r="C90" s="3207">
        <v>9.6000000000000002E-2</v>
      </c>
      <c r="D90" s="3207">
        <v>9.6000000000000002E-2</v>
      </c>
      <c r="E90" s="3207">
        <v>0.1</v>
      </c>
      <c r="F90" s="3207">
        <v>0.1</v>
      </c>
      <c r="G90" s="3208">
        <v>9.8000000000000004E-2</v>
      </c>
    </row>
    <row r="91" spans="1:7">
      <c r="A91" s="3217" t="s">
        <v>1152</v>
      </c>
      <c r="B91" s="3206" t="s">
        <v>1005</v>
      </c>
      <c r="C91" s="3207">
        <v>7.6999999999999999E-2</v>
      </c>
      <c r="D91" s="3207">
        <v>7.6999999999999999E-2</v>
      </c>
      <c r="E91" s="3207">
        <v>9.6000000000000002E-2</v>
      </c>
      <c r="F91" s="3207">
        <v>0.1</v>
      </c>
      <c r="G91" s="3208">
        <v>7.6999999999999999E-2</v>
      </c>
    </row>
    <row r="92" spans="1:7">
      <c r="A92" s="3217" t="s">
        <v>1152</v>
      </c>
      <c r="B92" s="3206" t="s">
        <v>1012</v>
      </c>
      <c r="C92" s="3207">
        <v>0.1</v>
      </c>
      <c r="D92" s="3207">
        <v>0.1</v>
      </c>
      <c r="E92" s="3207">
        <v>9.1999999999999998E-2</v>
      </c>
      <c r="F92" s="3207">
        <v>0.1</v>
      </c>
      <c r="G92" s="3208">
        <v>0.1</v>
      </c>
    </row>
    <row r="93" spans="1:7">
      <c r="A93" s="3217" t="s">
        <v>1152</v>
      </c>
      <c r="B93" s="3206" t="s">
        <v>1018</v>
      </c>
      <c r="C93" s="3207">
        <v>9.8000000000000004E-2</v>
      </c>
      <c r="D93" s="3207">
        <v>9.8000000000000004E-2</v>
      </c>
      <c r="E93" s="3207">
        <v>9.6000000000000002E-2</v>
      </c>
      <c r="F93" s="3207">
        <v>0.1</v>
      </c>
      <c r="G93" s="3208">
        <v>9.9000000000000005E-2</v>
      </c>
    </row>
    <row r="94" spans="1:7">
      <c r="A94" s="3217" t="s">
        <v>1152</v>
      </c>
      <c r="B94" s="3206" t="s">
        <v>1025</v>
      </c>
      <c r="C94" s="3207">
        <v>8.7999999999999995E-2</v>
      </c>
      <c r="D94" s="3207">
        <v>8.7999999999999995E-2</v>
      </c>
      <c r="E94" s="3207">
        <v>9.6000000000000002E-2</v>
      </c>
      <c r="F94" s="3207">
        <v>0.1</v>
      </c>
      <c r="G94" s="3208">
        <v>8.7999999999999995E-2</v>
      </c>
    </row>
    <row r="95" spans="1:7">
      <c r="A95" s="3217" t="s">
        <v>1152</v>
      </c>
      <c r="B95" s="3206" t="s">
        <v>1035</v>
      </c>
      <c r="C95" s="3207">
        <v>9.6000000000000002E-2</v>
      </c>
      <c r="D95" s="3207">
        <v>9.6000000000000002E-2</v>
      </c>
      <c r="E95" s="3207">
        <v>0.1</v>
      </c>
      <c r="F95" s="3207">
        <v>0.1</v>
      </c>
      <c r="G95" s="3208">
        <v>9.8000000000000004E-2</v>
      </c>
    </row>
    <row r="96" spans="1:7">
      <c r="A96" s="3217" t="s">
        <v>1152</v>
      </c>
      <c r="B96" s="3206" t="s">
        <v>1044</v>
      </c>
      <c r="C96" s="3207">
        <v>9.7000000000000003E-2</v>
      </c>
      <c r="D96" s="3207">
        <v>9.7000000000000003E-2</v>
      </c>
      <c r="E96" s="3207">
        <v>0.1</v>
      </c>
      <c r="F96" s="3207">
        <v>0.1</v>
      </c>
      <c r="G96" s="3208">
        <v>9.8000000000000004E-2</v>
      </c>
    </row>
    <row r="97" spans="1:7">
      <c r="A97" s="3217" t="s">
        <v>1152</v>
      </c>
      <c r="B97" s="3206" t="s">
        <v>1051</v>
      </c>
      <c r="C97" s="3207">
        <v>9.6000000000000002E-2</v>
      </c>
      <c r="D97" s="3207">
        <v>9.6000000000000002E-2</v>
      </c>
      <c r="E97" s="3207">
        <v>9.9000000000000005E-2</v>
      </c>
      <c r="F97" s="3207">
        <v>0.1</v>
      </c>
      <c r="G97" s="3208">
        <v>9.8000000000000004E-2</v>
      </c>
    </row>
    <row r="98" spans="1:7">
      <c r="A98" s="3217" t="s">
        <v>1152</v>
      </c>
      <c r="B98" s="3206" t="s">
        <v>1058</v>
      </c>
      <c r="C98" s="3207">
        <v>9.8000000000000004E-2</v>
      </c>
      <c r="D98" s="3207">
        <v>9.8000000000000004E-2</v>
      </c>
      <c r="E98" s="3207">
        <v>0.1</v>
      </c>
      <c r="F98" s="3207">
        <v>0.1</v>
      </c>
      <c r="G98" s="3208">
        <v>9.9000000000000005E-2</v>
      </c>
    </row>
    <row r="99" spans="1:7">
      <c r="A99" s="3217" t="s">
        <v>1152</v>
      </c>
      <c r="B99" s="3206" t="s">
        <v>1065</v>
      </c>
      <c r="C99" s="3207">
        <v>9.6000000000000002E-2</v>
      </c>
      <c r="D99" s="3207">
        <v>9.6000000000000002E-2</v>
      </c>
      <c r="E99" s="3207">
        <v>0.1</v>
      </c>
      <c r="F99" s="3207">
        <v>0.1</v>
      </c>
      <c r="G99" s="3208">
        <v>9.7000000000000003E-2</v>
      </c>
    </row>
    <row r="100" spans="1:7">
      <c r="A100" s="3217" t="s">
        <v>1152</v>
      </c>
      <c r="B100" s="3206" t="s">
        <v>1073</v>
      </c>
      <c r="C100" s="3207">
        <v>0.1</v>
      </c>
      <c r="D100" s="3207">
        <v>0.1</v>
      </c>
      <c r="E100" s="3207">
        <v>9.7000000000000003E-2</v>
      </c>
      <c r="F100" s="3207">
        <v>9.8000000000000004E-2</v>
      </c>
      <c r="G100" s="3208">
        <v>0.1</v>
      </c>
    </row>
    <row r="101" spans="1:7">
      <c r="A101" s="3217" t="s">
        <v>1152</v>
      </c>
      <c r="B101" s="3206" t="s">
        <v>1081</v>
      </c>
      <c r="C101" s="3207">
        <v>0.1</v>
      </c>
      <c r="D101" s="3207">
        <v>0.1</v>
      </c>
      <c r="E101" s="3207">
        <v>9.5000000000000001E-2</v>
      </c>
      <c r="F101" s="3207">
        <v>0.1</v>
      </c>
      <c r="G101" s="3208">
        <v>0.1</v>
      </c>
    </row>
    <row r="102" spans="1:7">
      <c r="A102" s="3217" t="s">
        <v>1152</v>
      </c>
      <c r="B102" s="3206" t="s">
        <v>1086</v>
      </c>
      <c r="C102" s="3207">
        <v>0.1</v>
      </c>
      <c r="D102" s="3207">
        <v>0.1</v>
      </c>
      <c r="E102" s="3207">
        <v>9.9000000000000005E-2</v>
      </c>
      <c r="F102" s="3207">
        <v>9.7000000000000003E-2</v>
      </c>
      <c r="G102" s="3208">
        <v>0.1</v>
      </c>
    </row>
    <row r="103" spans="1:7">
      <c r="A103" s="3217" t="s">
        <v>1152</v>
      </c>
      <c r="B103" s="3206" t="s">
        <v>1095</v>
      </c>
      <c r="C103" s="3207">
        <v>0.1</v>
      </c>
      <c r="D103" s="3207">
        <v>0.1</v>
      </c>
      <c r="E103" s="3207">
        <v>9.8000000000000004E-2</v>
      </c>
      <c r="F103" s="3207">
        <v>0.1</v>
      </c>
      <c r="G103" s="3208">
        <v>0.1</v>
      </c>
    </row>
    <row r="104" spans="1:7">
      <c r="A104" s="3217" t="s">
        <v>1152</v>
      </c>
      <c r="B104" s="3206" t="s">
        <v>1102</v>
      </c>
      <c r="C104" s="3207">
        <v>0.1</v>
      </c>
      <c r="D104" s="3207">
        <v>0.1</v>
      </c>
      <c r="E104" s="3207">
        <v>9.8000000000000004E-2</v>
      </c>
      <c r="F104" s="3207">
        <v>0.1</v>
      </c>
      <c r="G104" s="3208">
        <v>0.1</v>
      </c>
    </row>
    <row r="105" spans="1:7">
      <c r="A105" s="3217" t="s">
        <v>1152</v>
      </c>
      <c r="B105" s="3206" t="s">
        <v>1110</v>
      </c>
      <c r="C105" s="3207">
        <v>9.8000000000000004E-2</v>
      </c>
      <c r="D105" s="3207">
        <v>9.8000000000000004E-2</v>
      </c>
      <c r="E105" s="3207">
        <v>9.8000000000000004E-2</v>
      </c>
      <c r="F105" s="3207">
        <v>0.1</v>
      </c>
      <c r="G105" s="3208">
        <v>9.9000000000000005E-2</v>
      </c>
    </row>
    <row r="106" spans="1:7">
      <c r="A106" s="3217" t="s">
        <v>1152</v>
      </c>
      <c r="B106" s="3206" t="s">
        <v>1117</v>
      </c>
      <c r="C106" s="3207">
        <v>9.7000000000000003E-2</v>
      </c>
      <c r="D106" s="3207">
        <v>9.7000000000000003E-2</v>
      </c>
      <c r="E106" s="3207">
        <v>9.7000000000000003E-2</v>
      </c>
      <c r="F106" s="3207">
        <v>0.1</v>
      </c>
      <c r="G106" s="3208">
        <v>9.9000000000000005E-2</v>
      </c>
    </row>
    <row r="107" spans="1:7">
      <c r="A107" s="3217" t="s">
        <v>1152</v>
      </c>
      <c r="B107" s="3206" t="s">
        <v>1121</v>
      </c>
      <c r="C107" s="3207">
        <v>0.1</v>
      </c>
      <c r="D107" s="3207">
        <v>0.1</v>
      </c>
      <c r="E107" s="3207">
        <v>8.5999999999999993E-2</v>
      </c>
      <c r="F107" s="3207">
        <v>0.09</v>
      </c>
      <c r="G107" s="3208">
        <v>0.1</v>
      </c>
    </row>
    <row r="108" spans="1:7">
      <c r="A108" s="3217" t="s">
        <v>1152</v>
      </c>
      <c r="B108" s="3206" t="s">
        <v>1128</v>
      </c>
      <c r="C108" s="3207">
        <v>0.1</v>
      </c>
      <c r="D108" s="3207">
        <v>0.1</v>
      </c>
      <c r="E108" s="3207">
        <v>9.6000000000000002E-2</v>
      </c>
      <c r="F108" s="3218"/>
      <c r="G108" s="3208">
        <v>0.1</v>
      </c>
    </row>
    <row r="109" spans="1:7">
      <c r="A109" s="3217" t="s">
        <v>1152</v>
      </c>
      <c r="B109" s="3206" t="s">
        <v>1131</v>
      </c>
      <c r="C109" s="3207">
        <v>0.1</v>
      </c>
      <c r="D109" s="3207">
        <v>0.1</v>
      </c>
      <c r="E109" s="3207">
        <v>0.1</v>
      </c>
      <c r="F109" s="3218"/>
      <c r="G109" s="3208">
        <v>0.1</v>
      </c>
    </row>
    <row r="110" spans="1:7">
      <c r="A110" s="3217" t="s">
        <v>1152</v>
      </c>
      <c r="B110" s="3206" t="s">
        <v>1133</v>
      </c>
      <c r="C110" s="3207">
        <v>0.1</v>
      </c>
      <c r="D110" s="3207">
        <v>0.1</v>
      </c>
      <c r="E110" s="3207">
        <v>0.1</v>
      </c>
      <c r="F110" s="3218"/>
      <c r="G110" s="3208">
        <v>0.1</v>
      </c>
    </row>
    <row r="111" spans="1:7">
      <c r="A111" s="3217" t="s">
        <v>1152</v>
      </c>
      <c r="B111" s="3206" t="s">
        <v>1136</v>
      </c>
      <c r="C111" s="3207">
        <v>0.1</v>
      </c>
      <c r="D111" s="3207">
        <v>0.1</v>
      </c>
      <c r="E111" s="3207">
        <v>9.5000000000000001E-2</v>
      </c>
      <c r="F111" s="3218"/>
      <c r="G111" s="3208">
        <v>0.1</v>
      </c>
    </row>
    <row r="112" spans="1:7">
      <c r="A112" s="3217" t="s">
        <v>1152</v>
      </c>
      <c r="B112" s="3206" t="s">
        <v>1140</v>
      </c>
      <c r="C112" s="3207">
        <v>9.7000000000000003E-2</v>
      </c>
      <c r="D112" s="3207">
        <v>9.7000000000000003E-2</v>
      </c>
      <c r="E112" s="3207">
        <v>0.05</v>
      </c>
      <c r="F112" s="3218"/>
      <c r="G112" s="3208">
        <v>9.8000000000000004E-2</v>
      </c>
    </row>
    <row r="113" spans="1:7">
      <c r="A113" s="3217" t="s">
        <v>1152</v>
      </c>
      <c r="B113" s="3206" t="s">
        <v>2838</v>
      </c>
      <c r="C113" s="3207">
        <v>0.1</v>
      </c>
      <c r="D113" s="3207">
        <v>0.1</v>
      </c>
      <c r="E113" s="3218"/>
      <c r="F113" s="3218"/>
      <c r="G113" s="3208">
        <v>0.1</v>
      </c>
    </row>
    <row r="114" spans="1:7">
      <c r="A114" s="3217" t="s">
        <v>1152</v>
      </c>
      <c r="B114" s="3206" t="s">
        <v>2839</v>
      </c>
      <c r="C114" s="3207">
        <v>9.7000000000000003E-2</v>
      </c>
      <c r="D114" s="3207">
        <v>9.7000000000000003E-2</v>
      </c>
      <c r="E114" s="3218"/>
      <c r="F114" s="3218"/>
      <c r="G114" s="3208">
        <v>9.9000000000000005E-2</v>
      </c>
    </row>
    <row r="115" spans="1:7">
      <c r="A115" s="3217" t="s">
        <v>1152</v>
      </c>
      <c r="B115" s="3206" t="s">
        <v>2840</v>
      </c>
      <c r="C115" s="3207">
        <v>0.1</v>
      </c>
      <c r="D115" s="3207">
        <v>0.1</v>
      </c>
      <c r="E115" s="3218"/>
      <c r="F115" s="3218"/>
      <c r="G115" s="3208">
        <v>0.1</v>
      </c>
    </row>
    <row r="116" spans="1:7">
      <c r="A116" s="3217" t="s">
        <v>1152</v>
      </c>
      <c r="B116" s="3206" t="s">
        <v>2841</v>
      </c>
      <c r="C116" s="3207">
        <v>0.1</v>
      </c>
      <c r="D116" s="3207">
        <v>0.1</v>
      </c>
      <c r="E116" s="3218"/>
      <c r="F116" s="3218"/>
      <c r="G116" s="3208">
        <v>0.1</v>
      </c>
    </row>
    <row r="117" spans="1:7">
      <c r="A117" s="3217" t="s">
        <v>1152</v>
      </c>
      <c r="B117" s="3206" t="s">
        <v>2842</v>
      </c>
      <c r="C117" s="3207">
        <v>9.7000000000000003E-2</v>
      </c>
      <c r="D117" s="3207">
        <v>9.7000000000000003E-2</v>
      </c>
      <c r="E117" s="3218"/>
      <c r="F117" s="3218"/>
      <c r="G117" s="3208">
        <v>9.7000000000000003E-2</v>
      </c>
    </row>
    <row r="118" spans="1:7">
      <c r="A118" s="3217" t="s">
        <v>1152</v>
      </c>
      <c r="B118" s="3206" t="s">
        <v>2843</v>
      </c>
      <c r="C118" s="3207">
        <v>0.1</v>
      </c>
      <c r="D118" s="3207">
        <v>0.1</v>
      </c>
      <c r="E118" s="3218"/>
      <c r="F118" s="3218"/>
      <c r="G118" s="3208">
        <v>0.1</v>
      </c>
    </row>
    <row r="119" spans="1:7">
      <c r="A119" s="3217" t="s">
        <v>1152</v>
      </c>
      <c r="B119" s="3206" t="s">
        <v>2844</v>
      </c>
      <c r="C119" s="3207">
        <v>5.0999999999999997E-2</v>
      </c>
      <c r="D119" s="3207">
        <v>5.1999999999999998E-2</v>
      </c>
      <c r="E119" s="3218"/>
      <c r="F119" s="3223"/>
      <c r="G119" s="3208">
        <v>0.06</v>
      </c>
    </row>
    <row r="120" spans="1:7">
      <c r="A120" s="3217" t="s">
        <v>1152</v>
      </c>
      <c r="B120" s="3206" t="s">
        <v>3043</v>
      </c>
      <c r="C120" s="3218"/>
      <c r="D120" s="3218"/>
      <c r="E120" s="3218"/>
      <c r="F120" s="3207">
        <v>0.1</v>
      </c>
      <c r="G120" s="3224"/>
    </row>
    <row r="121" spans="1:7">
      <c r="A121" s="3217" t="s">
        <v>1152</v>
      </c>
      <c r="B121" s="3206" t="s">
        <v>3044</v>
      </c>
      <c r="C121" s="3218"/>
      <c r="D121" s="3218"/>
      <c r="E121" s="3218"/>
      <c r="F121" s="3207">
        <v>0.1</v>
      </c>
      <c r="G121" s="3224"/>
    </row>
    <row r="122" spans="1:7">
      <c r="A122" s="3217" t="s">
        <v>1152</v>
      </c>
      <c r="B122" s="3206" t="s">
        <v>3045</v>
      </c>
      <c r="C122" s="3207">
        <v>0.1</v>
      </c>
      <c r="D122" s="3207">
        <v>0.1</v>
      </c>
      <c r="E122" s="3207">
        <v>9.8000000000000004E-2</v>
      </c>
      <c r="F122" s="3207">
        <v>0.1</v>
      </c>
      <c r="G122" s="3208">
        <v>0.1</v>
      </c>
    </row>
    <row r="123" spans="1:7">
      <c r="A123" s="3217" t="s">
        <v>1152</v>
      </c>
      <c r="B123" s="3206" t="s">
        <v>2848</v>
      </c>
      <c r="C123" s="3207">
        <v>0.1</v>
      </c>
      <c r="D123" s="3207">
        <v>0.1</v>
      </c>
      <c r="E123" s="3207">
        <v>9.8000000000000004E-2</v>
      </c>
      <c r="F123" s="3207">
        <v>0.1</v>
      </c>
      <c r="G123" s="3208">
        <v>0.1</v>
      </c>
    </row>
    <row r="124" spans="1:7">
      <c r="A124" s="3217" t="s">
        <v>1152</v>
      </c>
      <c r="B124" s="3206" t="s">
        <v>2849</v>
      </c>
      <c r="C124" s="3207">
        <v>0.1</v>
      </c>
      <c r="D124" s="3207">
        <v>0.1</v>
      </c>
      <c r="E124" s="3207">
        <v>9.8000000000000004E-2</v>
      </c>
      <c r="F124" s="3223"/>
      <c r="G124" s="3208">
        <v>0.1</v>
      </c>
    </row>
    <row r="125" spans="1:7">
      <c r="A125" s="3217" t="s">
        <v>1152</v>
      </c>
      <c r="B125" s="3206" t="s">
        <v>2850</v>
      </c>
      <c r="C125" s="3207">
        <v>9.8000000000000004E-2</v>
      </c>
      <c r="D125" s="3207">
        <v>9.8000000000000004E-2</v>
      </c>
      <c r="E125" s="3207">
        <v>9.6000000000000002E-2</v>
      </c>
      <c r="F125" s="3223"/>
      <c r="G125" s="3208">
        <v>0.1</v>
      </c>
    </row>
    <row r="126" spans="1:7" ht="14.25" thickBot="1">
      <c r="A126" s="3220" t="s">
        <v>1152</v>
      </c>
      <c r="B126" s="3210" t="s">
        <v>3046</v>
      </c>
      <c r="C126" s="3211">
        <v>0.1</v>
      </c>
      <c r="D126" s="3211">
        <v>0.1</v>
      </c>
      <c r="E126" s="3211">
        <v>9.8000000000000004E-2</v>
      </c>
      <c r="F126" s="3211">
        <v>0.1</v>
      </c>
      <c r="G126" s="3213">
        <v>0.1</v>
      </c>
    </row>
    <row r="127" spans="1:7">
      <c r="A127" s="3216" t="s">
        <v>1153</v>
      </c>
      <c r="B127" s="3202" t="s">
        <v>3047</v>
      </c>
      <c r="C127" s="3203">
        <v>0.121</v>
      </c>
      <c r="D127" s="3203">
        <v>0.121</v>
      </c>
      <c r="E127" s="3203">
        <v>0.107</v>
      </c>
      <c r="F127" s="3203">
        <v>0.13</v>
      </c>
      <c r="G127" s="3204">
        <v>0.122</v>
      </c>
    </row>
    <row r="128" spans="1:7">
      <c r="A128" s="3217" t="s">
        <v>1153</v>
      </c>
      <c r="B128" s="3206" t="s">
        <v>977</v>
      </c>
      <c r="C128" s="3207">
        <v>0.11600000000000001</v>
      </c>
      <c r="D128" s="3207">
        <v>0.11700000000000001</v>
      </c>
      <c r="E128" s="3207">
        <v>0.104</v>
      </c>
      <c r="F128" s="3207">
        <v>0.13</v>
      </c>
      <c r="G128" s="3208">
        <v>0.11700000000000001</v>
      </c>
    </row>
    <row r="129" spans="1:7">
      <c r="A129" s="3217" t="s">
        <v>1153</v>
      </c>
      <c r="B129" s="3206" t="s">
        <v>987</v>
      </c>
      <c r="C129" s="3207">
        <v>0.107</v>
      </c>
      <c r="D129" s="3207">
        <v>0.108</v>
      </c>
      <c r="E129" s="3207">
        <v>0.1</v>
      </c>
      <c r="F129" s="3207">
        <v>0.13</v>
      </c>
      <c r="G129" s="3208">
        <v>0.11700000000000001</v>
      </c>
    </row>
    <row r="130" spans="1:7">
      <c r="A130" s="3217" t="s">
        <v>1153</v>
      </c>
      <c r="B130" s="3206" t="s">
        <v>996</v>
      </c>
      <c r="C130" s="3207">
        <v>0.13</v>
      </c>
      <c r="D130" s="3207">
        <v>0.13</v>
      </c>
      <c r="E130" s="3207">
        <v>0.126</v>
      </c>
      <c r="F130" s="3207">
        <v>0.13</v>
      </c>
      <c r="G130" s="3208">
        <v>0.13</v>
      </c>
    </row>
    <row r="131" spans="1:7">
      <c r="A131" s="3217" t="s">
        <v>1153</v>
      </c>
      <c r="B131" s="3206" t="s">
        <v>1006</v>
      </c>
      <c r="C131" s="3207">
        <v>0.13</v>
      </c>
      <c r="D131" s="3207">
        <v>0.13</v>
      </c>
      <c r="E131" s="3207">
        <v>0.13</v>
      </c>
      <c r="F131" s="3207">
        <v>0.13</v>
      </c>
      <c r="G131" s="3208">
        <v>0.13</v>
      </c>
    </row>
    <row r="132" spans="1:7">
      <c r="A132" s="3217" t="s">
        <v>1153</v>
      </c>
      <c r="B132" s="3206" t="s">
        <v>1013</v>
      </c>
      <c r="C132" s="3207">
        <v>0.13</v>
      </c>
      <c r="D132" s="3207">
        <v>0.13</v>
      </c>
      <c r="E132" s="3207">
        <v>0.126</v>
      </c>
      <c r="F132" s="3207">
        <v>0.13</v>
      </c>
      <c r="G132" s="3208">
        <v>0.13</v>
      </c>
    </row>
    <row r="133" spans="1:7">
      <c r="A133" s="3217" t="s">
        <v>1153</v>
      </c>
      <c r="B133" s="3206" t="s">
        <v>1019</v>
      </c>
      <c r="C133" s="3207">
        <v>0.111</v>
      </c>
      <c r="D133" s="3207">
        <v>0.111</v>
      </c>
      <c r="E133" s="3207">
        <v>0.10199999999999999</v>
      </c>
      <c r="F133" s="3207">
        <v>0.13</v>
      </c>
      <c r="G133" s="3208">
        <v>0.121</v>
      </c>
    </row>
    <row r="134" spans="1:7">
      <c r="A134" s="3217" t="s">
        <v>1153</v>
      </c>
      <c r="B134" s="3206" t="s">
        <v>1026</v>
      </c>
      <c r="C134" s="3207">
        <v>0.121</v>
      </c>
      <c r="D134" s="3207">
        <v>0.121</v>
      </c>
      <c r="E134" s="3207">
        <v>0.1</v>
      </c>
      <c r="F134" s="3207">
        <v>0.13</v>
      </c>
      <c r="G134" s="3208">
        <v>0.123</v>
      </c>
    </row>
    <row r="135" spans="1:7">
      <c r="A135" s="3217" t="s">
        <v>1153</v>
      </c>
      <c r="B135" s="3206" t="s">
        <v>1036</v>
      </c>
      <c r="C135" s="3207">
        <v>0.105</v>
      </c>
      <c r="D135" s="3207">
        <v>0.106</v>
      </c>
      <c r="E135" s="3207">
        <v>0.1</v>
      </c>
      <c r="F135" s="3207">
        <v>0.13</v>
      </c>
      <c r="G135" s="3208">
        <v>0.115</v>
      </c>
    </row>
    <row r="136" spans="1:7">
      <c r="A136" s="3217" t="s">
        <v>1153</v>
      </c>
      <c r="B136" s="3206" t="s">
        <v>1045</v>
      </c>
      <c r="C136" s="3207">
        <v>0.127</v>
      </c>
      <c r="D136" s="3207">
        <v>0.127</v>
      </c>
      <c r="E136" s="3207">
        <v>0.121</v>
      </c>
      <c r="F136" s="3207">
        <v>0.123</v>
      </c>
      <c r="G136" s="3208">
        <v>0.129</v>
      </c>
    </row>
    <row r="137" spans="1:7">
      <c r="A137" s="3217" t="s">
        <v>1153</v>
      </c>
      <c r="B137" s="3206" t="s">
        <v>1052</v>
      </c>
      <c r="C137" s="3207">
        <v>0.13</v>
      </c>
      <c r="D137" s="3207">
        <v>0.13</v>
      </c>
      <c r="E137" s="3207">
        <v>0.129</v>
      </c>
      <c r="F137" s="3207">
        <v>0.13</v>
      </c>
      <c r="G137" s="3208">
        <v>0.13</v>
      </c>
    </row>
    <row r="138" spans="1:7">
      <c r="A138" s="3217" t="s">
        <v>1153</v>
      </c>
      <c r="B138" s="3206" t="s">
        <v>1059</v>
      </c>
      <c r="C138" s="3207">
        <v>0.13</v>
      </c>
      <c r="D138" s="3207">
        <v>0.13</v>
      </c>
      <c r="E138" s="3207">
        <v>0.125</v>
      </c>
      <c r="F138" s="3207">
        <v>0.13</v>
      </c>
      <c r="G138" s="3208">
        <v>0.13</v>
      </c>
    </row>
    <row r="139" spans="1:7">
      <c r="A139" s="3217" t="s">
        <v>1153</v>
      </c>
      <c r="B139" s="3206" t="s">
        <v>1066</v>
      </c>
      <c r="C139" s="3207">
        <v>0.13</v>
      </c>
      <c r="D139" s="3207">
        <v>0.13</v>
      </c>
      <c r="E139" s="3207">
        <v>0.126</v>
      </c>
      <c r="F139" s="3207">
        <v>0.13</v>
      </c>
      <c r="G139" s="3208">
        <v>0.13</v>
      </c>
    </row>
    <row r="140" spans="1:7">
      <c r="A140" s="3217" t="s">
        <v>1153</v>
      </c>
      <c r="B140" s="3206" t="s">
        <v>1074</v>
      </c>
      <c r="C140" s="3207">
        <v>0.1</v>
      </c>
      <c r="D140" s="3207">
        <v>0.1</v>
      </c>
      <c r="E140" s="3207">
        <v>0.1</v>
      </c>
      <c r="F140" s="3207">
        <v>0.123</v>
      </c>
      <c r="G140" s="3208">
        <v>0.107</v>
      </c>
    </row>
    <row r="141" spans="1:7">
      <c r="A141" s="3217" t="s">
        <v>1153</v>
      </c>
      <c r="B141" s="3206" t="s">
        <v>1082</v>
      </c>
      <c r="C141" s="3207">
        <v>0.127</v>
      </c>
      <c r="D141" s="3207">
        <v>0.127</v>
      </c>
      <c r="E141" s="3207">
        <v>0.122</v>
      </c>
      <c r="F141" s="3207">
        <v>0.1</v>
      </c>
      <c r="G141" s="3208">
        <v>0.129</v>
      </c>
    </row>
    <row r="142" spans="1:7">
      <c r="A142" s="3217" t="s">
        <v>1153</v>
      </c>
      <c r="B142" s="3206" t="s">
        <v>1087</v>
      </c>
      <c r="C142" s="3207">
        <v>0.121</v>
      </c>
      <c r="D142" s="3207">
        <v>0.122</v>
      </c>
      <c r="E142" s="3207">
        <v>0.1</v>
      </c>
      <c r="F142" s="3207">
        <v>0.123</v>
      </c>
      <c r="G142" s="3208">
        <v>0.123</v>
      </c>
    </row>
    <row r="143" spans="1:7">
      <c r="A143" s="3217" t="s">
        <v>1153</v>
      </c>
      <c r="B143" s="3206" t="s">
        <v>1096</v>
      </c>
      <c r="C143" s="3207">
        <v>0.1</v>
      </c>
      <c r="D143" s="3207">
        <v>0.1</v>
      </c>
      <c r="E143" s="3207">
        <v>0.1</v>
      </c>
      <c r="F143" s="3207">
        <v>0.13</v>
      </c>
      <c r="G143" s="3208">
        <v>0.1</v>
      </c>
    </row>
    <row r="144" spans="1:7">
      <c r="A144" s="3217" t="s">
        <v>1153</v>
      </c>
      <c r="B144" s="3206" t="s">
        <v>1103</v>
      </c>
      <c r="C144" s="3207">
        <v>0.106</v>
      </c>
      <c r="D144" s="3207">
        <v>0.105</v>
      </c>
      <c r="E144" s="3207">
        <v>0.1</v>
      </c>
      <c r="F144" s="3207">
        <v>0.13</v>
      </c>
      <c r="G144" s="3208">
        <v>0.11799999999999999</v>
      </c>
    </row>
    <row r="145" spans="1:7">
      <c r="A145" s="3217" t="s">
        <v>1153</v>
      </c>
      <c r="B145" s="3206" t="s">
        <v>1111</v>
      </c>
      <c r="C145" s="3207">
        <v>0.123</v>
      </c>
      <c r="D145" s="3207">
        <v>0.123</v>
      </c>
      <c r="E145" s="3207">
        <v>0.11700000000000001</v>
      </c>
      <c r="F145" s="3207">
        <v>0.13</v>
      </c>
      <c r="G145" s="3208">
        <v>0.126</v>
      </c>
    </row>
    <row r="146" spans="1:7">
      <c r="A146" s="3217" t="s">
        <v>1153</v>
      </c>
      <c r="B146" s="3206" t="s">
        <v>1118</v>
      </c>
      <c r="C146" s="3207">
        <v>0.127</v>
      </c>
      <c r="D146" s="3207">
        <v>0.127</v>
      </c>
      <c r="E146" s="3207">
        <v>0.12</v>
      </c>
      <c r="F146" s="3218"/>
      <c r="G146" s="3208">
        <v>0.129</v>
      </c>
    </row>
    <row r="147" spans="1:7">
      <c r="A147" s="3217" t="s">
        <v>1153</v>
      </c>
      <c r="B147" s="3206" t="s">
        <v>1122</v>
      </c>
      <c r="C147" s="3207">
        <v>0.13</v>
      </c>
      <c r="D147" s="3207">
        <v>0.13</v>
      </c>
      <c r="E147" s="3207">
        <v>0.126</v>
      </c>
      <c r="F147" s="3218"/>
      <c r="G147" s="3208">
        <v>0.13</v>
      </c>
    </row>
    <row r="148" spans="1:7">
      <c r="A148" s="3217" t="s">
        <v>1153</v>
      </c>
      <c r="B148" s="3206" t="s">
        <v>3048</v>
      </c>
      <c r="C148" s="3207">
        <v>0.13</v>
      </c>
      <c r="D148" s="3207">
        <v>0.13</v>
      </c>
      <c r="E148" s="3207">
        <v>0.13</v>
      </c>
      <c r="F148" s="3218"/>
      <c r="G148" s="3208">
        <v>0.13</v>
      </c>
    </row>
    <row r="149" spans="1:7">
      <c r="A149" s="3217" t="s">
        <v>1153</v>
      </c>
      <c r="B149" s="3206" t="s">
        <v>3049</v>
      </c>
      <c r="C149" s="3207">
        <v>0.13</v>
      </c>
      <c r="D149" s="3207">
        <v>0.13</v>
      </c>
      <c r="E149" s="3207">
        <v>0.13</v>
      </c>
      <c r="F149" s="3207">
        <v>0.13</v>
      </c>
      <c r="G149" s="3208">
        <v>0.13</v>
      </c>
    </row>
    <row r="150" spans="1:7">
      <c r="A150" s="3217" t="s">
        <v>1153</v>
      </c>
      <c r="B150" s="3206" t="s">
        <v>1141</v>
      </c>
      <c r="C150" s="3207">
        <v>0.13</v>
      </c>
      <c r="D150" s="3207">
        <v>0.13</v>
      </c>
      <c r="E150" s="3207">
        <v>0.127</v>
      </c>
      <c r="F150" s="3207">
        <v>0.13</v>
      </c>
      <c r="G150" s="3208">
        <v>0.13</v>
      </c>
    </row>
    <row r="151" spans="1:7">
      <c r="A151" s="3217" t="s">
        <v>1153</v>
      </c>
      <c r="B151" s="3206" t="s">
        <v>1143</v>
      </c>
      <c r="C151" s="3207">
        <v>0.13</v>
      </c>
      <c r="D151" s="3207">
        <v>0.13</v>
      </c>
      <c r="E151" s="3207">
        <v>0.13</v>
      </c>
      <c r="F151" s="3207">
        <v>0.13</v>
      </c>
      <c r="G151" s="3208">
        <v>0.13</v>
      </c>
    </row>
    <row r="152" spans="1:7">
      <c r="A152" s="3217" t="s">
        <v>1153</v>
      </c>
      <c r="B152" s="3206" t="s">
        <v>1146</v>
      </c>
      <c r="C152" s="3207">
        <v>0.13</v>
      </c>
      <c r="D152" s="3207">
        <v>0.13</v>
      </c>
      <c r="E152" s="3207">
        <v>0.13</v>
      </c>
      <c r="F152" s="3207">
        <v>0.13</v>
      </c>
      <c r="G152" s="3208">
        <v>0.13</v>
      </c>
    </row>
    <row r="153" spans="1:7">
      <c r="A153" s="3217" t="s">
        <v>1153</v>
      </c>
      <c r="B153" s="3206" t="s">
        <v>2855</v>
      </c>
      <c r="C153" s="3207">
        <v>0.13</v>
      </c>
      <c r="D153" s="3207">
        <v>0.13</v>
      </c>
      <c r="E153" s="3207">
        <v>0.13</v>
      </c>
      <c r="F153" s="3207">
        <v>0.13</v>
      </c>
      <c r="G153" s="3208">
        <v>0.13</v>
      </c>
    </row>
    <row r="154" spans="1:7">
      <c r="A154" s="3217" t="s">
        <v>1153</v>
      </c>
      <c r="B154" s="3206" t="s">
        <v>3050</v>
      </c>
      <c r="C154" s="3207">
        <v>0.121</v>
      </c>
      <c r="D154" s="3207">
        <v>0.121</v>
      </c>
      <c r="E154" s="3207">
        <v>0.105</v>
      </c>
      <c r="F154" s="3207">
        <v>0.121</v>
      </c>
      <c r="G154" s="3208">
        <v>0.123</v>
      </c>
    </row>
    <row r="155" spans="1:7">
      <c r="A155" s="3217" t="s">
        <v>1153</v>
      </c>
      <c r="B155" s="3206" t="s">
        <v>2857</v>
      </c>
      <c r="C155" s="3207">
        <v>0.1</v>
      </c>
      <c r="D155" s="3207">
        <v>0.1</v>
      </c>
      <c r="E155" s="3207">
        <v>0.1</v>
      </c>
      <c r="F155" s="3207">
        <v>0.1</v>
      </c>
      <c r="G155" s="3208">
        <v>0.1</v>
      </c>
    </row>
    <row r="156" spans="1:7">
      <c r="A156" s="3217" t="s">
        <v>1153</v>
      </c>
      <c r="B156" s="3206" t="s">
        <v>3051</v>
      </c>
      <c r="C156" s="3207">
        <v>0.13</v>
      </c>
      <c r="D156" s="3207">
        <v>0.13</v>
      </c>
      <c r="E156" s="3207">
        <v>0.13</v>
      </c>
      <c r="F156" s="3207">
        <v>0.13</v>
      </c>
      <c r="G156" s="3208">
        <v>0.13</v>
      </c>
    </row>
    <row r="157" spans="1:7">
      <c r="A157" s="3217" t="s">
        <v>1153</v>
      </c>
      <c r="B157" s="3206" t="s">
        <v>1149</v>
      </c>
      <c r="C157" s="3207">
        <v>0.13</v>
      </c>
      <c r="D157" s="3207">
        <v>0.13</v>
      </c>
      <c r="E157" s="3207">
        <v>0.125</v>
      </c>
      <c r="F157" s="3207">
        <v>0.13</v>
      </c>
      <c r="G157" s="3208">
        <v>0.13</v>
      </c>
    </row>
    <row r="158" spans="1:7">
      <c r="A158" s="3217" t="s">
        <v>1153</v>
      </c>
      <c r="B158" s="3206" t="s">
        <v>1150</v>
      </c>
      <c r="C158" s="3207">
        <v>0.124</v>
      </c>
      <c r="D158" s="3207">
        <v>0.124</v>
      </c>
      <c r="E158" s="3207">
        <v>0.11700000000000001</v>
      </c>
      <c r="F158" s="3207">
        <v>0.121</v>
      </c>
      <c r="G158" s="3208">
        <v>0.124</v>
      </c>
    </row>
    <row r="159" spans="1:7">
      <c r="A159" s="3217" t="s">
        <v>1153</v>
      </c>
      <c r="B159" s="3206" t="s">
        <v>1151</v>
      </c>
      <c r="C159" s="3207">
        <v>0.127</v>
      </c>
      <c r="D159" s="3207">
        <v>0.127</v>
      </c>
      <c r="E159" s="3207">
        <v>0.122</v>
      </c>
      <c r="F159" s="3207">
        <v>0.13</v>
      </c>
      <c r="G159" s="3208">
        <v>0.129</v>
      </c>
    </row>
    <row r="160" spans="1:7">
      <c r="A160" s="3217" t="s">
        <v>1153</v>
      </c>
      <c r="B160" s="3206" t="s">
        <v>3052</v>
      </c>
      <c r="C160" s="3207">
        <v>0.13</v>
      </c>
      <c r="D160" s="3207">
        <v>0.13</v>
      </c>
      <c r="E160" s="3207">
        <v>0.124</v>
      </c>
      <c r="F160" s="3207">
        <v>0.126</v>
      </c>
      <c r="G160" s="3208">
        <v>0.13</v>
      </c>
    </row>
    <row r="161" spans="1:7">
      <c r="A161" s="3217" t="s">
        <v>1153</v>
      </c>
      <c r="B161" s="3206" t="s">
        <v>2860</v>
      </c>
      <c r="C161" s="3207">
        <v>0.13</v>
      </c>
      <c r="D161" s="3207">
        <v>0.13</v>
      </c>
      <c r="E161" s="3207">
        <v>0.124</v>
      </c>
      <c r="F161" s="3207">
        <v>0.127</v>
      </c>
      <c r="G161" s="3208">
        <v>0.13</v>
      </c>
    </row>
    <row r="162" spans="1:7">
      <c r="A162" s="3217" t="s">
        <v>1153</v>
      </c>
      <c r="B162" s="3206" t="s">
        <v>2861</v>
      </c>
      <c r="C162" s="3207">
        <v>0.1</v>
      </c>
      <c r="D162" s="3207">
        <v>0.1</v>
      </c>
      <c r="E162" s="3207">
        <v>0.1</v>
      </c>
      <c r="F162" s="3207">
        <v>0.121</v>
      </c>
      <c r="G162" s="3208">
        <v>0.105</v>
      </c>
    </row>
    <row r="163" spans="1:7">
      <c r="A163" s="3217" t="s">
        <v>1153</v>
      </c>
      <c r="B163" s="3206" t="s">
        <v>2862</v>
      </c>
      <c r="C163" s="3207">
        <v>0.1</v>
      </c>
      <c r="D163" s="3207">
        <v>0.1</v>
      </c>
      <c r="E163" s="3207">
        <v>0.1</v>
      </c>
      <c r="F163" s="3207">
        <v>0.1</v>
      </c>
      <c r="G163" s="3208">
        <v>0.1</v>
      </c>
    </row>
    <row r="164" spans="1:7">
      <c r="A164" s="3217" t="s">
        <v>1153</v>
      </c>
      <c r="B164" s="3206" t="s">
        <v>2863</v>
      </c>
      <c r="C164" s="3223"/>
      <c r="D164" s="3223"/>
      <c r="E164" s="3223"/>
      <c r="F164" s="3207">
        <v>0.1</v>
      </c>
      <c r="G164" s="3219"/>
    </row>
    <row r="165" spans="1:7">
      <c r="A165" s="3217" t="s">
        <v>1153</v>
      </c>
      <c r="B165" s="3206" t="s">
        <v>3053</v>
      </c>
      <c r="C165" s="3207">
        <v>0.126</v>
      </c>
      <c r="D165" s="3207">
        <v>0.126</v>
      </c>
      <c r="E165" s="3207">
        <v>0.11899999999999999</v>
      </c>
      <c r="F165" s="3207">
        <v>0.13</v>
      </c>
      <c r="G165" s="3208">
        <v>0.128</v>
      </c>
    </row>
    <row r="166" spans="1:7">
      <c r="A166" s="3217" t="s">
        <v>1153</v>
      </c>
      <c r="B166" s="3206" t="s">
        <v>2865</v>
      </c>
      <c r="C166" s="3207">
        <v>0.129</v>
      </c>
      <c r="D166" s="3207">
        <v>0.129</v>
      </c>
      <c r="E166" s="3207">
        <v>0.123</v>
      </c>
      <c r="F166" s="3207">
        <v>0.128</v>
      </c>
      <c r="G166" s="3208">
        <v>0.13</v>
      </c>
    </row>
    <row r="167" spans="1:7">
      <c r="A167" s="3217" t="s">
        <v>1153</v>
      </c>
      <c r="B167" s="3206" t="s">
        <v>2866</v>
      </c>
      <c r="C167" s="3207">
        <v>0.125</v>
      </c>
      <c r="D167" s="3207">
        <v>0.125</v>
      </c>
      <c r="E167" s="3207">
        <v>0.11700000000000001</v>
      </c>
      <c r="F167" s="3207">
        <v>0.13</v>
      </c>
      <c r="G167" s="3208">
        <v>0.126</v>
      </c>
    </row>
    <row r="168" spans="1:7">
      <c r="A168" s="3217" t="s">
        <v>1153</v>
      </c>
      <c r="B168" s="3206" t="s">
        <v>2867</v>
      </c>
      <c r="C168" s="3207">
        <v>0.128</v>
      </c>
      <c r="D168" s="3207">
        <v>0.128</v>
      </c>
      <c r="E168" s="3207">
        <v>0.123</v>
      </c>
      <c r="F168" s="3218"/>
      <c r="G168" s="3208">
        <v>0.13</v>
      </c>
    </row>
    <row r="169" spans="1:7">
      <c r="A169" s="3217" t="s">
        <v>1153</v>
      </c>
      <c r="B169" s="3206" t="s">
        <v>3054</v>
      </c>
      <c r="C169" s="3223"/>
      <c r="D169" s="3223"/>
      <c r="E169" s="3223"/>
      <c r="F169" s="3207">
        <v>0.05</v>
      </c>
      <c r="G169" s="3219"/>
    </row>
    <row r="170" spans="1:7">
      <c r="A170" s="3217" t="s">
        <v>1153</v>
      </c>
      <c r="B170" s="3206" t="s">
        <v>3055</v>
      </c>
      <c r="C170" s="3223"/>
      <c r="D170" s="3223"/>
      <c r="E170" s="3223"/>
      <c r="F170" s="3207">
        <v>0.05</v>
      </c>
      <c r="G170" s="3219"/>
    </row>
    <row r="171" spans="1:7">
      <c r="A171" s="3217" t="s">
        <v>1153</v>
      </c>
      <c r="B171" s="3206" t="s">
        <v>3056</v>
      </c>
      <c r="C171" s="3223"/>
      <c r="D171" s="3223"/>
      <c r="E171" s="3223"/>
      <c r="F171" s="3207">
        <v>0.05</v>
      </c>
      <c r="G171" s="3224"/>
    </row>
    <row r="172" spans="1:7">
      <c r="A172" s="3217" t="s">
        <v>1153</v>
      </c>
      <c r="B172" s="3206" t="s">
        <v>3057</v>
      </c>
      <c r="C172" s="3223"/>
      <c r="D172" s="3223"/>
      <c r="E172" s="3223"/>
      <c r="F172" s="3207">
        <v>0.05</v>
      </c>
      <c r="G172" s="3224"/>
    </row>
    <row r="173" spans="1:7">
      <c r="A173" s="3217" t="s">
        <v>1153</v>
      </c>
      <c r="B173" s="3206" t="s">
        <v>3058</v>
      </c>
      <c r="C173" s="3223"/>
      <c r="D173" s="3223"/>
      <c r="E173" s="3223"/>
      <c r="F173" s="3207">
        <v>0.05</v>
      </c>
      <c r="G173" s="3219"/>
    </row>
    <row r="174" spans="1:7">
      <c r="A174" s="3217" t="s">
        <v>1153</v>
      </c>
      <c r="B174" s="3206" t="s">
        <v>3059</v>
      </c>
      <c r="C174" s="3223"/>
      <c r="D174" s="3223"/>
      <c r="E174" s="3223"/>
      <c r="F174" s="3207">
        <v>0.05</v>
      </c>
      <c r="G174" s="3219"/>
    </row>
    <row r="175" spans="1:7">
      <c r="A175" s="3217" t="s">
        <v>1153</v>
      </c>
      <c r="B175" s="3206" t="s">
        <v>3060</v>
      </c>
      <c r="C175" s="3223"/>
      <c r="D175" s="3223"/>
      <c r="E175" s="3223"/>
      <c r="F175" s="3207">
        <v>0.05</v>
      </c>
      <c r="G175" s="3219"/>
    </row>
    <row r="176" spans="1:7">
      <c r="A176" s="3217" t="s">
        <v>1153</v>
      </c>
      <c r="B176" s="3206" t="s">
        <v>3061</v>
      </c>
      <c r="C176" s="3223"/>
      <c r="D176" s="3223"/>
      <c r="E176" s="3223"/>
      <c r="F176" s="3207">
        <v>0.05</v>
      </c>
      <c r="G176" s="3219"/>
    </row>
    <row r="177" spans="1:7">
      <c r="A177" s="3217" t="s">
        <v>1153</v>
      </c>
      <c r="B177" s="3206" t="s">
        <v>3062</v>
      </c>
      <c r="C177" s="3218"/>
      <c r="D177" s="3218"/>
      <c r="E177" s="3218"/>
      <c r="F177" s="3207">
        <v>0.05</v>
      </c>
      <c r="G177" s="3224"/>
    </row>
    <row r="178" spans="1:7">
      <c r="A178" s="3217" t="s">
        <v>1153</v>
      </c>
      <c r="B178" s="3206" t="s">
        <v>3063</v>
      </c>
      <c r="C178" s="3218"/>
      <c r="D178" s="3218"/>
      <c r="E178" s="3218"/>
      <c r="F178" s="3207">
        <v>0.05</v>
      </c>
      <c r="G178" s="3224"/>
    </row>
    <row r="179" spans="1:7">
      <c r="A179" s="3217" t="s">
        <v>1153</v>
      </c>
      <c r="B179" s="3206" t="s">
        <v>3064</v>
      </c>
      <c r="C179" s="3218"/>
      <c r="D179" s="3218"/>
      <c r="E179" s="3218"/>
      <c r="F179" s="3207">
        <v>0.05</v>
      </c>
      <c r="G179" s="3224"/>
    </row>
    <row r="180" spans="1:7">
      <c r="A180" s="3217" t="s">
        <v>1153</v>
      </c>
      <c r="B180" s="3206" t="s">
        <v>3065</v>
      </c>
      <c r="C180" s="3218"/>
      <c r="D180" s="3218"/>
      <c r="E180" s="3218"/>
      <c r="F180" s="3207">
        <v>0.05</v>
      </c>
      <c r="G180" s="3224"/>
    </row>
    <row r="181" spans="1:7">
      <c r="A181" s="3217" t="s">
        <v>1153</v>
      </c>
      <c r="B181" s="3206" t="s">
        <v>3066</v>
      </c>
      <c r="C181" s="3218"/>
      <c r="D181" s="3218"/>
      <c r="E181" s="3218"/>
      <c r="F181" s="3207">
        <v>0.05</v>
      </c>
      <c r="G181" s="3224"/>
    </row>
    <row r="182" spans="1:7">
      <c r="A182" s="3217" t="s">
        <v>1153</v>
      </c>
      <c r="B182" s="3206" t="s">
        <v>3067</v>
      </c>
      <c r="C182" s="3218"/>
      <c r="D182" s="3218"/>
      <c r="E182" s="3218"/>
      <c r="F182" s="3207">
        <v>0.05</v>
      </c>
      <c r="G182" s="3224"/>
    </row>
    <row r="183" spans="1:7">
      <c r="A183" s="3217" t="s">
        <v>1153</v>
      </c>
      <c r="B183" s="3206" t="s">
        <v>3068</v>
      </c>
      <c r="C183" s="3218"/>
      <c r="D183" s="3218"/>
      <c r="E183" s="3218"/>
      <c r="F183" s="3207">
        <v>0.05</v>
      </c>
      <c r="G183" s="3224"/>
    </row>
    <row r="184" spans="1:7">
      <c r="A184" s="3217" t="s">
        <v>1153</v>
      </c>
      <c r="B184" s="3206" t="s">
        <v>3069</v>
      </c>
      <c r="C184" s="3218"/>
      <c r="D184" s="3218"/>
      <c r="E184" s="3218"/>
      <c r="F184" s="3207">
        <v>0.05</v>
      </c>
      <c r="G184" s="3224"/>
    </row>
    <row r="185" spans="1:7">
      <c r="A185" s="3217" t="s">
        <v>1153</v>
      </c>
      <c r="B185" s="3206" t="s">
        <v>3070</v>
      </c>
      <c r="C185" s="3218"/>
      <c r="D185" s="3218"/>
      <c r="E185" s="3218"/>
      <c r="F185" s="3207">
        <v>0.05</v>
      </c>
      <c r="G185" s="3224"/>
    </row>
    <row r="186" spans="1:7">
      <c r="A186" s="3217" t="s">
        <v>1153</v>
      </c>
      <c r="B186" s="3206" t="s">
        <v>3071</v>
      </c>
      <c r="C186" s="3218"/>
      <c r="D186" s="3218"/>
      <c r="E186" s="3218"/>
      <c r="F186" s="3207">
        <v>0.05</v>
      </c>
      <c r="G186" s="3224"/>
    </row>
    <row r="187" spans="1:7">
      <c r="A187" s="3217" t="s">
        <v>1153</v>
      </c>
      <c r="B187" s="3206" t="s">
        <v>3072</v>
      </c>
      <c r="C187" s="3218"/>
      <c r="D187" s="3218"/>
      <c r="E187" s="3218"/>
      <c r="F187" s="3207">
        <v>0.05</v>
      </c>
      <c r="G187" s="3224"/>
    </row>
    <row r="188" spans="1:7">
      <c r="A188" s="3217" t="s">
        <v>1153</v>
      </c>
      <c r="B188" s="3206" t="s">
        <v>3073</v>
      </c>
      <c r="C188" s="3218"/>
      <c r="D188" s="3218"/>
      <c r="E188" s="3218"/>
      <c r="F188" s="3207">
        <v>0.05</v>
      </c>
      <c r="G188" s="3224"/>
    </row>
    <row r="189" spans="1:7" ht="14.25" thickBot="1">
      <c r="A189" s="3220" t="s">
        <v>1153</v>
      </c>
      <c r="B189" s="3210" t="s">
        <v>3074</v>
      </c>
      <c r="C189" s="3212"/>
      <c r="D189" s="3212"/>
      <c r="E189" s="3212"/>
      <c r="F189" s="3211">
        <v>0.05</v>
      </c>
      <c r="G189" s="3225"/>
    </row>
    <row r="190" spans="1:7">
      <c r="A190" s="3216" t="s">
        <v>1154</v>
      </c>
      <c r="B190" s="3202" t="s">
        <v>3075</v>
      </c>
      <c r="C190" s="3203">
        <v>0.124</v>
      </c>
      <c r="D190" s="3203">
        <v>0.124</v>
      </c>
      <c r="E190" s="3203">
        <v>0.129</v>
      </c>
      <c r="F190" s="3203">
        <v>0.13</v>
      </c>
      <c r="G190" s="3204">
        <v>0.127</v>
      </c>
    </row>
    <row r="191" spans="1:7">
      <c r="A191" s="3217" t="s">
        <v>1154</v>
      </c>
      <c r="B191" s="3206" t="s">
        <v>978</v>
      </c>
      <c r="C191" s="3207">
        <v>0.13</v>
      </c>
      <c r="D191" s="3207">
        <v>0.13</v>
      </c>
      <c r="E191" s="3207">
        <v>0.13</v>
      </c>
      <c r="F191" s="3207">
        <v>0.13</v>
      </c>
      <c r="G191" s="3208">
        <v>0.13</v>
      </c>
    </row>
    <row r="192" spans="1:7">
      <c r="A192" s="3217" t="s">
        <v>1154</v>
      </c>
      <c r="B192" s="3206" t="s">
        <v>988</v>
      </c>
      <c r="C192" s="3207">
        <v>0.13</v>
      </c>
      <c r="D192" s="3207">
        <v>0.13</v>
      </c>
      <c r="E192" s="3207">
        <v>0.13</v>
      </c>
      <c r="F192" s="3207">
        <v>0.13</v>
      </c>
      <c r="G192" s="3208">
        <v>0.13</v>
      </c>
    </row>
    <row r="193" spans="1:7">
      <c r="A193" s="3217" t="s">
        <v>1154</v>
      </c>
      <c r="B193" s="3206" t="s">
        <v>997</v>
      </c>
      <c r="C193" s="3207">
        <v>0.13</v>
      </c>
      <c r="D193" s="3207">
        <v>0.13</v>
      </c>
      <c r="E193" s="3207">
        <v>0.13</v>
      </c>
      <c r="F193" s="3207">
        <v>0.13</v>
      </c>
      <c r="G193" s="3208">
        <v>0.13</v>
      </c>
    </row>
    <row r="194" spans="1:7">
      <c r="A194" s="3217" t="s">
        <v>1154</v>
      </c>
      <c r="B194" s="3206" t="s">
        <v>1007</v>
      </c>
      <c r="C194" s="3207">
        <v>0.123</v>
      </c>
      <c r="D194" s="3207">
        <v>0.123</v>
      </c>
      <c r="E194" s="3207">
        <v>0.128</v>
      </c>
      <c r="F194" s="3207">
        <v>0.13</v>
      </c>
      <c r="G194" s="3208">
        <v>0.126</v>
      </c>
    </row>
    <row r="195" spans="1:7">
      <c r="A195" s="3217" t="s">
        <v>1154</v>
      </c>
      <c r="B195" s="3206" t="s">
        <v>1014</v>
      </c>
      <c r="C195" s="3207">
        <v>0.127</v>
      </c>
      <c r="D195" s="3207">
        <v>0.127</v>
      </c>
      <c r="E195" s="3207">
        <v>0.121</v>
      </c>
      <c r="F195" s="3207">
        <v>0.129</v>
      </c>
      <c r="G195" s="3208">
        <v>0.129</v>
      </c>
    </row>
    <row r="196" spans="1:7">
      <c r="A196" s="3217" t="s">
        <v>1154</v>
      </c>
      <c r="B196" s="3206" t="s">
        <v>1020</v>
      </c>
      <c r="C196" s="3207">
        <v>0.127</v>
      </c>
      <c r="D196" s="3207">
        <v>0.128</v>
      </c>
      <c r="E196" s="3207">
        <v>0.122</v>
      </c>
      <c r="F196" s="3207">
        <v>0.13</v>
      </c>
      <c r="G196" s="3208">
        <v>0.129</v>
      </c>
    </row>
    <row r="197" spans="1:7">
      <c r="A197" s="3217" t="s">
        <v>1154</v>
      </c>
      <c r="B197" s="3206" t="s">
        <v>1027</v>
      </c>
      <c r="C197" s="3207">
        <v>0.126</v>
      </c>
      <c r="D197" s="3207">
        <v>0.126</v>
      </c>
      <c r="E197" s="3207">
        <v>0.11899999999999999</v>
      </c>
      <c r="F197" s="3207">
        <v>0.13</v>
      </c>
      <c r="G197" s="3208">
        <v>0.128</v>
      </c>
    </row>
    <row r="198" spans="1:7">
      <c r="A198" s="3217" t="s">
        <v>1154</v>
      </c>
      <c r="B198" s="3206" t="s">
        <v>1037</v>
      </c>
      <c r="C198" s="3207">
        <v>0.13</v>
      </c>
      <c r="D198" s="3207">
        <v>0.13</v>
      </c>
      <c r="E198" s="3207">
        <v>0.126</v>
      </c>
      <c r="F198" s="3223"/>
      <c r="G198" s="3208">
        <v>0.13</v>
      </c>
    </row>
    <row r="199" spans="1:7">
      <c r="A199" s="3217" t="s">
        <v>1154</v>
      </c>
      <c r="B199" s="3206" t="s">
        <v>3076</v>
      </c>
      <c r="C199" s="3207">
        <v>0.13</v>
      </c>
      <c r="D199" s="3207">
        <v>0.13</v>
      </c>
      <c r="E199" s="3207">
        <v>0.13</v>
      </c>
      <c r="F199" s="3207">
        <v>0.13</v>
      </c>
      <c r="G199" s="3208">
        <v>0.13</v>
      </c>
    </row>
    <row r="200" spans="1:7">
      <c r="A200" s="3217" t="s">
        <v>1154</v>
      </c>
      <c r="B200" s="3206" t="s">
        <v>2891</v>
      </c>
      <c r="C200" s="3223"/>
      <c r="D200" s="3223"/>
      <c r="E200" s="3223"/>
      <c r="F200" s="3207">
        <v>0.13</v>
      </c>
      <c r="G200" s="3219"/>
    </row>
    <row r="201" spans="1:7">
      <c r="A201" s="3217" t="s">
        <v>1154</v>
      </c>
      <c r="B201" s="3206" t="s">
        <v>3077</v>
      </c>
      <c r="C201" s="3207">
        <v>0.13</v>
      </c>
      <c r="D201" s="3207">
        <v>0.13</v>
      </c>
      <c r="E201" s="3207">
        <v>0.13</v>
      </c>
      <c r="F201" s="3207">
        <v>0.129</v>
      </c>
      <c r="G201" s="3208">
        <v>0.13</v>
      </c>
    </row>
    <row r="202" spans="1:7">
      <c r="A202" s="3217" t="s">
        <v>1154</v>
      </c>
      <c r="B202" s="3206" t="s">
        <v>1088</v>
      </c>
      <c r="C202" s="3207">
        <v>0.13</v>
      </c>
      <c r="D202" s="3207">
        <v>0.13</v>
      </c>
      <c r="E202" s="3207">
        <v>0.13</v>
      </c>
      <c r="F202" s="3207">
        <v>0.13</v>
      </c>
      <c r="G202" s="3208">
        <v>0.13</v>
      </c>
    </row>
    <row r="203" spans="1:7">
      <c r="A203" s="3217" t="s">
        <v>1154</v>
      </c>
      <c r="B203" s="3206" t="s">
        <v>3078</v>
      </c>
      <c r="C203" s="3207">
        <v>0.129</v>
      </c>
      <c r="D203" s="3207">
        <v>0.129</v>
      </c>
      <c r="E203" s="3207">
        <v>0.13</v>
      </c>
      <c r="F203" s="3207">
        <v>0.13</v>
      </c>
      <c r="G203" s="3208">
        <v>0.13</v>
      </c>
    </row>
    <row r="204" spans="1:7">
      <c r="A204" s="3217" t="s">
        <v>1154</v>
      </c>
      <c r="B204" s="3206" t="s">
        <v>2894</v>
      </c>
      <c r="C204" s="3207">
        <v>0.129</v>
      </c>
      <c r="D204" s="3207">
        <v>0.129</v>
      </c>
      <c r="E204" s="3207">
        <v>0.123</v>
      </c>
      <c r="F204" s="3207">
        <v>0.13</v>
      </c>
      <c r="G204" s="3208">
        <v>0.13</v>
      </c>
    </row>
    <row r="205" spans="1:7">
      <c r="A205" s="3217" t="s">
        <v>1154</v>
      </c>
      <c r="B205" s="3206" t="s">
        <v>2895</v>
      </c>
      <c r="C205" s="3207">
        <v>0.13</v>
      </c>
      <c r="D205" s="3207">
        <v>0.13</v>
      </c>
      <c r="E205" s="3207">
        <v>0.13</v>
      </c>
      <c r="F205" s="3207">
        <v>0.13</v>
      </c>
      <c r="G205" s="3208">
        <v>0.13</v>
      </c>
    </row>
    <row r="206" spans="1:7">
      <c r="A206" s="3217" t="s">
        <v>1154</v>
      </c>
      <c r="B206" s="3206" t="s">
        <v>2896</v>
      </c>
      <c r="C206" s="3207">
        <v>0.13</v>
      </c>
      <c r="D206" s="3207">
        <v>0.13</v>
      </c>
      <c r="E206" s="3207">
        <v>0.13</v>
      </c>
      <c r="F206" s="3207">
        <v>0.128</v>
      </c>
      <c r="G206" s="3208">
        <v>0.13</v>
      </c>
    </row>
    <row r="207" spans="1:7">
      <c r="A207" s="3217" t="s">
        <v>1154</v>
      </c>
      <c r="B207" s="3206" t="s">
        <v>2897</v>
      </c>
      <c r="C207" s="3207">
        <v>0.13</v>
      </c>
      <c r="D207" s="3207">
        <v>0.13</v>
      </c>
      <c r="E207" s="3207">
        <v>0.13</v>
      </c>
      <c r="F207" s="3207">
        <v>0.13</v>
      </c>
      <c r="G207" s="3208">
        <v>0.13</v>
      </c>
    </row>
    <row r="208" spans="1:7">
      <c r="A208" s="3217" t="s">
        <v>1154</v>
      </c>
      <c r="B208" s="3206" t="s">
        <v>3079</v>
      </c>
      <c r="C208" s="3207">
        <v>0.13</v>
      </c>
      <c r="D208" s="3207">
        <v>0.13</v>
      </c>
      <c r="E208" s="3207">
        <v>0.13</v>
      </c>
      <c r="F208" s="3207">
        <v>0.13</v>
      </c>
      <c r="G208" s="3208">
        <v>0.13</v>
      </c>
    </row>
    <row r="209" spans="1:7">
      <c r="A209" s="3217" t="s">
        <v>1154</v>
      </c>
      <c r="B209" s="3206" t="s">
        <v>1112</v>
      </c>
      <c r="C209" s="3207">
        <v>0.13</v>
      </c>
      <c r="D209" s="3207">
        <v>0.13</v>
      </c>
      <c r="E209" s="3207">
        <v>0.13</v>
      </c>
      <c r="F209" s="3207">
        <v>0.13</v>
      </c>
      <c r="G209" s="3208">
        <v>0.13</v>
      </c>
    </row>
    <row r="210" spans="1:7">
      <c r="A210" s="3217" t="s">
        <v>1154</v>
      </c>
      <c r="B210" s="3206" t="s">
        <v>2899</v>
      </c>
      <c r="C210" s="3207">
        <v>0.121</v>
      </c>
      <c r="D210" s="3207">
        <v>0.121</v>
      </c>
      <c r="E210" s="3207">
        <v>0.125</v>
      </c>
      <c r="F210" s="3207">
        <v>0.13</v>
      </c>
      <c r="G210" s="3208">
        <v>0.123</v>
      </c>
    </row>
    <row r="211" spans="1:7">
      <c r="A211" s="3217" t="s">
        <v>1154</v>
      </c>
      <c r="B211" s="3206" t="s">
        <v>3080</v>
      </c>
      <c r="C211" s="3207">
        <v>0.123</v>
      </c>
      <c r="D211" s="3207">
        <v>0.123</v>
      </c>
      <c r="E211" s="3207">
        <v>0.127</v>
      </c>
      <c r="F211" s="3207">
        <v>0.115</v>
      </c>
      <c r="G211" s="3208">
        <v>0.126</v>
      </c>
    </row>
    <row r="212" spans="1:7">
      <c r="A212" s="3217" t="s">
        <v>1154</v>
      </c>
      <c r="B212" s="3206" t="s">
        <v>1134</v>
      </c>
      <c r="C212" s="3207">
        <v>0.126</v>
      </c>
      <c r="D212" s="3207">
        <v>0.126</v>
      </c>
      <c r="E212" s="3207">
        <v>0.13</v>
      </c>
      <c r="F212" s="3207">
        <v>0.13</v>
      </c>
      <c r="G212" s="3208">
        <v>0.129</v>
      </c>
    </row>
    <row r="213" spans="1:7">
      <c r="A213" s="3217" t="s">
        <v>1154</v>
      </c>
      <c r="B213" s="3206" t="s">
        <v>1137</v>
      </c>
      <c r="C213" s="3207">
        <v>0.129</v>
      </c>
      <c r="D213" s="3207">
        <v>0.13</v>
      </c>
      <c r="E213" s="3207">
        <v>0.127</v>
      </c>
      <c r="F213" s="3207">
        <v>0.13</v>
      </c>
      <c r="G213" s="3208">
        <v>0.13</v>
      </c>
    </row>
    <row r="214" spans="1:7">
      <c r="A214" s="3217" t="s">
        <v>1154</v>
      </c>
      <c r="B214" s="3206" t="s">
        <v>3081</v>
      </c>
      <c r="C214" s="3207">
        <v>0.128</v>
      </c>
      <c r="D214" s="3207">
        <v>0.128</v>
      </c>
      <c r="E214" s="3207">
        <v>0.13</v>
      </c>
      <c r="F214" s="3207">
        <v>0.13</v>
      </c>
      <c r="G214" s="3208">
        <v>0.13</v>
      </c>
    </row>
    <row r="215" spans="1:7">
      <c r="A215" s="3217" t="s">
        <v>1154</v>
      </c>
      <c r="B215" s="3206" t="s">
        <v>3082</v>
      </c>
      <c r="C215" s="3207">
        <v>0.13</v>
      </c>
      <c r="D215" s="3207">
        <v>0.13</v>
      </c>
      <c r="E215" s="3207">
        <v>0.13</v>
      </c>
      <c r="F215" s="3207">
        <v>0.129</v>
      </c>
      <c r="G215" s="3208">
        <v>0.13</v>
      </c>
    </row>
    <row r="216" spans="1:7">
      <c r="A216" s="3217" t="s">
        <v>1154</v>
      </c>
      <c r="B216" s="3206" t="s">
        <v>3083</v>
      </c>
      <c r="C216" s="3207">
        <v>0.13</v>
      </c>
      <c r="D216" s="3207">
        <v>0.13</v>
      </c>
      <c r="E216" s="3207">
        <v>0.13</v>
      </c>
      <c r="F216" s="3207">
        <v>0.13</v>
      </c>
      <c r="G216" s="3208">
        <v>0.13</v>
      </c>
    </row>
    <row r="217" spans="1:7">
      <c r="A217" s="3217" t="s">
        <v>1154</v>
      </c>
      <c r="B217" s="3206" t="s">
        <v>2903</v>
      </c>
      <c r="C217" s="3207">
        <v>0.129</v>
      </c>
      <c r="D217" s="3207">
        <v>0.129</v>
      </c>
      <c r="E217" s="3207">
        <v>0.13</v>
      </c>
      <c r="F217" s="3207">
        <v>0.13</v>
      </c>
      <c r="G217" s="3208">
        <v>0.13</v>
      </c>
    </row>
    <row r="218" spans="1:7">
      <c r="A218" s="3217" t="s">
        <v>1154</v>
      </c>
      <c r="B218" s="3206" t="s">
        <v>3084</v>
      </c>
      <c r="C218" s="3218"/>
      <c r="D218" s="3218"/>
      <c r="E218" s="3218"/>
      <c r="F218" s="3207">
        <v>0.05</v>
      </c>
      <c r="G218" s="3224"/>
    </row>
    <row r="219" spans="1:7">
      <c r="A219" s="3217" t="s">
        <v>1154</v>
      </c>
      <c r="B219" s="3206" t="s">
        <v>3085</v>
      </c>
      <c r="C219" s="3218"/>
      <c r="D219" s="3218"/>
      <c r="E219" s="3218"/>
      <c r="F219" s="3207">
        <v>0.05</v>
      </c>
      <c r="G219" s="3224"/>
    </row>
    <row r="220" spans="1:7">
      <c r="A220" s="3217" t="s">
        <v>1154</v>
      </c>
      <c r="B220" s="3206" t="s">
        <v>3086</v>
      </c>
      <c r="C220" s="3218"/>
      <c r="D220" s="3218"/>
      <c r="E220" s="3218"/>
      <c r="F220" s="3207">
        <v>0.05</v>
      </c>
      <c r="G220" s="3224"/>
    </row>
    <row r="221" spans="1:7">
      <c r="A221" s="3217" t="s">
        <v>1154</v>
      </c>
      <c r="B221" s="3206" t="s">
        <v>3087</v>
      </c>
      <c r="C221" s="3218"/>
      <c r="D221" s="3218"/>
      <c r="E221" s="3218"/>
      <c r="F221" s="3207">
        <v>0.05</v>
      </c>
      <c r="G221" s="3224"/>
    </row>
    <row r="222" spans="1:7">
      <c r="A222" s="3217" t="s">
        <v>1154</v>
      </c>
      <c r="B222" s="3206" t="s">
        <v>3088</v>
      </c>
      <c r="C222" s="3218"/>
      <c r="D222" s="3218"/>
      <c r="E222" s="3218"/>
      <c r="F222" s="3207">
        <v>0.05</v>
      </c>
      <c r="G222" s="3224"/>
    </row>
    <row r="223" spans="1:7">
      <c r="A223" s="3217" t="s">
        <v>1154</v>
      </c>
      <c r="B223" s="3206" t="s">
        <v>3089</v>
      </c>
      <c r="C223" s="3218"/>
      <c r="D223" s="3218"/>
      <c r="E223" s="3218"/>
      <c r="F223" s="3207">
        <v>0.05</v>
      </c>
      <c r="G223" s="3224"/>
    </row>
    <row r="224" spans="1:7">
      <c r="A224" s="3217" t="s">
        <v>1154</v>
      </c>
      <c r="B224" s="3206" t="s">
        <v>3090</v>
      </c>
      <c r="C224" s="3218"/>
      <c r="D224" s="3218"/>
      <c r="E224" s="3218"/>
      <c r="F224" s="3207">
        <v>0.05</v>
      </c>
      <c r="G224" s="3224"/>
    </row>
    <row r="225" spans="1:7">
      <c r="A225" s="3217" t="s">
        <v>1154</v>
      </c>
      <c r="B225" s="3206" t="s">
        <v>3091</v>
      </c>
      <c r="C225" s="3218"/>
      <c r="D225" s="3218"/>
      <c r="E225" s="3218"/>
      <c r="F225" s="3207">
        <v>0.05</v>
      </c>
      <c r="G225" s="3224"/>
    </row>
    <row r="226" spans="1:7">
      <c r="A226" s="3217" t="s">
        <v>1154</v>
      </c>
      <c r="B226" s="3206" t="s">
        <v>3092</v>
      </c>
      <c r="C226" s="3218"/>
      <c r="D226" s="3218"/>
      <c r="E226" s="3218"/>
      <c r="F226" s="3207">
        <v>0.05</v>
      </c>
      <c r="G226" s="3224"/>
    </row>
    <row r="227" spans="1:7">
      <c r="A227" s="3217" t="s">
        <v>1154</v>
      </c>
      <c r="B227" s="3206" t="s">
        <v>3093</v>
      </c>
      <c r="C227" s="3218"/>
      <c r="D227" s="3218"/>
      <c r="E227" s="3218"/>
      <c r="F227" s="3207">
        <v>0.05</v>
      </c>
      <c r="G227" s="3224"/>
    </row>
    <row r="228" spans="1:7">
      <c r="A228" s="3217" t="s">
        <v>1154</v>
      </c>
      <c r="B228" s="3206" t="s">
        <v>3094</v>
      </c>
      <c r="C228" s="3218"/>
      <c r="D228" s="3218"/>
      <c r="E228" s="3218"/>
      <c r="F228" s="3207">
        <v>0.05</v>
      </c>
      <c r="G228" s="3224"/>
    </row>
    <row r="229" spans="1:7">
      <c r="A229" s="3217" t="s">
        <v>1154</v>
      </c>
      <c r="B229" s="3206" t="s">
        <v>3095</v>
      </c>
      <c r="C229" s="3218"/>
      <c r="D229" s="3218"/>
      <c r="E229" s="3218"/>
      <c r="F229" s="3207">
        <v>0.05</v>
      </c>
      <c r="G229" s="3224"/>
    </row>
    <row r="230" spans="1:7">
      <c r="A230" s="3217" t="s">
        <v>1154</v>
      </c>
      <c r="B230" s="3206" t="s">
        <v>3096</v>
      </c>
      <c r="C230" s="3218"/>
      <c r="D230" s="3218"/>
      <c r="E230" s="3218"/>
      <c r="F230" s="3207">
        <v>0.05</v>
      </c>
      <c r="G230" s="3224"/>
    </row>
    <row r="231" spans="1:7">
      <c r="A231" s="3217" t="s">
        <v>1154</v>
      </c>
      <c r="B231" s="3206" t="s">
        <v>3097</v>
      </c>
      <c r="C231" s="3218"/>
      <c r="D231" s="3218"/>
      <c r="E231" s="3218"/>
      <c r="F231" s="3207">
        <v>0.05</v>
      </c>
      <c r="G231" s="3224"/>
    </row>
    <row r="232" spans="1:7">
      <c r="A232" s="3217" t="s">
        <v>1154</v>
      </c>
      <c r="B232" s="3206" t="s">
        <v>3098</v>
      </c>
      <c r="C232" s="3218"/>
      <c r="D232" s="3218"/>
      <c r="E232" s="3218"/>
      <c r="F232" s="3207">
        <v>0.05</v>
      </c>
      <c r="G232" s="3224"/>
    </row>
    <row r="233" spans="1:7" ht="14.25" thickBot="1">
      <c r="A233" s="3220" t="s">
        <v>1154</v>
      </c>
      <c r="B233" s="3210" t="s">
        <v>3099</v>
      </c>
      <c r="C233" s="3212"/>
      <c r="D233" s="3212"/>
      <c r="E233" s="3212"/>
      <c r="F233" s="3211">
        <v>0.05</v>
      </c>
      <c r="G233" s="3225"/>
    </row>
    <row r="234" spans="1:7">
      <c r="A234" s="3216" t="s">
        <v>1155</v>
      </c>
      <c r="B234" s="3202" t="s">
        <v>3100</v>
      </c>
      <c r="C234" s="3203">
        <v>0.13</v>
      </c>
      <c r="D234" s="3203">
        <v>0.128</v>
      </c>
      <c r="E234" s="3203">
        <v>0.14199999999999999</v>
      </c>
      <c r="F234" s="3203">
        <v>0.14699999999999999</v>
      </c>
      <c r="G234" s="3204">
        <v>0.14000000000000001</v>
      </c>
    </row>
    <row r="235" spans="1:7">
      <c r="A235" s="3217" t="s">
        <v>1155</v>
      </c>
      <c r="B235" s="3206" t="s">
        <v>979</v>
      </c>
      <c r="C235" s="3207">
        <v>0.13600000000000001</v>
      </c>
      <c r="D235" s="3207">
        <v>0.13800000000000001</v>
      </c>
      <c r="E235" s="3207">
        <v>0.14499999999999999</v>
      </c>
      <c r="F235" s="3207">
        <v>0.14299999999999999</v>
      </c>
      <c r="G235" s="3208">
        <v>0.14099999999999999</v>
      </c>
    </row>
    <row r="236" spans="1:7">
      <c r="A236" s="3217" t="s">
        <v>1155</v>
      </c>
      <c r="B236" s="3206" t="s">
        <v>989</v>
      </c>
      <c r="C236" s="3207">
        <v>0.15</v>
      </c>
      <c r="D236" s="3207">
        <v>0.15</v>
      </c>
      <c r="E236" s="3207">
        <v>0.15</v>
      </c>
      <c r="F236" s="3207">
        <v>0.15</v>
      </c>
      <c r="G236" s="3208">
        <v>0.15</v>
      </c>
    </row>
    <row r="237" spans="1:7">
      <c r="A237" s="3217" t="s">
        <v>1155</v>
      </c>
      <c r="B237" s="3206" t="s">
        <v>998</v>
      </c>
      <c r="C237" s="3207">
        <v>0.15</v>
      </c>
      <c r="D237" s="3207">
        <v>0.15</v>
      </c>
      <c r="E237" s="3207">
        <v>0.15</v>
      </c>
      <c r="F237" s="3207">
        <v>0.15</v>
      </c>
      <c r="G237" s="3208">
        <v>0.15</v>
      </c>
    </row>
    <row r="238" spans="1:7">
      <c r="A238" s="3217" t="s">
        <v>1155</v>
      </c>
      <c r="B238" s="3206" t="s">
        <v>2921</v>
      </c>
      <c r="C238" s="3207">
        <v>0.14899999999999999</v>
      </c>
      <c r="D238" s="3207">
        <v>0.14899999999999999</v>
      </c>
      <c r="E238" s="3207">
        <v>0.15</v>
      </c>
      <c r="F238" s="3207">
        <v>0.15</v>
      </c>
      <c r="G238" s="3208">
        <v>0.15</v>
      </c>
    </row>
    <row r="239" spans="1:7">
      <c r="A239" s="3217" t="s">
        <v>1155</v>
      </c>
      <c r="B239" s="3206" t="s">
        <v>3101</v>
      </c>
      <c r="C239" s="3207">
        <v>0.15</v>
      </c>
      <c r="D239" s="3207">
        <v>0.15</v>
      </c>
      <c r="E239" s="3207">
        <v>0.15</v>
      </c>
      <c r="F239" s="3207">
        <v>0.15</v>
      </c>
      <c r="G239" s="3208">
        <v>0.15</v>
      </c>
    </row>
    <row r="240" spans="1:7">
      <c r="A240" s="3217" t="s">
        <v>1155</v>
      </c>
      <c r="B240" s="3206" t="s">
        <v>3102</v>
      </c>
      <c r="C240" s="3207">
        <v>0.15</v>
      </c>
      <c r="D240" s="3207">
        <v>0.15</v>
      </c>
      <c r="E240" s="3207">
        <v>0.15</v>
      </c>
      <c r="F240" s="3207">
        <v>0.15</v>
      </c>
      <c r="G240" s="3208">
        <v>0.15</v>
      </c>
    </row>
    <row r="241" spans="1:7">
      <c r="A241" s="3217" t="s">
        <v>1155</v>
      </c>
      <c r="B241" s="3206" t="s">
        <v>3103</v>
      </c>
      <c r="C241" s="3207">
        <v>0.14099999999999999</v>
      </c>
      <c r="D241" s="3207">
        <v>0.14199999999999999</v>
      </c>
      <c r="E241" s="3207">
        <v>0.14899999999999999</v>
      </c>
      <c r="F241" s="3207">
        <v>0.15</v>
      </c>
      <c r="G241" s="3208">
        <v>0.14399999999999999</v>
      </c>
    </row>
    <row r="242" spans="1:7">
      <c r="A242" s="3217" t="s">
        <v>1155</v>
      </c>
      <c r="B242" s="3206" t="s">
        <v>1028</v>
      </c>
      <c r="C242" s="3207">
        <v>0.14099999999999999</v>
      </c>
      <c r="D242" s="3207">
        <v>0.14199999999999999</v>
      </c>
      <c r="E242" s="3207">
        <v>0.14799999999999999</v>
      </c>
      <c r="F242" s="3207">
        <v>0.127</v>
      </c>
      <c r="G242" s="3208">
        <v>0.14399999999999999</v>
      </c>
    </row>
    <row r="243" spans="1:7">
      <c r="A243" s="3217" t="s">
        <v>1155</v>
      </c>
      <c r="B243" s="3206" t="s">
        <v>1038</v>
      </c>
      <c r="C243" s="3207">
        <v>0.14699999999999999</v>
      </c>
      <c r="D243" s="3207">
        <v>0.14699999999999999</v>
      </c>
      <c r="E243" s="3207">
        <v>0.15</v>
      </c>
      <c r="F243" s="3207">
        <v>0.15</v>
      </c>
      <c r="G243" s="3208">
        <v>0.14899999999999999</v>
      </c>
    </row>
    <row r="244" spans="1:7">
      <c r="A244" s="3217" t="s">
        <v>1155</v>
      </c>
      <c r="B244" s="3206" t="s">
        <v>3104</v>
      </c>
      <c r="C244" s="3207">
        <v>0.15</v>
      </c>
      <c r="D244" s="3207">
        <v>0.15</v>
      </c>
      <c r="E244" s="3207">
        <v>0.15</v>
      </c>
      <c r="F244" s="3207">
        <v>0.15</v>
      </c>
      <c r="G244" s="3208">
        <v>0.15</v>
      </c>
    </row>
    <row r="245" spans="1:7">
      <c r="A245" s="3217" t="s">
        <v>1155</v>
      </c>
      <c r="B245" s="3206" t="s">
        <v>1053</v>
      </c>
      <c r="C245" s="3207">
        <v>0.14199999999999999</v>
      </c>
      <c r="D245" s="3207">
        <v>0.14199999999999999</v>
      </c>
      <c r="E245" s="3207">
        <v>0.15</v>
      </c>
      <c r="F245" s="3207">
        <v>0.15</v>
      </c>
      <c r="G245" s="3208">
        <v>0.14499999999999999</v>
      </c>
    </row>
    <row r="246" spans="1:7">
      <c r="A246" s="3217" t="s">
        <v>1155</v>
      </c>
      <c r="B246" s="3206" t="s">
        <v>1060</v>
      </c>
      <c r="C246" s="3207">
        <v>0.14199999999999999</v>
      </c>
      <c r="D246" s="3207">
        <v>0.14299999999999999</v>
      </c>
      <c r="E246" s="3207">
        <v>0.15</v>
      </c>
      <c r="F246" s="3207">
        <v>0.14199999999999999</v>
      </c>
      <c r="G246" s="3208">
        <v>0.14399999999999999</v>
      </c>
    </row>
    <row r="247" spans="1:7">
      <c r="A247" s="3217" t="s">
        <v>1155</v>
      </c>
      <c r="B247" s="3206" t="s">
        <v>3105</v>
      </c>
      <c r="C247" s="3207">
        <v>0.14899999999999999</v>
      </c>
      <c r="D247" s="3207">
        <v>0.14899999999999999</v>
      </c>
      <c r="E247" s="3207">
        <v>0.15</v>
      </c>
      <c r="F247" s="3207">
        <v>0.15</v>
      </c>
      <c r="G247" s="3208">
        <v>0.15</v>
      </c>
    </row>
    <row r="248" spans="1:7">
      <c r="A248" s="3217" t="s">
        <v>1155</v>
      </c>
      <c r="B248" s="3206" t="s">
        <v>1075</v>
      </c>
      <c r="C248" s="3207">
        <v>0.14399999999999999</v>
      </c>
      <c r="D248" s="3207">
        <v>0.14399999999999999</v>
      </c>
      <c r="E248" s="3207">
        <v>0.14899999999999999</v>
      </c>
      <c r="F248" s="3207">
        <v>0.14799999999999999</v>
      </c>
      <c r="G248" s="3208">
        <v>0.14599999999999999</v>
      </c>
    </row>
    <row r="249" spans="1:7">
      <c r="A249" s="3217" t="s">
        <v>1155</v>
      </c>
      <c r="B249" s="3206" t="s">
        <v>3106</v>
      </c>
      <c r="C249" s="3207">
        <v>0.14000000000000001</v>
      </c>
      <c r="D249" s="3207">
        <v>0.14000000000000001</v>
      </c>
      <c r="E249" s="3207">
        <v>0.14699999999999999</v>
      </c>
      <c r="F249" s="3207">
        <v>0.14899999999999999</v>
      </c>
      <c r="G249" s="3208">
        <v>0.14199999999999999</v>
      </c>
    </row>
    <row r="250" spans="1:7">
      <c r="A250" s="3217" t="s">
        <v>1155</v>
      </c>
      <c r="B250" s="3206" t="s">
        <v>1089</v>
      </c>
      <c r="C250" s="3207">
        <v>0.14399999999999999</v>
      </c>
      <c r="D250" s="3207">
        <v>0.14299999999999999</v>
      </c>
      <c r="E250" s="3207">
        <v>0.14899999999999999</v>
      </c>
      <c r="F250" s="3207">
        <v>0.15</v>
      </c>
      <c r="G250" s="3208">
        <v>0.14599999999999999</v>
      </c>
    </row>
    <row r="251" spans="1:7">
      <c r="A251" s="3217" t="s">
        <v>1155</v>
      </c>
      <c r="B251" s="3206" t="s">
        <v>1097</v>
      </c>
      <c r="C251" s="3223"/>
      <c r="D251" s="3218"/>
      <c r="E251" s="3218"/>
      <c r="F251" s="3207">
        <v>0.1</v>
      </c>
      <c r="G251" s="3224"/>
    </row>
    <row r="252" spans="1:7">
      <c r="A252" s="3217" t="s">
        <v>1155</v>
      </c>
      <c r="B252" s="3206" t="s">
        <v>3107</v>
      </c>
      <c r="C252" s="3207">
        <v>0.14399999999999999</v>
      </c>
      <c r="D252" s="3207">
        <v>0.14399999999999999</v>
      </c>
      <c r="E252" s="3207">
        <v>0.15</v>
      </c>
      <c r="F252" s="3207">
        <v>0.14899999999999999</v>
      </c>
      <c r="G252" s="3208">
        <v>0.14599999999999999</v>
      </c>
    </row>
    <row r="253" spans="1:7">
      <c r="A253" s="3217" t="s">
        <v>1155</v>
      </c>
      <c r="B253" s="3206" t="s">
        <v>1132</v>
      </c>
      <c r="C253" s="3207">
        <v>0.14199999999999999</v>
      </c>
      <c r="D253" s="3207">
        <v>0.14199999999999999</v>
      </c>
      <c r="E253" s="3207">
        <v>0.14599999999999999</v>
      </c>
      <c r="F253" s="3207">
        <v>0.14799999999999999</v>
      </c>
      <c r="G253" s="3208">
        <v>0.14499999999999999</v>
      </c>
    </row>
    <row r="254" spans="1:7">
      <c r="A254" s="3217" t="s">
        <v>1155</v>
      </c>
      <c r="B254" s="3206" t="s">
        <v>1135</v>
      </c>
      <c r="C254" s="3207">
        <v>0.15</v>
      </c>
      <c r="D254" s="3207">
        <v>0.15</v>
      </c>
      <c r="E254" s="3207">
        <v>0.15</v>
      </c>
      <c r="F254" s="3207">
        <v>0.15</v>
      </c>
      <c r="G254" s="3208">
        <v>0.15</v>
      </c>
    </row>
    <row r="255" spans="1:7">
      <c r="A255" s="3217" t="s">
        <v>1155</v>
      </c>
      <c r="B255" s="3206" t="s">
        <v>1138</v>
      </c>
      <c r="C255" s="3207">
        <v>0.14299999999999999</v>
      </c>
      <c r="D255" s="3207">
        <v>0.14299999999999999</v>
      </c>
      <c r="E255" s="3207">
        <v>0.15</v>
      </c>
      <c r="F255" s="3207">
        <v>0.15</v>
      </c>
      <c r="G255" s="3208">
        <v>0.14499999999999999</v>
      </c>
    </row>
    <row r="256" spans="1:7">
      <c r="A256" s="3217" t="s">
        <v>1155</v>
      </c>
      <c r="B256" s="3206" t="s">
        <v>3108</v>
      </c>
      <c r="C256" s="3207">
        <v>0.15</v>
      </c>
      <c r="D256" s="3207">
        <v>0.15</v>
      </c>
      <c r="E256" s="3207">
        <v>0.15</v>
      </c>
      <c r="F256" s="3207">
        <v>0.14599999999999999</v>
      </c>
      <c r="G256" s="3208">
        <v>0.15</v>
      </c>
    </row>
    <row r="257" spans="1:7">
      <c r="A257" s="3217" t="s">
        <v>1155</v>
      </c>
      <c r="B257" s="3206" t="s">
        <v>1124</v>
      </c>
      <c r="C257" s="3207">
        <v>0.14199999999999999</v>
      </c>
      <c r="D257" s="3207">
        <v>0.14299999999999999</v>
      </c>
      <c r="E257" s="3207">
        <v>0.14799999999999999</v>
      </c>
      <c r="F257" s="3207">
        <v>0.15</v>
      </c>
      <c r="G257" s="3208">
        <v>0.14499999999999999</v>
      </c>
    </row>
    <row r="258" spans="1:7">
      <c r="A258" s="3217" t="s">
        <v>1155</v>
      </c>
      <c r="B258" s="3206" t="s">
        <v>2930</v>
      </c>
      <c r="C258" s="3207">
        <v>0.14299999999999999</v>
      </c>
      <c r="D258" s="3207">
        <v>0.14299999999999999</v>
      </c>
      <c r="E258" s="3207">
        <v>0.15</v>
      </c>
      <c r="F258" s="3207">
        <v>0.14799999999999999</v>
      </c>
      <c r="G258" s="3208">
        <v>0.14599999999999999</v>
      </c>
    </row>
    <row r="259" spans="1:7">
      <c r="A259" s="3217" t="s">
        <v>1155</v>
      </c>
      <c r="B259" s="3206" t="s">
        <v>3109</v>
      </c>
      <c r="C259" s="3207">
        <v>0.14399999999999999</v>
      </c>
      <c r="D259" s="3207">
        <v>0.14399999999999999</v>
      </c>
      <c r="E259" s="3207">
        <v>0.14899999999999999</v>
      </c>
      <c r="F259" s="3207">
        <v>0.14699999999999999</v>
      </c>
      <c r="G259" s="3208">
        <v>0.14599999999999999</v>
      </c>
    </row>
    <row r="260" spans="1:7">
      <c r="A260" s="3217" t="s">
        <v>1155</v>
      </c>
      <c r="B260" s="3206" t="s">
        <v>3110</v>
      </c>
      <c r="C260" s="3207">
        <v>0.109</v>
      </c>
      <c r="D260" s="3207">
        <v>0.111</v>
      </c>
      <c r="E260" s="3207">
        <v>0.13100000000000001</v>
      </c>
      <c r="F260" s="3207">
        <v>0.126</v>
      </c>
      <c r="G260" s="3208">
        <v>0.11899999999999999</v>
      </c>
    </row>
    <row r="261" spans="1:7">
      <c r="A261" s="3217" t="s">
        <v>1155</v>
      </c>
      <c r="B261" s="3206" t="s">
        <v>3111</v>
      </c>
      <c r="C261" s="3207">
        <v>0.1</v>
      </c>
      <c r="D261" s="3207">
        <v>0.1</v>
      </c>
      <c r="E261" s="3207">
        <v>0.11799999999999999</v>
      </c>
      <c r="F261" s="3207">
        <v>0.108</v>
      </c>
      <c r="G261" s="3208">
        <v>0.107</v>
      </c>
    </row>
    <row r="262" spans="1:7">
      <c r="A262" s="3217" t="s">
        <v>1155</v>
      </c>
      <c r="B262" s="3206" t="s">
        <v>3112</v>
      </c>
      <c r="C262" s="3207">
        <v>0.1</v>
      </c>
      <c r="D262" s="3207">
        <v>0.1</v>
      </c>
      <c r="E262" s="3207">
        <v>0.1</v>
      </c>
      <c r="F262" s="3207">
        <v>0.14099999999999999</v>
      </c>
      <c r="G262" s="3208">
        <v>0.1</v>
      </c>
    </row>
    <row r="263" spans="1:7">
      <c r="A263" s="3217" t="s">
        <v>1155</v>
      </c>
      <c r="B263" s="3206" t="s">
        <v>3113</v>
      </c>
      <c r="C263" s="3207">
        <v>0.14799999999999999</v>
      </c>
      <c r="D263" s="3207">
        <v>0.14799999999999999</v>
      </c>
      <c r="E263" s="3207">
        <v>0.15</v>
      </c>
      <c r="F263" s="3207">
        <v>0.14699999999999999</v>
      </c>
      <c r="G263" s="3208">
        <v>0.15</v>
      </c>
    </row>
    <row r="264" spans="1:7">
      <c r="A264" s="3217" t="s">
        <v>1155</v>
      </c>
      <c r="B264" s="3206" t="s">
        <v>1148</v>
      </c>
      <c r="C264" s="3207">
        <v>0.14299999999999999</v>
      </c>
      <c r="D264" s="3207">
        <v>0.14299999999999999</v>
      </c>
      <c r="E264" s="3207">
        <v>0.15</v>
      </c>
      <c r="F264" s="3207">
        <v>0.14899999999999999</v>
      </c>
      <c r="G264" s="3208">
        <v>0.14599999999999999</v>
      </c>
    </row>
    <row r="265" spans="1:7">
      <c r="A265" s="3217" t="s">
        <v>1155</v>
      </c>
      <c r="B265" s="3206" t="s">
        <v>3114</v>
      </c>
      <c r="C265" s="3218"/>
      <c r="D265" s="3218"/>
      <c r="E265" s="3218"/>
      <c r="F265" s="3207">
        <v>0.05</v>
      </c>
      <c r="G265" s="3224"/>
    </row>
    <row r="266" spans="1:7">
      <c r="A266" s="3217" t="s">
        <v>1155</v>
      </c>
      <c r="B266" s="3206" t="s">
        <v>3115</v>
      </c>
      <c r="C266" s="3218"/>
      <c r="D266" s="3218"/>
      <c r="E266" s="3218"/>
      <c r="F266" s="3207">
        <v>0.05</v>
      </c>
      <c r="G266" s="3224"/>
    </row>
    <row r="267" spans="1:7">
      <c r="A267" s="3217" t="s">
        <v>1155</v>
      </c>
      <c r="B267" s="3206" t="s">
        <v>3116</v>
      </c>
      <c r="C267" s="3218"/>
      <c r="D267" s="3218"/>
      <c r="E267" s="3218"/>
      <c r="F267" s="3207">
        <v>0.05</v>
      </c>
      <c r="G267" s="3224"/>
    </row>
    <row r="268" spans="1:7">
      <c r="A268" s="3217" t="s">
        <v>1155</v>
      </c>
      <c r="B268" s="3206" t="s">
        <v>3117</v>
      </c>
      <c r="C268" s="3218"/>
      <c r="D268" s="3218"/>
      <c r="E268" s="3218"/>
      <c r="F268" s="3207">
        <v>0.05</v>
      </c>
      <c r="G268" s="3224"/>
    </row>
    <row r="269" spans="1:7">
      <c r="A269" s="3217" t="s">
        <v>1155</v>
      </c>
      <c r="B269" s="3206" t="s">
        <v>3118</v>
      </c>
      <c r="C269" s="3218"/>
      <c r="D269" s="3218"/>
      <c r="E269" s="3218"/>
      <c r="F269" s="3207">
        <v>0.05</v>
      </c>
      <c r="G269" s="3224"/>
    </row>
    <row r="270" spans="1:7">
      <c r="A270" s="3217" t="s">
        <v>1155</v>
      </c>
      <c r="B270" s="3206" t="s">
        <v>3119</v>
      </c>
      <c r="C270" s="3218"/>
      <c r="D270" s="3218"/>
      <c r="E270" s="3218"/>
      <c r="F270" s="3207">
        <v>0.05</v>
      </c>
      <c r="G270" s="3224"/>
    </row>
    <row r="271" spans="1:7">
      <c r="A271" s="3217" t="s">
        <v>1155</v>
      </c>
      <c r="B271" s="3206" t="s">
        <v>3120</v>
      </c>
      <c r="C271" s="3218"/>
      <c r="D271" s="3218"/>
      <c r="E271" s="3218"/>
      <c r="F271" s="3207">
        <v>0.05</v>
      </c>
      <c r="G271" s="3224"/>
    </row>
    <row r="272" spans="1:7">
      <c r="A272" s="3217" t="s">
        <v>1155</v>
      </c>
      <c r="B272" s="3206" t="s">
        <v>3121</v>
      </c>
      <c r="C272" s="3218"/>
      <c r="D272" s="3218"/>
      <c r="E272" s="3218"/>
      <c r="F272" s="3207">
        <v>0.05</v>
      </c>
      <c r="G272" s="3224"/>
    </row>
    <row r="273" spans="1:7">
      <c r="A273" s="3217" t="s">
        <v>1155</v>
      </c>
      <c r="B273" s="3206" t="s">
        <v>3122</v>
      </c>
      <c r="C273" s="3218"/>
      <c r="D273" s="3218"/>
      <c r="E273" s="3218"/>
      <c r="F273" s="3207">
        <v>0.05</v>
      </c>
      <c r="G273" s="3224"/>
    </row>
    <row r="274" spans="1:7">
      <c r="A274" s="3217" t="s">
        <v>1155</v>
      </c>
      <c r="B274" s="3206" t="s">
        <v>3123</v>
      </c>
      <c r="C274" s="3218"/>
      <c r="D274" s="3218"/>
      <c r="E274" s="3218"/>
      <c r="F274" s="3207">
        <v>0.05</v>
      </c>
      <c r="G274" s="3224"/>
    </row>
    <row r="275" spans="1:7">
      <c r="A275" s="3217" t="s">
        <v>1155</v>
      </c>
      <c r="B275" s="3206" t="s">
        <v>3124</v>
      </c>
      <c r="C275" s="3218"/>
      <c r="D275" s="3218"/>
      <c r="E275" s="3218"/>
      <c r="F275" s="3207">
        <v>0.05</v>
      </c>
      <c r="G275" s="3224"/>
    </row>
    <row r="276" spans="1:7" ht="14.25" thickBot="1">
      <c r="A276" s="3220" t="s">
        <v>1155</v>
      </c>
      <c r="B276" s="3210" t="s">
        <v>3125</v>
      </c>
      <c r="C276" s="3212"/>
      <c r="D276" s="3212"/>
      <c r="E276" s="3212"/>
      <c r="F276" s="3211">
        <v>0.05</v>
      </c>
      <c r="G276" s="3225"/>
    </row>
    <row r="277" spans="1:7">
      <c r="A277" s="3216" t="s">
        <v>1156</v>
      </c>
      <c r="B277" s="3202" t="s">
        <v>3126</v>
      </c>
      <c r="C277" s="3203">
        <v>0.15</v>
      </c>
      <c r="D277" s="3203">
        <v>0.15</v>
      </c>
      <c r="E277" s="3203">
        <v>0.15</v>
      </c>
      <c r="F277" s="3203">
        <v>0.15</v>
      </c>
      <c r="G277" s="3204">
        <v>0.15</v>
      </c>
    </row>
    <row r="278" spans="1:7">
      <c r="A278" s="3217" t="s">
        <v>1156</v>
      </c>
      <c r="B278" s="3206" t="s">
        <v>980</v>
      </c>
      <c r="C278" s="3207">
        <v>0.15</v>
      </c>
      <c r="D278" s="3207">
        <v>0.15</v>
      </c>
      <c r="E278" s="3207">
        <v>0.15</v>
      </c>
      <c r="F278" s="3207">
        <v>0.15</v>
      </c>
      <c r="G278" s="3208">
        <v>0.15</v>
      </c>
    </row>
    <row r="279" spans="1:7">
      <c r="A279" s="3217" t="s">
        <v>1156</v>
      </c>
      <c r="B279" s="3206" t="s">
        <v>3127</v>
      </c>
      <c r="C279" s="3207">
        <v>0.15</v>
      </c>
      <c r="D279" s="3207">
        <v>0.15</v>
      </c>
      <c r="E279" s="3207">
        <v>0.15</v>
      </c>
      <c r="F279" s="3207">
        <v>0.15</v>
      </c>
      <c r="G279" s="3208">
        <v>0.15</v>
      </c>
    </row>
    <row r="280" spans="1:7">
      <c r="A280" s="3217" t="s">
        <v>1156</v>
      </c>
      <c r="B280" s="3206" t="s">
        <v>3128</v>
      </c>
      <c r="C280" s="3207">
        <v>0.15</v>
      </c>
      <c r="D280" s="3207">
        <v>0.15</v>
      </c>
      <c r="E280" s="3207">
        <v>0.15</v>
      </c>
      <c r="F280" s="3207">
        <v>0.15</v>
      </c>
      <c r="G280" s="3208">
        <v>0.15</v>
      </c>
    </row>
    <row r="281" spans="1:7">
      <c r="A281" s="3217" t="s">
        <v>1156</v>
      </c>
      <c r="B281" s="3206" t="s">
        <v>3129</v>
      </c>
      <c r="C281" s="3207">
        <v>0.15</v>
      </c>
      <c r="D281" s="3207">
        <v>0.15</v>
      </c>
      <c r="E281" s="3207">
        <v>0.15</v>
      </c>
      <c r="F281" s="3207">
        <v>0.15</v>
      </c>
      <c r="G281" s="3208">
        <v>0.15</v>
      </c>
    </row>
    <row r="282" spans="1:7">
      <c r="A282" s="3217" t="s">
        <v>1156</v>
      </c>
      <c r="B282" s="3206" t="s">
        <v>3130</v>
      </c>
      <c r="C282" s="3207">
        <v>0.15</v>
      </c>
      <c r="D282" s="3207">
        <v>0.15</v>
      </c>
      <c r="E282" s="3207">
        <v>0.15</v>
      </c>
      <c r="F282" s="3207">
        <v>0.14499999999999999</v>
      </c>
      <c r="G282" s="3208">
        <v>0.15</v>
      </c>
    </row>
    <row r="283" spans="1:7">
      <c r="A283" s="3217" t="s">
        <v>1156</v>
      </c>
      <c r="B283" s="3206" t="s">
        <v>1021</v>
      </c>
      <c r="C283" s="3207">
        <v>0.15</v>
      </c>
      <c r="D283" s="3207">
        <v>0.15</v>
      </c>
      <c r="E283" s="3207">
        <v>0.15</v>
      </c>
      <c r="F283" s="3207">
        <v>0.14199999999999999</v>
      </c>
      <c r="G283" s="3208">
        <v>0.15</v>
      </c>
    </row>
    <row r="284" spans="1:7">
      <c r="A284" s="3217" t="s">
        <v>1156</v>
      </c>
      <c r="B284" s="3206" t="s">
        <v>1029</v>
      </c>
      <c r="C284" s="3207">
        <v>0.15</v>
      </c>
      <c r="D284" s="3207">
        <v>0.15</v>
      </c>
      <c r="E284" s="3207">
        <v>0.15</v>
      </c>
      <c r="F284" s="3207">
        <v>0.15</v>
      </c>
      <c r="G284" s="3208">
        <v>0.15</v>
      </c>
    </row>
    <row r="285" spans="1:7">
      <c r="A285" s="3217" t="s">
        <v>1156</v>
      </c>
      <c r="B285" s="3206" t="s">
        <v>1039</v>
      </c>
      <c r="C285" s="3207">
        <v>0.15</v>
      </c>
      <c r="D285" s="3207">
        <v>0.15</v>
      </c>
      <c r="E285" s="3207">
        <v>0.15</v>
      </c>
      <c r="F285" s="3207">
        <v>0.15</v>
      </c>
      <c r="G285" s="3208">
        <v>0.15</v>
      </c>
    </row>
    <row r="286" spans="1:7">
      <c r="A286" s="3217" t="s">
        <v>1156</v>
      </c>
      <c r="B286" s="3206" t="s">
        <v>1046</v>
      </c>
      <c r="C286" s="3207">
        <v>0.14499999999999999</v>
      </c>
      <c r="D286" s="3207">
        <v>0.14499999999999999</v>
      </c>
      <c r="E286" s="3207">
        <v>0.15</v>
      </c>
      <c r="F286" s="3207">
        <v>0.14099999999999999</v>
      </c>
      <c r="G286" s="3208">
        <v>0.14499999999999999</v>
      </c>
    </row>
    <row r="287" spans="1:7">
      <c r="A287" s="3217" t="s">
        <v>1156</v>
      </c>
      <c r="B287" s="3206" t="s">
        <v>3131</v>
      </c>
      <c r="C287" s="3207">
        <v>0.11</v>
      </c>
      <c r="D287" s="3207">
        <v>0.111</v>
      </c>
      <c r="E287" s="3207">
        <v>0.14099999999999999</v>
      </c>
      <c r="F287" s="3207">
        <v>0.11</v>
      </c>
      <c r="G287" s="3208">
        <v>0.12</v>
      </c>
    </row>
    <row r="288" spans="1:7">
      <c r="A288" s="3217" t="s">
        <v>1156</v>
      </c>
      <c r="B288" s="3206" t="s">
        <v>1067</v>
      </c>
      <c r="C288" s="3207">
        <v>0.14199999999999999</v>
      </c>
      <c r="D288" s="3207">
        <v>0.14299999999999999</v>
      </c>
      <c r="E288" s="3207">
        <v>0.15</v>
      </c>
      <c r="F288" s="3207">
        <v>0.14199999999999999</v>
      </c>
      <c r="G288" s="3208">
        <v>0.14399999999999999</v>
      </c>
    </row>
    <row r="289" spans="1:7">
      <c r="A289" s="3217" t="s">
        <v>1156</v>
      </c>
      <c r="B289" s="3206" t="s">
        <v>3132</v>
      </c>
      <c r="C289" s="3207">
        <v>0.14299999999999999</v>
      </c>
      <c r="D289" s="3207">
        <v>0.14299999999999999</v>
      </c>
      <c r="E289" s="3207">
        <v>0.14799999999999999</v>
      </c>
      <c r="F289" s="3207">
        <v>0.14399999999999999</v>
      </c>
      <c r="G289" s="3208">
        <v>0.14399999999999999</v>
      </c>
    </row>
    <row r="290" spans="1:7">
      <c r="A290" s="3217" t="s">
        <v>1156</v>
      </c>
      <c r="B290" s="3206" t="s">
        <v>1090</v>
      </c>
      <c r="C290" s="3207">
        <v>0.14799999999999999</v>
      </c>
      <c r="D290" s="3207">
        <v>0.14899999999999999</v>
      </c>
      <c r="E290" s="3207">
        <v>0.15</v>
      </c>
      <c r="F290" s="3207">
        <v>0.127</v>
      </c>
      <c r="G290" s="3208">
        <v>0.15</v>
      </c>
    </row>
    <row r="291" spans="1:7">
      <c r="A291" s="3217" t="s">
        <v>1156</v>
      </c>
      <c r="B291" s="3206" t="s">
        <v>1098</v>
      </c>
      <c r="C291" s="3207">
        <v>0.15</v>
      </c>
      <c r="D291" s="3207">
        <v>0.15</v>
      </c>
      <c r="E291" s="3207">
        <v>0.15</v>
      </c>
      <c r="F291" s="3207">
        <v>0.14899999999999999</v>
      </c>
      <c r="G291" s="3208">
        <v>0.15</v>
      </c>
    </row>
    <row r="292" spans="1:7">
      <c r="A292" s="3217" t="s">
        <v>1156</v>
      </c>
      <c r="B292" s="3206" t="s">
        <v>1104</v>
      </c>
      <c r="C292" s="3207">
        <v>0.15</v>
      </c>
      <c r="D292" s="3207">
        <v>0.15</v>
      </c>
      <c r="E292" s="3207">
        <v>0.15</v>
      </c>
      <c r="F292" s="3207">
        <v>0.14399999999999999</v>
      </c>
      <c r="G292" s="3208">
        <v>0.15</v>
      </c>
    </row>
    <row r="293" spans="1:7">
      <c r="A293" s="3217" t="s">
        <v>1156</v>
      </c>
      <c r="B293" s="3206" t="s">
        <v>2955</v>
      </c>
      <c r="C293" s="3207">
        <v>0.15</v>
      </c>
      <c r="D293" s="3207">
        <v>0.15</v>
      </c>
      <c r="E293" s="3207">
        <v>0.15</v>
      </c>
      <c r="F293" s="3207">
        <v>0.14499999999999999</v>
      </c>
      <c r="G293" s="3208">
        <v>0.15</v>
      </c>
    </row>
    <row r="294" spans="1:7">
      <c r="A294" s="3217" t="s">
        <v>1156</v>
      </c>
      <c r="B294" s="3206" t="s">
        <v>3133</v>
      </c>
      <c r="C294" s="3207">
        <v>0.15</v>
      </c>
      <c r="D294" s="3207">
        <v>0.15</v>
      </c>
      <c r="E294" s="3207">
        <v>0.15</v>
      </c>
      <c r="F294" s="3207">
        <v>0.14899999999999999</v>
      </c>
      <c r="G294" s="3208">
        <v>0.15</v>
      </c>
    </row>
    <row r="295" spans="1:7">
      <c r="A295" s="3217" t="s">
        <v>1156</v>
      </c>
      <c r="B295" s="3206" t="s">
        <v>1139</v>
      </c>
      <c r="C295" s="3207">
        <v>0.15</v>
      </c>
      <c r="D295" s="3207">
        <v>0.15</v>
      </c>
      <c r="E295" s="3207">
        <v>0.15</v>
      </c>
      <c r="F295" s="3207">
        <v>0.14799999999999999</v>
      </c>
      <c r="G295" s="3208">
        <v>0.15</v>
      </c>
    </row>
    <row r="296" spans="1:7">
      <c r="A296" s="3217" t="s">
        <v>1156</v>
      </c>
      <c r="B296" s="3206" t="s">
        <v>1142</v>
      </c>
      <c r="C296" s="3207">
        <v>0.15</v>
      </c>
      <c r="D296" s="3207">
        <v>0.15</v>
      </c>
      <c r="E296" s="3207">
        <v>0.15</v>
      </c>
      <c r="F296" s="3207">
        <v>0.14399999999999999</v>
      </c>
      <c r="G296" s="3208">
        <v>0.15</v>
      </c>
    </row>
    <row r="297" spans="1:7">
      <c r="A297" s="3217" t="s">
        <v>1156</v>
      </c>
      <c r="B297" s="3206" t="s">
        <v>1144</v>
      </c>
      <c r="C297" s="3207">
        <v>0.15</v>
      </c>
      <c r="D297" s="3207">
        <v>0.15</v>
      </c>
      <c r="E297" s="3207">
        <v>0.15</v>
      </c>
      <c r="F297" s="3207">
        <v>0.14499999999999999</v>
      </c>
      <c r="G297" s="3208">
        <v>0.15</v>
      </c>
    </row>
    <row r="298" spans="1:7">
      <c r="A298" s="3217" t="s">
        <v>1156</v>
      </c>
      <c r="B298" s="3206" t="s">
        <v>1147</v>
      </c>
      <c r="C298" s="3207">
        <v>0.15</v>
      </c>
      <c r="D298" s="3207">
        <v>0.15</v>
      </c>
      <c r="E298" s="3207">
        <v>0.15</v>
      </c>
      <c r="F298" s="3207">
        <v>0.15</v>
      </c>
      <c r="G298" s="3208">
        <v>0.15</v>
      </c>
    </row>
    <row r="299" spans="1:7">
      <c r="A299" s="3217" t="s">
        <v>1156</v>
      </c>
      <c r="B299" s="3226" t="s">
        <v>2957</v>
      </c>
      <c r="C299" s="3207">
        <v>0.15</v>
      </c>
      <c r="D299" s="3207">
        <v>0.15</v>
      </c>
      <c r="E299" s="3207">
        <v>0.15</v>
      </c>
      <c r="F299" s="3207">
        <v>0.14499999999999999</v>
      </c>
      <c r="G299" s="3208">
        <v>0.15</v>
      </c>
    </row>
    <row r="300" spans="1:7">
      <c r="A300" s="3217" t="s">
        <v>1156</v>
      </c>
      <c r="B300" s="3226" t="s">
        <v>1119</v>
      </c>
      <c r="C300" s="3207">
        <v>0.15</v>
      </c>
      <c r="D300" s="3207">
        <v>0.15</v>
      </c>
      <c r="E300" s="3207">
        <v>0.15</v>
      </c>
      <c r="F300" s="3207">
        <v>0.14599999999999999</v>
      </c>
      <c r="G300" s="3208">
        <v>0.15</v>
      </c>
    </row>
    <row r="301" spans="1:7">
      <c r="A301" s="3217" t="s">
        <v>1156</v>
      </c>
      <c r="B301" s="3226" t="s">
        <v>1125</v>
      </c>
      <c r="C301" s="3207">
        <v>0.126</v>
      </c>
      <c r="D301" s="3207">
        <v>0.124</v>
      </c>
      <c r="E301" s="3207">
        <v>0.14099999999999999</v>
      </c>
      <c r="F301" s="3207">
        <v>0.14399999999999999</v>
      </c>
      <c r="G301" s="3208">
        <v>0.13</v>
      </c>
    </row>
    <row r="302" spans="1:7">
      <c r="A302" s="3217" t="s">
        <v>1156</v>
      </c>
      <c r="B302" s="3206" t="s">
        <v>3134</v>
      </c>
      <c r="C302" s="3207">
        <v>0.15</v>
      </c>
      <c r="D302" s="3207">
        <v>0.15</v>
      </c>
      <c r="E302" s="3207">
        <v>0.15</v>
      </c>
      <c r="F302" s="3207">
        <v>0.14699999999999999</v>
      </c>
      <c r="G302" s="3208">
        <v>0.15</v>
      </c>
    </row>
    <row r="303" spans="1:7">
      <c r="A303" s="3217" t="s">
        <v>1156</v>
      </c>
      <c r="B303" s="3206" t="s">
        <v>2959</v>
      </c>
      <c r="C303" s="3207">
        <v>0.15</v>
      </c>
      <c r="D303" s="3207">
        <v>0.15</v>
      </c>
      <c r="E303" s="3207">
        <v>0.15</v>
      </c>
      <c r="F303" s="3207">
        <v>0.14199999999999999</v>
      </c>
      <c r="G303" s="3208">
        <v>0.15</v>
      </c>
    </row>
    <row r="304" spans="1:7">
      <c r="A304" s="3217" t="s">
        <v>1156</v>
      </c>
      <c r="B304" s="3206" t="s">
        <v>2960</v>
      </c>
      <c r="C304" s="3207">
        <v>0.15</v>
      </c>
      <c r="D304" s="3207">
        <v>0.15</v>
      </c>
      <c r="E304" s="3207">
        <v>0.15</v>
      </c>
      <c r="F304" s="3207">
        <v>0.14499999999999999</v>
      </c>
      <c r="G304" s="3208">
        <v>0.15</v>
      </c>
    </row>
    <row r="305" spans="1:7">
      <c r="A305" s="3217" t="s">
        <v>1156</v>
      </c>
      <c r="B305" s="3206" t="s">
        <v>2961</v>
      </c>
      <c r="C305" s="3207">
        <v>0.15</v>
      </c>
      <c r="D305" s="3207">
        <v>0.15</v>
      </c>
      <c r="E305" s="3207">
        <v>0.15</v>
      </c>
      <c r="F305" s="3207">
        <v>0.111</v>
      </c>
      <c r="G305" s="3208">
        <v>0.15</v>
      </c>
    </row>
    <row r="306" spans="1:7">
      <c r="A306" s="3217" t="s">
        <v>1156</v>
      </c>
      <c r="B306" s="3206" t="s">
        <v>3135</v>
      </c>
      <c r="C306" s="3207">
        <v>0.15</v>
      </c>
      <c r="D306" s="3207">
        <v>0.15</v>
      </c>
      <c r="E306" s="3207">
        <v>0.15</v>
      </c>
      <c r="F306" s="3207">
        <v>0.126</v>
      </c>
      <c r="G306" s="3208">
        <v>0.15</v>
      </c>
    </row>
    <row r="307" spans="1:7">
      <c r="A307" s="3217" t="s">
        <v>1156</v>
      </c>
      <c r="B307" s="3206" t="s">
        <v>2963</v>
      </c>
      <c r="C307" s="3207">
        <v>0.15</v>
      </c>
      <c r="D307" s="3207">
        <v>0.15</v>
      </c>
      <c r="E307" s="3207">
        <v>0.15</v>
      </c>
      <c r="F307" s="3207">
        <v>0.12</v>
      </c>
      <c r="G307" s="3208">
        <v>0.15</v>
      </c>
    </row>
    <row r="308" spans="1:7">
      <c r="A308" s="3217" t="s">
        <v>1156</v>
      </c>
      <c r="B308" s="3206" t="s">
        <v>3136</v>
      </c>
      <c r="C308" s="3207">
        <v>0.15</v>
      </c>
      <c r="D308" s="3207">
        <v>0.15</v>
      </c>
      <c r="E308" s="3207">
        <v>0.15</v>
      </c>
      <c r="F308" s="3207">
        <v>0.13</v>
      </c>
      <c r="G308" s="3208">
        <v>0.15</v>
      </c>
    </row>
    <row r="309" spans="1:7">
      <c r="A309" s="3217" t="s">
        <v>1156</v>
      </c>
      <c r="B309" s="3206" t="s">
        <v>3137</v>
      </c>
      <c r="C309" s="3207">
        <v>0.15</v>
      </c>
      <c r="D309" s="3207">
        <v>0.15</v>
      </c>
      <c r="E309" s="3207">
        <v>0.15</v>
      </c>
      <c r="F309" s="3207">
        <v>0.14099999999999999</v>
      </c>
      <c r="G309" s="3208">
        <v>0.15</v>
      </c>
    </row>
    <row r="310" spans="1:7">
      <c r="A310" s="3217" t="s">
        <v>1156</v>
      </c>
      <c r="B310" s="3206" t="s">
        <v>2966</v>
      </c>
      <c r="C310" s="3207">
        <v>0.15</v>
      </c>
      <c r="D310" s="3207">
        <v>0.15</v>
      </c>
      <c r="E310" s="3207">
        <v>0.15</v>
      </c>
      <c r="F310" s="3207">
        <v>0.15</v>
      </c>
      <c r="G310" s="3208">
        <v>0.15</v>
      </c>
    </row>
    <row r="311" spans="1:7">
      <c r="A311" s="3217" t="s">
        <v>1156</v>
      </c>
      <c r="B311" s="3206" t="s">
        <v>3138</v>
      </c>
      <c r="C311" s="3207">
        <v>0.13200000000000001</v>
      </c>
      <c r="D311" s="3207">
        <v>0.13300000000000001</v>
      </c>
      <c r="E311" s="3207">
        <v>0.14499999999999999</v>
      </c>
      <c r="F311" s="3207">
        <v>0.14199999999999999</v>
      </c>
      <c r="G311" s="3208">
        <v>0.14000000000000001</v>
      </c>
    </row>
    <row r="312" spans="1:7">
      <c r="A312" s="3217" t="s">
        <v>1156</v>
      </c>
      <c r="B312" s="3206" t="s">
        <v>2968</v>
      </c>
      <c r="C312" s="3207">
        <v>0.13800000000000001</v>
      </c>
      <c r="D312" s="3207">
        <v>0.14000000000000001</v>
      </c>
      <c r="E312" s="3207">
        <v>0.14599999999999999</v>
      </c>
      <c r="F312" s="3207">
        <v>0.14899999999999999</v>
      </c>
      <c r="G312" s="3208">
        <v>0.14199999999999999</v>
      </c>
    </row>
    <row r="313" spans="1:7">
      <c r="A313" s="3217" t="s">
        <v>1156</v>
      </c>
      <c r="B313" s="3206" t="s">
        <v>2969</v>
      </c>
      <c r="C313" s="3207">
        <v>0.125</v>
      </c>
      <c r="D313" s="3207">
        <v>0.127</v>
      </c>
      <c r="E313" s="3207">
        <v>0.14399999999999999</v>
      </c>
      <c r="F313" s="3207">
        <v>0.115</v>
      </c>
      <c r="G313" s="3208">
        <v>0.13600000000000001</v>
      </c>
    </row>
    <row r="314" spans="1:7">
      <c r="A314" s="3217" t="s">
        <v>1156</v>
      </c>
      <c r="B314" s="3206" t="s">
        <v>3139</v>
      </c>
      <c r="C314" s="3223"/>
      <c r="D314" s="3223"/>
      <c r="E314" s="3223"/>
      <c r="F314" s="3207">
        <v>0.05</v>
      </c>
      <c r="G314" s="3224"/>
    </row>
    <row r="315" spans="1:7">
      <c r="A315" s="3217" t="s">
        <v>1156</v>
      </c>
      <c r="B315" s="3206" t="s">
        <v>3140</v>
      </c>
      <c r="C315" s="3223"/>
      <c r="D315" s="3223"/>
      <c r="E315" s="3223"/>
      <c r="F315" s="3207">
        <v>0.05</v>
      </c>
      <c r="G315" s="3224"/>
    </row>
    <row r="316" spans="1:7">
      <c r="A316" s="3217" t="s">
        <v>1156</v>
      </c>
      <c r="B316" s="3206" t="s">
        <v>3141</v>
      </c>
      <c r="C316" s="3218"/>
      <c r="D316" s="3218"/>
      <c r="E316" s="3218"/>
      <c r="F316" s="3207">
        <v>0.05</v>
      </c>
      <c r="G316" s="3224"/>
    </row>
    <row r="317" spans="1:7">
      <c r="A317" s="3217" t="s">
        <v>1156</v>
      </c>
      <c r="B317" s="3206" t="s">
        <v>3142</v>
      </c>
      <c r="C317" s="3218"/>
      <c r="D317" s="3218"/>
      <c r="E317" s="3218"/>
      <c r="F317" s="3207">
        <v>0.05</v>
      </c>
      <c r="G317" s="3224"/>
    </row>
    <row r="318" spans="1:7">
      <c r="A318" s="3217" t="s">
        <v>1156</v>
      </c>
      <c r="B318" s="3206" t="s">
        <v>3143</v>
      </c>
      <c r="C318" s="3218"/>
      <c r="D318" s="3218"/>
      <c r="E318" s="3218"/>
      <c r="F318" s="3207">
        <v>0.05</v>
      </c>
      <c r="G318" s="3224"/>
    </row>
    <row r="319" spans="1:7">
      <c r="A319" s="3217" t="s">
        <v>1156</v>
      </c>
      <c r="B319" s="3206" t="s">
        <v>3144</v>
      </c>
      <c r="C319" s="3218"/>
      <c r="D319" s="3218"/>
      <c r="E319" s="3218"/>
      <c r="F319" s="3207">
        <v>0.05</v>
      </c>
      <c r="G319" s="3224"/>
    </row>
    <row r="320" spans="1:7">
      <c r="A320" s="3217" t="s">
        <v>1156</v>
      </c>
      <c r="B320" s="3206" t="s">
        <v>3145</v>
      </c>
      <c r="C320" s="3218"/>
      <c r="D320" s="3218"/>
      <c r="E320" s="3218"/>
      <c r="F320" s="3207">
        <v>0.05</v>
      </c>
      <c r="G320" s="3224"/>
    </row>
    <row r="321" spans="1:7">
      <c r="A321" s="3217" t="s">
        <v>1156</v>
      </c>
      <c r="B321" s="3206" t="s">
        <v>3146</v>
      </c>
      <c r="C321" s="3218"/>
      <c r="D321" s="3218"/>
      <c r="E321" s="3218"/>
      <c r="F321" s="3207">
        <v>0.05</v>
      </c>
      <c r="G321" s="3224"/>
    </row>
    <row r="322" spans="1:7">
      <c r="A322" s="3217" t="s">
        <v>1156</v>
      </c>
      <c r="B322" s="3206" t="s">
        <v>3147</v>
      </c>
      <c r="C322" s="3218"/>
      <c r="D322" s="3218"/>
      <c r="E322" s="3218"/>
      <c r="F322" s="3207">
        <v>0.05</v>
      </c>
      <c r="G322" s="3224"/>
    </row>
    <row r="323" spans="1:7">
      <c r="A323" s="3217" t="s">
        <v>1156</v>
      </c>
      <c r="B323" s="3206" t="s">
        <v>3148</v>
      </c>
      <c r="C323" s="3218"/>
      <c r="D323" s="3218"/>
      <c r="E323" s="3218"/>
      <c r="F323" s="3207">
        <v>0.05</v>
      </c>
      <c r="G323" s="3224"/>
    </row>
    <row r="324" spans="1:7">
      <c r="A324" s="3217" t="s">
        <v>1156</v>
      </c>
      <c r="B324" s="3206" t="s">
        <v>3149</v>
      </c>
      <c r="C324" s="3218"/>
      <c r="D324" s="3218"/>
      <c r="E324" s="3218"/>
      <c r="F324" s="3207">
        <v>0.05</v>
      </c>
      <c r="G324" s="3224"/>
    </row>
    <row r="325" spans="1:7">
      <c r="A325" s="3217" t="s">
        <v>1156</v>
      </c>
      <c r="B325" s="3206" t="s">
        <v>3150</v>
      </c>
      <c r="C325" s="3218"/>
      <c r="D325" s="3218"/>
      <c r="E325" s="3218"/>
      <c r="F325" s="3207">
        <v>0.05</v>
      </c>
      <c r="G325" s="3224"/>
    </row>
    <row r="326" spans="1:7" ht="14.25" thickBot="1">
      <c r="A326" s="3220" t="s">
        <v>1156</v>
      </c>
      <c r="B326" s="3210" t="s">
        <v>3151</v>
      </c>
      <c r="C326" s="3212"/>
      <c r="D326" s="3212"/>
      <c r="E326" s="3212"/>
      <c r="F326" s="3211">
        <v>0.05</v>
      </c>
      <c r="G326" s="3225"/>
    </row>
    <row r="327" spans="1:7">
      <c r="A327" s="3216" t="s">
        <v>1157</v>
      </c>
      <c r="B327" s="3202" t="s">
        <v>3152</v>
      </c>
      <c r="C327" s="3203">
        <v>0.15</v>
      </c>
      <c r="D327" s="3203">
        <v>0.15</v>
      </c>
      <c r="E327" s="3203">
        <v>0.15</v>
      </c>
      <c r="F327" s="3203">
        <v>0.15</v>
      </c>
      <c r="G327" s="3204">
        <v>0.15</v>
      </c>
    </row>
    <row r="328" spans="1:7">
      <c r="A328" s="3217" t="s">
        <v>1157</v>
      </c>
      <c r="B328" s="3206" t="s">
        <v>981</v>
      </c>
      <c r="C328" s="3207">
        <v>0.15</v>
      </c>
      <c r="D328" s="3207">
        <v>0.15</v>
      </c>
      <c r="E328" s="3207">
        <v>0.15</v>
      </c>
      <c r="F328" s="3207">
        <v>0.126</v>
      </c>
      <c r="G328" s="3208">
        <v>0.15</v>
      </c>
    </row>
    <row r="329" spans="1:7">
      <c r="A329" s="3217" t="s">
        <v>1157</v>
      </c>
      <c r="B329" s="3206" t="s">
        <v>3153</v>
      </c>
      <c r="C329" s="3207">
        <v>0.15</v>
      </c>
      <c r="D329" s="3207">
        <v>0.15</v>
      </c>
      <c r="E329" s="3207">
        <v>0.15</v>
      </c>
      <c r="F329" s="3207">
        <v>0.15</v>
      </c>
      <c r="G329" s="3208">
        <v>0.15</v>
      </c>
    </row>
    <row r="330" spans="1:7">
      <c r="A330" s="3217" t="s">
        <v>1157</v>
      </c>
      <c r="B330" s="3206" t="s">
        <v>3154</v>
      </c>
      <c r="C330" s="3207">
        <v>0.15</v>
      </c>
      <c r="D330" s="3207">
        <v>0.15</v>
      </c>
      <c r="E330" s="3207">
        <v>0.15</v>
      </c>
      <c r="F330" s="3207">
        <v>0.15</v>
      </c>
      <c r="G330" s="3208">
        <v>0.15</v>
      </c>
    </row>
    <row r="331" spans="1:7">
      <c r="A331" s="3217" t="s">
        <v>1157</v>
      </c>
      <c r="B331" s="3206" t="s">
        <v>1008</v>
      </c>
      <c r="C331" s="3207">
        <v>0.15</v>
      </c>
      <c r="D331" s="3207">
        <v>0.15</v>
      </c>
      <c r="E331" s="3207">
        <v>0.15</v>
      </c>
      <c r="F331" s="3207">
        <v>0.15</v>
      </c>
      <c r="G331" s="3208">
        <v>0.15</v>
      </c>
    </row>
    <row r="332" spans="1:7">
      <c r="A332" s="3217" t="s">
        <v>1157</v>
      </c>
      <c r="B332" s="3206" t="s">
        <v>2986</v>
      </c>
      <c r="C332" s="3207">
        <v>0.15</v>
      </c>
      <c r="D332" s="3207">
        <v>0.15</v>
      </c>
      <c r="E332" s="3207">
        <v>0.15</v>
      </c>
      <c r="F332" s="3207">
        <v>0.15</v>
      </c>
      <c r="G332" s="3208">
        <v>0.15</v>
      </c>
    </row>
    <row r="333" spans="1:7">
      <c r="A333" s="3217" t="s">
        <v>1157</v>
      </c>
      <c r="B333" s="3206" t="s">
        <v>3155</v>
      </c>
      <c r="C333" s="3207">
        <v>0.14899999999999999</v>
      </c>
      <c r="D333" s="3207">
        <v>0.14899999999999999</v>
      </c>
      <c r="E333" s="3207">
        <v>0.15</v>
      </c>
      <c r="F333" s="3207">
        <v>0.11600000000000001</v>
      </c>
      <c r="G333" s="3208">
        <v>0.15</v>
      </c>
    </row>
    <row r="334" spans="1:7">
      <c r="A334" s="3217" t="s">
        <v>1157</v>
      </c>
      <c r="B334" s="3206" t="s">
        <v>1030</v>
      </c>
      <c r="C334" s="3207">
        <v>0.15</v>
      </c>
      <c r="D334" s="3207">
        <v>0.15</v>
      </c>
      <c r="E334" s="3207">
        <v>0.15</v>
      </c>
      <c r="F334" s="3207">
        <v>0.13</v>
      </c>
      <c r="G334" s="3208">
        <v>0.15</v>
      </c>
    </row>
    <row r="335" spans="1:7">
      <c r="A335" s="3217" t="s">
        <v>1157</v>
      </c>
      <c r="B335" s="3206" t="s">
        <v>1040</v>
      </c>
      <c r="C335" s="3207">
        <v>0.15</v>
      </c>
      <c r="D335" s="3207">
        <v>0.15</v>
      </c>
      <c r="E335" s="3207">
        <v>0.15</v>
      </c>
      <c r="F335" s="3207">
        <v>0.14399999999999999</v>
      </c>
      <c r="G335" s="3208">
        <v>0.15</v>
      </c>
    </row>
    <row r="336" spans="1:7">
      <c r="A336" s="3217" t="s">
        <v>1157</v>
      </c>
      <c r="B336" s="3206" t="s">
        <v>2988</v>
      </c>
      <c r="C336" s="3207">
        <v>0.15</v>
      </c>
      <c r="D336" s="3207">
        <v>0.15</v>
      </c>
      <c r="E336" s="3207">
        <v>0.15</v>
      </c>
      <c r="F336" s="3207">
        <v>0.14199999999999999</v>
      </c>
      <c r="G336" s="3208">
        <v>0.15</v>
      </c>
    </row>
    <row r="337" spans="1:7">
      <c r="A337" s="3217" t="s">
        <v>1157</v>
      </c>
      <c r="B337" s="3206" t="s">
        <v>3156</v>
      </c>
      <c r="C337" s="3207">
        <v>0.15</v>
      </c>
      <c r="D337" s="3207">
        <v>0.15</v>
      </c>
      <c r="E337" s="3207">
        <v>0.15</v>
      </c>
      <c r="F337" s="3207">
        <v>0.14499999999999999</v>
      </c>
      <c r="G337" s="3208">
        <v>0.15</v>
      </c>
    </row>
    <row r="338" spans="1:7">
      <c r="A338" s="3217" t="s">
        <v>1157</v>
      </c>
      <c r="B338" s="3206" t="s">
        <v>1068</v>
      </c>
      <c r="C338" s="3207">
        <v>0.15</v>
      </c>
      <c r="D338" s="3207">
        <v>0.15</v>
      </c>
      <c r="E338" s="3207">
        <v>0.15</v>
      </c>
      <c r="F338" s="3207">
        <v>0.15</v>
      </c>
      <c r="G338" s="3208">
        <v>0.15</v>
      </c>
    </row>
    <row r="339" spans="1:7">
      <c r="A339" s="3217" t="s">
        <v>1157</v>
      </c>
      <c r="B339" s="3206" t="s">
        <v>1076</v>
      </c>
      <c r="C339" s="3207">
        <v>0.15</v>
      </c>
      <c r="D339" s="3207">
        <v>0.15</v>
      </c>
      <c r="E339" s="3207">
        <v>0.15</v>
      </c>
      <c r="F339" s="3207">
        <v>0.14699999999999999</v>
      </c>
      <c r="G339" s="3208">
        <v>0.15</v>
      </c>
    </row>
    <row r="340" spans="1:7">
      <c r="A340" s="3217" t="s">
        <v>1157</v>
      </c>
      <c r="B340" s="3206" t="s">
        <v>3157</v>
      </c>
      <c r="C340" s="3207">
        <v>0.14599999999999999</v>
      </c>
      <c r="D340" s="3207">
        <v>0.14599999999999999</v>
      </c>
      <c r="E340" s="3207">
        <v>0.15</v>
      </c>
      <c r="F340" s="3207">
        <v>0.14099999999999999</v>
      </c>
      <c r="G340" s="3208">
        <v>0.14699999999999999</v>
      </c>
    </row>
    <row r="341" spans="1:7">
      <c r="A341" s="3217" t="s">
        <v>1157</v>
      </c>
      <c r="B341" s="3206" t="s">
        <v>1054</v>
      </c>
      <c r="C341" s="3207">
        <v>0.126</v>
      </c>
      <c r="D341" s="3207">
        <v>0.124</v>
      </c>
      <c r="E341" s="3207">
        <v>0.14099999999999999</v>
      </c>
      <c r="F341" s="3207">
        <v>0.14399999999999999</v>
      </c>
      <c r="G341" s="3208">
        <v>0.13</v>
      </c>
    </row>
    <row r="342" spans="1:7">
      <c r="A342" s="3217" t="s">
        <v>1157</v>
      </c>
      <c r="B342" s="3206" t="s">
        <v>3158</v>
      </c>
      <c r="C342" s="3207">
        <v>0.15</v>
      </c>
      <c r="D342" s="3207">
        <v>0.15</v>
      </c>
      <c r="E342" s="3207">
        <v>0.15</v>
      </c>
      <c r="F342" s="3207">
        <v>0.14399999999999999</v>
      </c>
      <c r="G342" s="3208">
        <v>0.15</v>
      </c>
    </row>
    <row r="343" spans="1:7">
      <c r="A343" s="3217" t="s">
        <v>1157</v>
      </c>
      <c r="B343" s="3206" t="s">
        <v>1105</v>
      </c>
      <c r="C343" s="3207">
        <v>0.15</v>
      </c>
      <c r="D343" s="3207">
        <v>0.15</v>
      </c>
      <c r="E343" s="3207">
        <v>0.15</v>
      </c>
      <c r="F343" s="3207">
        <v>0.128</v>
      </c>
      <c r="G343" s="3208">
        <v>0.15</v>
      </c>
    </row>
    <row r="344" spans="1:7">
      <c r="A344" s="3217" t="s">
        <v>1157</v>
      </c>
      <c r="B344" s="3206" t="s">
        <v>1113</v>
      </c>
      <c r="C344" s="3207">
        <v>0.15</v>
      </c>
      <c r="D344" s="3207">
        <v>0.15</v>
      </c>
      <c r="E344" s="3207">
        <v>0.15</v>
      </c>
      <c r="F344" s="3207">
        <v>0.14799999999999999</v>
      </c>
      <c r="G344" s="3208">
        <v>0.15</v>
      </c>
    </row>
    <row r="345" spans="1:7">
      <c r="A345" s="3217" t="s">
        <v>1157</v>
      </c>
      <c r="B345" s="3206" t="s">
        <v>2992</v>
      </c>
      <c r="C345" s="3207">
        <v>0.15</v>
      </c>
      <c r="D345" s="3207">
        <v>0.15</v>
      </c>
      <c r="E345" s="3207">
        <v>0.15</v>
      </c>
      <c r="F345" s="3207">
        <v>0.13800000000000001</v>
      </c>
      <c r="G345" s="3208">
        <v>0.15</v>
      </c>
    </row>
    <row r="346" spans="1:7">
      <c r="A346" s="3217" t="s">
        <v>1157</v>
      </c>
      <c r="B346" s="3206" t="s">
        <v>3159</v>
      </c>
      <c r="C346" s="3207">
        <v>0.15</v>
      </c>
      <c r="D346" s="3207">
        <v>0.15</v>
      </c>
      <c r="E346" s="3207">
        <v>0.15</v>
      </c>
      <c r="F346" s="3207">
        <v>0.14399999999999999</v>
      </c>
      <c r="G346" s="3208">
        <v>0.15</v>
      </c>
    </row>
    <row r="347" spans="1:7">
      <c r="A347" s="3217" t="s">
        <v>1157</v>
      </c>
      <c r="B347" s="3206" t="s">
        <v>1091</v>
      </c>
      <c r="C347" s="3207">
        <v>0.15</v>
      </c>
      <c r="D347" s="3207">
        <v>0.15</v>
      </c>
      <c r="E347" s="3207">
        <v>0.15</v>
      </c>
      <c r="F347" s="3207">
        <v>0.14599999999999999</v>
      </c>
      <c r="G347" s="3208">
        <v>0.15</v>
      </c>
    </row>
    <row r="348" spans="1:7">
      <c r="A348" s="3217" t="s">
        <v>1157</v>
      </c>
      <c r="B348" s="3206" t="s">
        <v>2994</v>
      </c>
      <c r="C348" s="3207">
        <v>0.15</v>
      </c>
      <c r="D348" s="3207">
        <v>0.15</v>
      </c>
      <c r="E348" s="3207">
        <v>0.15</v>
      </c>
      <c r="F348" s="3207">
        <v>0.14399999999999999</v>
      </c>
      <c r="G348" s="3208">
        <v>0.15</v>
      </c>
    </row>
    <row r="349" spans="1:7">
      <c r="A349" s="3217" t="s">
        <v>1157</v>
      </c>
      <c r="B349" s="3206" t="s">
        <v>2995</v>
      </c>
      <c r="C349" s="3207">
        <v>0.15</v>
      </c>
      <c r="D349" s="3207">
        <v>0.15</v>
      </c>
      <c r="E349" s="3207">
        <v>0.15</v>
      </c>
      <c r="F349" s="3207">
        <v>0.15</v>
      </c>
      <c r="G349" s="3208">
        <v>0.15</v>
      </c>
    </row>
    <row r="350" spans="1:7">
      <c r="A350" s="3217" t="s">
        <v>1157</v>
      </c>
      <c r="B350" s="3206" t="s">
        <v>3160</v>
      </c>
      <c r="C350" s="3207">
        <v>0.15</v>
      </c>
      <c r="D350" s="3207">
        <v>0.15</v>
      </c>
      <c r="E350" s="3207">
        <v>0.15</v>
      </c>
      <c r="F350" s="3207">
        <v>0.14699999999999999</v>
      </c>
      <c r="G350" s="3208">
        <v>0.15</v>
      </c>
    </row>
    <row r="351" spans="1:7">
      <c r="A351" s="3217" t="s">
        <v>1157</v>
      </c>
      <c r="B351" s="3206" t="s">
        <v>2997</v>
      </c>
      <c r="C351" s="3207">
        <v>0.15</v>
      </c>
      <c r="D351" s="3207">
        <v>0.15</v>
      </c>
      <c r="E351" s="3207">
        <v>0.15</v>
      </c>
      <c r="F351" s="3207">
        <v>0.13</v>
      </c>
      <c r="G351" s="3208">
        <v>0.15</v>
      </c>
    </row>
    <row r="352" spans="1:7">
      <c r="A352" s="3217" t="s">
        <v>1157</v>
      </c>
      <c r="B352" s="3206" t="s">
        <v>2998</v>
      </c>
      <c r="C352" s="3207">
        <v>0.15</v>
      </c>
      <c r="D352" s="3207">
        <v>0.15</v>
      </c>
      <c r="E352" s="3207">
        <v>0.15</v>
      </c>
      <c r="F352" s="3207">
        <v>0.14599999999999999</v>
      </c>
      <c r="G352" s="3208">
        <v>0.15</v>
      </c>
    </row>
    <row r="353" spans="1:7">
      <c r="A353" s="3217" t="s">
        <v>1157</v>
      </c>
      <c r="B353" s="3206" t="s">
        <v>3161</v>
      </c>
      <c r="C353" s="3207">
        <v>0.15</v>
      </c>
      <c r="D353" s="3207">
        <v>0.15</v>
      </c>
      <c r="E353" s="3207">
        <v>0.15</v>
      </c>
      <c r="F353" s="3207">
        <v>0.14499999999999999</v>
      </c>
      <c r="G353" s="3208">
        <v>0.15</v>
      </c>
    </row>
    <row r="354" spans="1:7">
      <c r="A354" s="3217" t="s">
        <v>1157</v>
      </c>
      <c r="B354" s="3206" t="s">
        <v>1129</v>
      </c>
      <c r="C354" s="3207">
        <v>0.15</v>
      </c>
      <c r="D354" s="3207">
        <v>0.15</v>
      </c>
      <c r="E354" s="3207">
        <v>0.15</v>
      </c>
      <c r="F354" s="3207">
        <v>0.14099999999999999</v>
      </c>
      <c r="G354" s="3208">
        <v>0.15</v>
      </c>
    </row>
    <row r="355" spans="1:7">
      <c r="A355" s="3217" t="s">
        <v>1157</v>
      </c>
      <c r="B355" s="3206" t="s">
        <v>3000</v>
      </c>
      <c r="C355" s="3207">
        <v>0.15</v>
      </c>
      <c r="D355" s="3207">
        <v>0.15</v>
      </c>
      <c r="E355" s="3207">
        <v>0.15</v>
      </c>
      <c r="F355" s="3207">
        <v>0.15</v>
      </c>
      <c r="G355" s="3208">
        <v>0.15</v>
      </c>
    </row>
    <row r="356" spans="1:7">
      <c r="A356" s="3217" t="s">
        <v>1157</v>
      </c>
      <c r="B356" s="3206" t="s">
        <v>3001</v>
      </c>
      <c r="C356" s="3207">
        <v>0.15</v>
      </c>
      <c r="D356" s="3207">
        <v>0.15</v>
      </c>
      <c r="E356" s="3207">
        <v>0.15</v>
      </c>
      <c r="F356" s="3207">
        <v>0.15</v>
      </c>
      <c r="G356" s="3208">
        <v>0.15</v>
      </c>
    </row>
    <row r="357" spans="1:7" ht="14.25" thickBot="1">
      <c r="A357" s="3220" t="s">
        <v>1157</v>
      </c>
      <c r="B357" s="3210" t="s">
        <v>3162</v>
      </c>
      <c r="C357" s="3211">
        <v>0.126</v>
      </c>
      <c r="D357" s="3211">
        <v>0.127</v>
      </c>
      <c r="E357" s="3211">
        <v>0.14299999999999999</v>
      </c>
      <c r="F357" s="3211">
        <v>0.125</v>
      </c>
      <c r="G357" s="3213">
        <v>0.129</v>
      </c>
    </row>
    <row r="358" spans="1:7">
      <c r="A358" s="3216" t="s">
        <v>3163</v>
      </c>
      <c r="B358" s="3202" t="s">
        <v>3164</v>
      </c>
      <c r="C358" s="3203">
        <v>0.15</v>
      </c>
      <c r="D358" s="3203">
        <v>0.15</v>
      </c>
      <c r="E358" s="3203">
        <v>0.15</v>
      </c>
      <c r="F358" s="3203">
        <v>0.15</v>
      </c>
      <c r="G358" s="3204">
        <v>0.15</v>
      </c>
    </row>
    <row r="359" spans="1:7">
      <c r="A359" s="3217" t="s">
        <v>3163</v>
      </c>
      <c r="B359" s="3206" t="s">
        <v>3165</v>
      </c>
      <c r="C359" s="3207">
        <v>0.1</v>
      </c>
      <c r="D359" s="3207">
        <v>0.1</v>
      </c>
      <c r="E359" s="3207">
        <v>0.1</v>
      </c>
      <c r="F359" s="3207">
        <v>0.1</v>
      </c>
      <c r="G359" s="3208">
        <v>0.1</v>
      </c>
    </row>
    <row r="360" spans="1:7">
      <c r="A360" s="3217" t="s">
        <v>3163</v>
      </c>
      <c r="B360" s="3206" t="s">
        <v>3166</v>
      </c>
      <c r="C360" s="3207">
        <v>0.15</v>
      </c>
      <c r="D360" s="3207">
        <v>0.15</v>
      </c>
      <c r="E360" s="3207">
        <v>0.15</v>
      </c>
      <c r="F360" s="3207">
        <v>0.14899999999999999</v>
      </c>
      <c r="G360" s="3208">
        <v>0.15</v>
      </c>
    </row>
    <row r="361" spans="1:7">
      <c r="A361" s="3217" t="s">
        <v>3163</v>
      </c>
      <c r="B361" s="3206" t="s">
        <v>999</v>
      </c>
      <c r="C361" s="3207">
        <v>0.15</v>
      </c>
      <c r="D361" s="3207">
        <v>0.15</v>
      </c>
      <c r="E361" s="3207">
        <v>0.15</v>
      </c>
      <c r="F361" s="3207">
        <v>0.115</v>
      </c>
      <c r="G361" s="3208">
        <v>0.15</v>
      </c>
    </row>
    <row r="362" spans="1:7">
      <c r="A362" s="3217" t="s">
        <v>3163</v>
      </c>
      <c r="B362" s="3206" t="s">
        <v>3167</v>
      </c>
      <c r="C362" s="3207">
        <v>0.15</v>
      </c>
      <c r="D362" s="3207">
        <v>0.15</v>
      </c>
      <c r="E362" s="3207">
        <v>0.15</v>
      </c>
      <c r="F362" s="3207">
        <v>0.106</v>
      </c>
      <c r="G362" s="3208">
        <v>0.15</v>
      </c>
    </row>
    <row r="363" spans="1:7">
      <c r="A363" s="3217" t="s">
        <v>3163</v>
      </c>
      <c r="B363" s="3206" t="s">
        <v>3007</v>
      </c>
      <c r="C363" s="3207">
        <v>0.15</v>
      </c>
      <c r="D363" s="3207">
        <v>0.15</v>
      </c>
      <c r="E363" s="3207">
        <v>0.15</v>
      </c>
      <c r="F363" s="3207">
        <v>0.14699999999999999</v>
      </c>
      <c r="G363" s="3208">
        <v>0.15</v>
      </c>
    </row>
    <row r="364" spans="1:7">
      <c r="A364" s="3217" t="s">
        <v>3163</v>
      </c>
      <c r="B364" s="3206" t="s">
        <v>3168</v>
      </c>
      <c r="C364" s="3207">
        <v>0.15</v>
      </c>
      <c r="D364" s="3207">
        <v>0.15</v>
      </c>
      <c r="E364" s="3207">
        <v>0.15</v>
      </c>
      <c r="F364" s="3207">
        <v>0.14799999999999999</v>
      </c>
      <c r="G364" s="3208">
        <v>0.15</v>
      </c>
    </row>
    <row r="365" spans="1:7">
      <c r="A365" s="3217" t="s">
        <v>3163</v>
      </c>
      <c r="B365" s="3206" t="s">
        <v>1047</v>
      </c>
      <c r="C365" s="3207">
        <v>0.15</v>
      </c>
      <c r="D365" s="3207">
        <v>0.15</v>
      </c>
      <c r="E365" s="3207">
        <v>0.15</v>
      </c>
      <c r="F365" s="3207">
        <v>0.15</v>
      </c>
      <c r="G365" s="3208">
        <v>0.15</v>
      </c>
    </row>
    <row r="366" spans="1:7">
      <c r="A366" s="3217" t="s">
        <v>3163</v>
      </c>
      <c r="B366" s="3206" t="s">
        <v>3009</v>
      </c>
      <c r="C366" s="3207">
        <v>0.15</v>
      </c>
      <c r="D366" s="3207">
        <v>0.15</v>
      </c>
      <c r="E366" s="3207">
        <v>0.15</v>
      </c>
      <c r="F366" s="3207">
        <v>0.15</v>
      </c>
      <c r="G366" s="3208">
        <v>0.15</v>
      </c>
    </row>
    <row r="367" spans="1:7">
      <c r="A367" s="3217" t="s">
        <v>3163</v>
      </c>
      <c r="B367" s="3206" t="s">
        <v>3169</v>
      </c>
      <c r="C367" s="3207">
        <v>0.15</v>
      </c>
      <c r="D367" s="3207">
        <v>0.15</v>
      </c>
      <c r="E367" s="3207">
        <v>0.15</v>
      </c>
      <c r="F367" s="3207">
        <v>0.14699999999999999</v>
      </c>
      <c r="G367" s="3208">
        <v>0.15</v>
      </c>
    </row>
    <row r="368" spans="1:7">
      <c r="A368" s="3217" t="s">
        <v>3163</v>
      </c>
      <c r="B368" s="3206" t="s">
        <v>3170</v>
      </c>
      <c r="C368" s="3207">
        <v>0.15</v>
      </c>
      <c r="D368" s="3207">
        <v>0.15</v>
      </c>
      <c r="E368" s="3207">
        <v>0.15</v>
      </c>
      <c r="F368" s="3207">
        <v>0.13600000000000001</v>
      </c>
      <c r="G368" s="3208">
        <v>0.15</v>
      </c>
    </row>
    <row r="369" spans="1:7">
      <c r="A369" s="3217" t="s">
        <v>3163</v>
      </c>
      <c r="B369" s="3206" t="s">
        <v>1061</v>
      </c>
      <c r="C369" s="3207">
        <v>0.15</v>
      </c>
      <c r="D369" s="3207">
        <v>0.15</v>
      </c>
      <c r="E369" s="3207">
        <v>0.15</v>
      </c>
      <c r="F369" s="3207">
        <v>0.14399999999999999</v>
      </c>
      <c r="G369" s="3208">
        <v>0.15</v>
      </c>
    </row>
    <row r="370" spans="1:7">
      <c r="A370" s="3217" t="s">
        <v>3163</v>
      </c>
      <c r="B370" s="3206" t="s">
        <v>1069</v>
      </c>
      <c r="C370" s="3207">
        <v>0.15</v>
      </c>
      <c r="D370" s="3207">
        <v>0.15</v>
      </c>
      <c r="E370" s="3207">
        <v>0.15</v>
      </c>
      <c r="F370" s="3207">
        <v>0.14599999999999999</v>
      </c>
      <c r="G370" s="3208">
        <v>0.15</v>
      </c>
    </row>
    <row r="371" spans="1:7">
      <c r="A371" s="3217" t="s">
        <v>3163</v>
      </c>
      <c r="B371" s="3206" t="s">
        <v>1077</v>
      </c>
      <c r="C371" s="3207">
        <v>0.15</v>
      </c>
      <c r="D371" s="3207">
        <v>0.15</v>
      </c>
      <c r="E371" s="3207">
        <v>0.15</v>
      </c>
      <c r="F371" s="3207">
        <v>0.12</v>
      </c>
      <c r="G371" s="3208">
        <v>0.15</v>
      </c>
    </row>
    <row r="372" spans="1:7">
      <c r="A372" s="3217" t="s">
        <v>3163</v>
      </c>
      <c r="B372" s="3206" t="s">
        <v>3171</v>
      </c>
      <c r="C372" s="3207">
        <v>0.15</v>
      </c>
      <c r="D372" s="3207">
        <v>0.15</v>
      </c>
      <c r="E372" s="3207">
        <v>0.15</v>
      </c>
      <c r="F372" s="3207">
        <v>0.14299999999999999</v>
      </c>
      <c r="G372" s="3208">
        <v>0.15</v>
      </c>
    </row>
    <row r="373" spans="1:7">
      <c r="A373" s="3217" t="s">
        <v>3163</v>
      </c>
      <c r="B373" s="3206" t="s">
        <v>1106</v>
      </c>
      <c r="C373" s="3207">
        <v>0.15</v>
      </c>
      <c r="D373" s="3207">
        <v>0.15</v>
      </c>
      <c r="E373" s="3207">
        <v>0.15</v>
      </c>
      <c r="F373" s="3207">
        <v>0.14599999999999999</v>
      </c>
      <c r="G373" s="3208">
        <v>0.15</v>
      </c>
    </row>
    <row r="374" spans="1:7">
      <c r="A374" s="3217" t="s">
        <v>3163</v>
      </c>
      <c r="B374" s="3206" t="s">
        <v>1114</v>
      </c>
      <c r="C374" s="3207">
        <v>0.15</v>
      </c>
      <c r="D374" s="3207">
        <v>0.15</v>
      </c>
      <c r="E374" s="3207">
        <v>0.15</v>
      </c>
      <c r="F374" s="3207">
        <v>0.14399999999999999</v>
      </c>
      <c r="G374" s="3208">
        <v>0.15</v>
      </c>
    </row>
    <row r="375" spans="1:7">
      <c r="A375" s="3217" t="s">
        <v>3163</v>
      </c>
      <c r="B375" s="3206" t="s">
        <v>3172</v>
      </c>
      <c r="C375" s="3207">
        <v>0.15</v>
      </c>
      <c r="D375" s="3207">
        <v>0.15</v>
      </c>
      <c r="E375" s="3207">
        <v>0.15</v>
      </c>
      <c r="F375" s="3207">
        <v>0.13</v>
      </c>
      <c r="G375" s="3208">
        <v>0.15</v>
      </c>
    </row>
    <row r="376" spans="1:7">
      <c r="A376" s="3217" t="s">
        <v>3163</v>
      </c>
      <c r="B376" s="3206" t="s">
        <v>1126</v>
      </c>
      <c r="C376" s="3207">
        <v>0.15</v>
      </c>
      <c r="D376" s="3207">
        <v>0.15</v>
      </c>
      <c r="E376" s="3207">
        <v>0.15</v>
      </c>
      <c r="F376" s="3207">
        <v>0.14199999999999999</v>
      </c>
      <c r="G376" s="3208">
        <v>0.15</v>
      </c>
    </row>
    <row r="377" spans="1:7" ht="14.25" thickBot="1">
      <c r="A377" s="3220" t="s">
        <v>3163</v>
      </c>
      <c r="B377" s="3210" t="s">
        <v>3014</v>
      </c>
      <c r="C377" s="3211">
        <v>0.15</v>
      </c>
      <c r="D377" s="3211">
        <v>0.15</v>
      </c>
      <c r="E377" s="3211">
        <v>0.15</v>
      </c>
      <c r="F377" s="3211">
        <v>0.14000000000000001</v>
      </c>
      <c r="G377" s="3213">
        <v>0.15</v>
      </c>
    </row>
    <row r="378" spans="1:7">
      <c r="A378" s="3216" t="s">
        <v>3173</v>
      </c>
      <c r="B378" s="3202" t="s">
        <v>3174</v>
      </c>
      <c r="C378" s="3203">
        <v>0.15</v>
      </c>
      <c r="D378" s="3203">
        <v>0.15</v>
      </c>
      <c r="E378" s="3203">
        <v>0.15</v>
      </c>
      <c r="F378" s="3203">
        <v>0.107</v>
      </c>
      <c r="G378" s="3204">
        <v>0.15</v>
      </c>
    </row>
    <row r="379" spans="1:7">
      <c r="A379" s="3217" t="s">
        <v>3173</v>
      </c>
      <c r="B379" s="3206" t="s">
        <v>3175</v>
      </c>
      <c r="C379" s="3207">
        <v>0.15</v>
      </c>
      <c r="D379" s="3207">
        <v>0.15</v>
      </c>
      <c r="E379" s="3207">
        <v>0.15</v>
      </c>
      <c r="F379" s="3207">
        <v>0.115</v>
      </c>
      <c r="G379" s="3208">
        <v>0.14899999999999999</v>
      </c>
    </row>
    <row r="380" spans="1:7">
      <c r="A380" s="3217" t="s">
        <v>3176</v>
      </c>
      <c r="B380" s="3206" t="s">
        <v>3177</v>
      </c>
      <c r="C380" s="3207">
        <v>0.15</v>
      </c>
      <c r="D380" s="3207">
        <v>0.15</v>
      </c>
      <c r="E380" s="3207">
        <v>0.15</v>
      </c>
      <c r="F380" s="3207">
        <v>0.1</v>
      </c>
      <c r="G380" s="3208">
        <v>0.14799999999999999</v>
      </c>
    </row>
    <row r="381" spans="1:7">
      <c r="A381" s="3217" t="s">
        <v>3176</v>
      </c>
      <c r="B381" s="3206" t="s">
        <v>3178</v>
      </c>
      <c r="C381" s="3207">
        <v>0.15</v>
      </c>
      <c r="D381" s="3207">
        <v>0.15</v>
      </c>
      <c r="E381" s="3207">
        <v>0.15</v>
      </c>
      <c r="F381" s="3207">
        <v>0.126</v>
      </c>
      <c r="G381" s="3208">
        <v>0.15</v>
      </c>
    </row>
    <row r="382" spans="1:7">
      <c r="A382" s="3217" t="s">
        <v>3176</v>
      </c>
      <c r="B382" s="3206" t="s">
        <v>3179</v>
      </c>
      <c r="C382" s="3207">
        <v>0.15</v>
      </c>
      <c r="D382" s="3207">
        <v>0.15</v>
      </c>
      <c r="E382" s="3207">
        <v>0.15</v>
      </c>
      <c r="F382" s="3207">
        <v>0.15</v>
      </c>
      <c r="G382" s="3208">
        <v>0.15</v>
      </c>
    </row>
    <row r="383" spans="1:7">
      <c r="A383" s="3217" t="s">
        <v>3176</v>
      </c>
      <c r="B383" s="3206" t="s">
        <v>3180</v>
      </c>
      <c r="C383" s="3207">
        <v>0.15</v>
      </c>
      <c r="D383" s="3207">
        <v>0.15</v>
      </c>
      <c r="E383" s="3207">
        <v>0.15</v>
      </c>
      <c r="F383" s="3207">
        <v>0.14699999999999999</v>
      </c>
      <c r="G383" s="3208">
        <v>0.15</v>
      </c>
    </row>
    <row r="384" spans="1:7" ht="14.25" thickBot="1">
      <c r="A384" s="3227" t="s">
        <v>3176</v>
      </c>
      <c r="B384" s="3228" t="s">
        <v>3181</v>
      </c>
      <c r="C384" s="3229">
        <v>0.15</v>
      </c>
      <c r="D384" s="3229">
        <v>0.15</v>
      </c>
      <c r="E384" s="3229">
        <v>0.15</v>
      </c>
      <c r="F384" s="3229">
        <v>0.15</v>
      </c>
      <c r="G384" s="3230">
        <v>0.15</v>
      </c>
    </row>
  </sheetData>
  <sheetProtection password="CEE9" sheet="1" objects="1" scenarios="1"/>
  <mergeCells count="1">
    <mergeCell ref="A1:B1"/>
  </mergeCells>
  <phoneticPr fontId="13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24"/>
  <sheetViews>
    <sheetView zoomScale="80" zoomScaleNormal="80" workbookViewId="0">
      <selection activeCell="S10" sqref="S10:V10"/>
    </sheetView>
  </sheetViews>
  <sheetFormatPr defaultColWidth="9" defaultRowHeight="12.75"/>
  <cols>
    <col min="1" max="1" width="9" style="2440"/>
    <col min="2" max="6" width="9" style="2440" customWidth="1"/>
    <col min="7" max="7" width="9" style="2465" customWidth="1"/>
    <col min="8" max="12" width="9" style="2440" customWidth="1"/>
    <col min="13" max="13" width="2.1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796" t="s">
        <v>1855</v>
      </c>
      <c r="C1" s="3796"/>
      <c r="D1" s="3796"/>
      <c r="E1" s="3796"/>
      <c r="F1" s="3796"/>
      <c r="G1" s="3795" t="s">
        <v>1856</v>
      </c>
      <c r="H1" s="3795"/>
      <c r="I1" s="3795"/>
      <c r="J1" s="3795"/>
      <c r="K1" s="3795"/>
      <c r="L1" s="3795"/>
      <c r="N1" s="3795" t="s">
        <v>1857</v>
      </c>
      <c r="O1" s="3795"/>
      <c r="P1" s="3795"/>
      <c r="Q1" s="3795"/>
      <c r="S1" s="3795" t="s">
        <v>1858</v>
      </c>
      <c r="T1" s="3795"/>
      <c r="U1" s="3795"/>
      <c r="V1" s="3795"/>
      <c r="X1" s="3794" t="s">
        <v>1918</v>
      </c>
      <c r="Y1" s="3795"/>
      <c r="Z1" s="3795"/>
      <c r="AA1" s="3795"/>
      <c r="AB1" s="3795"/>
      <c r="AD1" s="3794" t="s">
        <v>1922</v>
      </c>
      <c r="AE1" s="3795"/>
      <c r="AF1" s="3795"/>
      <c r="AG1" s="3795"/>
      <c r="AH1" s="3795"/>
    </row>
    <row r="2" spans="1:34" s="2422" customFormat="1" ht="14.25" thickBot="1">
      <c r="B2" s="2423" t="s">
        <v>1859</v>
      </c>
      <c r="C2" s="2423" t="s">
        <v>1920</v>
      </c>
      <c r="D2" s="2424" t="s">
        <v>1179</v>
      </c>
      <c r="E2" s="2424" t="s">
        <v>1469</v>
      </c>
      <c r="F2" s="2423" t="s">
        <v>1921</v>
      </c>
      <c r="G2" s="2425"/>
      <c r="I2" s="2423" t="s">
        <v>2211</v>
      </c>
      <c r="J2" s="2424" t="s">
        <v>2213</v>
      </c>
      <c r="K2" s="2424" t="s">
        <v>2214</v>
      </c>
      <c r="L2" s="2423" t="s">
        <v>2215</v>
      </c>
      <c r="N2" s="2423" t="s">
        <v>1859</v>
      </c>
      <c r="O2" s="2424" t="s">
        <v>2212</v>
      </c>
      <c r="P2" s="2424" t="s">
        <v>1469</v>
      </c>
      <c r="Q2" s="2423" t="s">
        <v>1921</v>
      </c>
      <c r="S2" s="2423" t="s">
        <v>1859</v>
      </c>
      <c r="T2" s="2424" t="s">
        <v>2212</v>
      </c>
      <c r="U2" s="2424" t="s">
        <v>1469</v>
      </c>
      <c r="V2" s="2423" t="s">
        <v>1921</v>
      </c>
      <c r="X2" s="2423" t="s">
        <v>1859</v>
      </c>
      <c r="Y2" s="2423" t="s">
        <v>1920</v>
      </c>
      <c r="Z2" s="2424" t="s">
        <v>1179</v>
      </c>
      <c r="AA2" s="2424" t="s">
        <v>1469</v>
      </c>
      <c r="AB2" s="2423" t="s">
        <v>1921</v>
      </c>
      <c r="AD2" s="2423" t="s">
        <v>1859</v>
      </c>
      <c r="AE2" s="2423" t="s">
        <v>1920</v>
      </c>
      <c r="AF2" s="2424" t="s">
        <v>1179</v>
      </c>
      <c r="AG2" s="2424" t="s">
        <v>1469</v>
      </c>
      <c r="AH2" s="2423" t="s">
        <v>1921</v>
      </c>
    </row>
    <row r="3" spans="1:34" s="2430" customFormat="1" ht="14.25">
      <c r="A3" s="2426" t="s">
        <v>2222</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2443</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2442</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2441</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2440</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2439</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2288</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2287</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2286</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2285</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2283</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2282</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2247</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2245</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2243</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2242</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2240</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2239</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2238</v>
      </c>
      <c r="B22" s="2453">
        <f t="shared" si="11"/>
        <v>464.37293017158942</v>
      </c>
      <c r="C22" s="2453">
        <f t="shared" si="12"/>
        <v>344.73679941385956</v>
      </c>
      <c r="D22" s="2453">
        <f t="shared" si="2"/>
        <v>344.73679941385956</v>
      </c>
      <c r="E22" s="2453">
        <f t="shared" si="3"/>
        <v>663.2377795103107</v>
      </c>
      <c r="F22" s="2454">
        <f t="shared" si="4"/>
        <v>304.75936311478398</v>
      </c>
      <c r="G22" s="3798">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2231</v>
      </c>
      <c r="B23" s="2443">
        <f t="shared" si="11"/>
        <v>459.95733971036987</v>
      </c>
      <c r="C23" s="2443">
        <f t="shared" si="12"/>
        <v>341.22221064422405</v>
      </c>
      <c r="D23" s="2443">
        <f t="shared" si="2"/>
        <v>341.22221064422405</v>
      </c>
      <c r="E23" s="2443">
        <f t="shared" si="3"/>
        <v>657.19161663724799</v>
      </c>
      <c r="F23" s="2443">
        <f t="shared" si="4"/>
        <v>300.87803644464805</v>
      </c>
      <c r="G23" s="3798"/>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2232</v>
      </c>
      <c r="B24" s="2443">
        <f t="shared" si="11"/>
        <v>453.11529869999993</v>
      </c>
      <c r="C24" s="2443">
        <f t="shared" si="12"/>
        <v>336.47787264000004</v>
      </c>
      <c r="D24" s="2443">
        <f t="shared" si="2"/>
        <v>336.47787264000004</v>
      </c>
      <c r="E24" s="2443">
        <f t="shared" si="3"/>
        <v>647.35186823999993</v>
      </c>
      <c r="F24" s="2443">
        <f t="shared" si="4"/>
        <v>295.73229452000004</v>
      </c>
      <c r="G24" s="3798"/>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2228</v>
      </c>
      <c r="B25" s="2443">
        <f t="shared" si="11"/>
        <v>446.46299999999997</v>
      </c>
      <c r="C25" s="2443">
        <f t="shared" si="12"/>
        <v>333.27840000000003</v>
      </c>
      <c r="D25" s="2443">
        <f t="shared" ref="D25:D30" si="13">C25</f>
        <v>333.27840000000003</v>
      </c>
      <c r="E25" s="2443">
        <f t="shared" si="3"/>
        <v>637.28279999999995</v>
      </c>
      <c r="F25" s="2443">
        <f t="shared" si="4"/>
        <v>288.68830000000003</v>
      </c>
      <c r="G25" s="3804"/>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2221</v>
      </c>
      <c r="B26" s="2453">
        <v>439</v>
      </c>
      <c r="C26" s="2453">
        <v>327</v>
      </c>
      <c r="D26" s="2453">
        <f t="shared" si="13"/>
        <v>327</v>
      </c>
      <c r="E26" s="2453">
        <v>627</v>
      </c>
      <c r="F26" s="2454">
        <v>283</v>
      </c>
      <c r="G26" s="3803">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2223</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798"/>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1860</v>
      </c>
      <c r="B28" s="2443">
        <f t="shared" si="16"/>
        <v>419.31181600000002</v>
      </c>
      <c r="C28" s="2443">
        <f t="shared" si="16"/>
        <v>313.95436800000004</v>
      </c>
      <c r="D28" s="2443">
        <f t="shared" si="13"/>
        <v>313.95436800000004</v>
      </c>
      <c r="E28" s="2443">
        <f t="shared" si="17"/>
        <v>596.63028431999999</v>
      </c>
      <c r="F28" s="2443">
        <f t="shared" si="17"/>
        <v>274.74220703999998</v>
      </c>
      <c r="G28" s="3798"/>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1861</v>
      </c>
      <c r="B29" s="2443">
        <f t="shared" si="16"/>
        <v>405.524</v>
      </c>
      <c r="C29" s="2443">
        <f t="shared" si="16"/>
        <v>307.79840000000002</v>
      </c>
      <c r="D29" s="2443">
        <f t="shared" si="13"/>
        <v>307.79840000000002</v>
      </c>
      <c r="E29" s="2443">
        <f t="shared" si="17"/>
        <v>574.67759999999998</v>
      </c>
      <c r="F29" s="2443">
        <f t="shared" si="17"/>
        <v>270.20280000000002</v>
      </c>
      <c r="G29" s="3804"/>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803">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798"/>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798"/>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799"/>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797">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798"/>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798"/>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799"/>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797">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798"/>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798"/>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799"/>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1919</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1862</v>
      </c>
      <c r="B42" s="2461">
        <v>299</v>
      </c>
      <c r="C42" s="2461">
        <v>252</v>
      </c>
      <c r="D42" s="2461">
        <f t="shared" si="20"/>
        <v>252</v>
      </c>
      <c r="E42" s="2461">
        <v>409</v>
      </c>
      <c r="F42" s="2462">
        <v>227</v>
      </c>
      <c r="G42" s="3800">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1863</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801"/>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1864</v>
      </c>
      <c r="B44" s="2443">
        <f t="shared" si="27"/>
        <v>288.2649053828776</v>
      </c>
      <c r="C44" s="2443">
        <f t="shared" si="27"/>
        <v>243.64564425013293</v>
      </c>
      <c r="D44" s="2443">
        <f t="shared" si="20"/>
        <v>243.64564425013293</v>
      </c>
      <c r="E44" s="2443">
        <f t="shared" si="28"/>
        <v>393.31080825986544</v>
      </c>
      <c r="F44" s="2443">
        <f t="shared" si="28"/>
        <v>223.07903790551154</v>
      </c>
      <c r="G44" s="3801"/>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1865</v>
      </c>
      <c r="B45" s="2443">
        <f t="shared" si="27"/>
        <v>282.50186729015837</v>
      </c>
      <c r="C45" s="2443">
        <f t="shared" si="27"/>
        <v>238.09796174155468</v>
      </c>
      <c r="D45" s="2443">
        <f t="shared" si="20"/>
        <v>238.09796174155468</v>
      </c>
      <c r="E45" s="2443">
        <f t="shared" si="28"/>
        <v>385.33438646014054</v>
      </c>
      <c r="F45" s="2443">
        <f t="shared" si="28"/>
        <v>221.55034055567739</v>
      </c>
      <c r="G45" s="3802"/>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1866</v>
      </c>
      <c r="B46" s="2487">
        <v>278</v>
      </c>
      <c r="C46" s="2487">
        <v>234</v>
      </c>
      <c r="D46" s="2487">
        <f t="shared" si="20"/>
        <v>234</v>
      </c>
      <c r="E46" s="2487">
        <v>379</v>
      </c>
      <c r="F46" s="2488">
        <v>220</v>
      </c>
      <c r="G46" s="3797">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1867</v>
      </c>
      <c r="B47" s="2443">
        <f>B46/(1+N46)</f>
        <v>275.49301357645425</v>
      </c>
      <c r="C47" s="2443">
        <f>C46/(1+O46)</f>
        <v>232.41954707985698</v>
      </c>
      <c r="D47" s="2443">
        <f t="shared" si="20"/>
        <v>232.41954707985698</v>
      </c>
      <c r="E47" s="2443">
        <f t="shared" ref="E47:F49" si="29">E46/(1+P46)</f>
        <v>375.32184591008121</v>
      </c>
      <c r="F47" s="2443">
        <f t="shared" si="29"/>
        <v>218.03766105054513</v>
      </c>
      <c r="G47" s="3798"/>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1868</v>
      </c>
      <c r="B48" s="2443">
        <f>B47/(1+N47)</f>
        <v>275.24529281292263</v>
      </c>
      <c r="C48" s="2443">
        <f>C47/(1+O47)</f>
        <v>231.74747938962707</v>
      </c>
      <c r="D48" s="2443">
        <f t="shared" si="20"/>
        <v>231.74747938962707</v>
      </c>
      <c r="E48" s="2443">
        <f t="shared" si="29"/>
        <v>375.35938184826603</v>
      </c>
      <c r="F48" s="2443">
        <f t="shared" si="29"/>
        <v>216.78033510692495</v>
      </c>
      <c r="G48" s="3798"/>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1869</v>
      </c>
      <c r="B49" s="2443">
        <f>B48/(1+N48)</f>
        <v>275.19025476197027</v>
      </c>
      <c r="C49" s="2489">
        <v>232</v>
      </c>
      <c r="D49" s="2489">
        <f t="shared" si="20"/>
        <v>232</v>
      </c>
      <c r="E49" s="2443">
        <f t="shared" si="29"/>
        <v>375.65990977608692</v>
      </c>
      <c r="F49" s="2443">
        <f t="shared" si="29"/>
        <v>214.12518283971252</v>
      </c>
      <c r="G49" s="3799"/>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1870</v>
      </c>
      <c r="B50" s="2461">
        <v>275</v>
      </c>
      <c r="C50" s="2461">
        <v>232</v>
      </c>
      <c r="D50" s="2461">
        <f t="shared" si="20"/>
        <v>232</v>
      </c>
      <c r="E50" s="2461">
        <v>376</v>
      </c>
      <c r="F50" s="2462">
        <v>213</v>
      </c>
      <c r="G50" s="3797">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1871</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798">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1872</v>
      </c>
      <c r="B52" s="2443">
        <f t="shared" si="30"/>
        <v>275.19335084830601</v>
      </c>
      <c r="C52" s="2443">
        <f t="shared" si="30"/>
        <v>230.18088050139744</v>
      </c>
      <c r="D52" s="2443">
        <f t="shared" si="20"/>
        <v>230.18088050139744</v>
      </c>
      <c r="E52" s="2443">
        <f t="shared" si="31"/>
        <v>377.58482925212331</v>
      </c>
      <c r="F52" s="2443">
        <f t="shared" si="31"/>
        <v>210.90687997847917</v>
      </c>
      <c r="G52" s="3798">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1873</v>
      </c>
      <c r="B53" s="2443">
        <f t="shared" si="30"/>
        <v>276.29854502841971</v>
      </c>
      <c r="C53" s="2443">
        <f t="shared" si="30"/>
        <v>229.79023709833027</v>
      </c>
      <c r="D53" s="2443">
        <f t="shared" si="20"/>
        <v>229.79023709833027</v>
      </c>
      <c r="E53" s="2443">
        <f t="shared" si="31"/>
        <v>379.78759731655936</v>
      </c>
      <c r="F53" s="2443">
        <f t="shared" si="31"/>
        <v>211.32953905659235</v>
      </c>
      <c r="G53" s="3799">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1874</v>
      </c>
      <c r="B54" s="2461">
        <v>269</v>
      </c>
      <c r="C54" s="2461">
        <v>221</v>
      </c>
      <c r="D54" s="2461">
        <f t="shared" si="20"/>
        <v>221</v>
      </c>
      <c r="E54" s="2461">
        <v>373</v>
      </c>
      <c r="F54" s="2462">
        <v>196</v>
      </c>
      <c r="G54" s="3797">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1875</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798">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1876</v>
      </c>
      <c r="B56" s="2443">
        <f t="shared" si="32"/>
        <v>242.95398227588385</v>
      </c>
      <c r="C56" s="2443">
        <f t="shared" si="32"/>
        <v>199.59137053614126</v>
      </c>
      <c r="D56" s="2443">
        <f t="shared" si="20"/>
        <v>199.59137053614126</v>
      </c>
      <c r="E56" s="2443">
        <f t="shared" si="33"/>
        <v>335.92189522342125</v>
      </c>
      <c r="F56" s="2443">
        <f t="shared" si="33"/>
        <v>183.10139991109489</v>
      </c>
      <c r="G56" s="3798">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1877</v>
      </c>
      <c r="B57" s="2443">
        <f t="shared" si="32"/>
        <v>232.06990378821649</v>
      </c>
      <c r="C57" s="2443">
        <f t="shared" si="32"/>
        <v>192.74878854286936</v>
      </c>
      <c r="D57" s="2443">
        <f t="shared" si="20"/>
        <v>192.74878854286936</v>
      </c>
      <c r="E57" s="2443">
        <f t="shared" si="33"/>
        <v>319.71247284992984</v>
      </c>
      <c r="F57" s="2443">
        <f t="shared" si="33"/>
        <v>175.67053622862409</v>
      </c>
      <c r="G57" s="3799">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1878</v>
      </c>
      <c r="B58" s="2461">
        <v>220</v>
      </c>
      <c r="C58" s="2461">
        <v>187</v>
      </c>
      <c r="D58" s="2461">
        <f t="shared" si="20"/>
        <v>187</v>
      </c>
      <c r="E58" s="2461">
        <v>301</v>
      </c>
      <c r="F58" s="2462">
        <v>168</v>
      </c>
      <c r="G58" s="3797">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1879</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798">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1880</v>
      </c>
      <c r="B60" s="2443">
        <f t="shared" si="34"/>
        <v>210.630522469011</v>
      </c>
      <c r="C60" s="2443">
        <f t="shared" si="34"/>
        <v>181.69567812247232</v>
      </c>
      <c r="D60" s="2443">
        <f t="shared" si="20"/>
        <v>181.69567812247232</v>
      </c>
      <c r="E60" s="2443">
        <f t="shared" si="35"/>
        <v>286.13517466736738</v>
      </c>
      <c r="F60" s="2443">
        <f t="shared" si="35"/>
        <v>165.47535084591149</v>
      </c>
      <c r="G60" s="3798">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1881</v>
      </c>
      <c r="B61" s="2443">
        <f t="shared" si="34"/>
        <v>208.83454537875372</v>
      </c>
      <c r="C61" s="2443">
        <f t="shared" si="34"/>
        <v>183.77230517090351</v>
      </c>
      <c r="D61" s="2443">
        <f t="shared" si="20"/>
        <v>183.77230517090351</v>
      </c>
      <c r="E61" s="2443">
        <f t="shared" si="35"/>
        <v>281.10342338870947</v>
      </c>
      <c r="F61" s="2443">
        <f t="shared" si="35"/>
        <v>168.97309388942256</v>
      </c>
      <c r="G61" s="3799">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1882</v>
      </c>
      <c r="B62" s="2487">
        <v>214</v>
      </c>
      <c r="C62" s="2487">
        <v>188</v>
      </c>
      <c r="D62" s="2487">
        <f t="shared" si="20"/>
        <v>188</v>
      </c>
      <c r="E62" s="2487">
        <v>289</v>
      </c>
      <c r="F62" s="2488">
        <v>166</v>
      </c>
      <c r="G62" s="3797">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1883</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798">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1884</v>
      </c>
      <c r="B64" s="2443">
        <f t="shared" si="36"/>
        <v>206.31694671589116</v>
      </c>
      <c r="C64" s="2443">
        <f t="shared" si="36"/>
        <v>183.61041121036101</v>
      </c>
      <c r="D64" s="2443">
        <f t="shared" si="20"/>
        <v>183.61041121036101</v>
      </c>
      <c r="E64" s="2443">
        <f t="shared" si="37"/>
        <v>276.66850301795557</v>
      </c>
      <c r="F64" s="2443">
        <f t="shared" si="37"/>
        <v>165.1360938278614</v>
      </c>
      <c r="G64" s="3798">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1885</v>
      </c>
      <c r="B65" s="2490">
        <f t="shared" si="36"/>
        <v>196.62341248059772</v>
      </c>
      <c r="C65" s="2490">
        <f t="shared" si="36"/>
        <v>170.99125648199012</v>
      </c>
      <c r="D65" s="2490">
        <f t="shared" si="20"/>
        <v>170.99125648199012</v>
      </c>
      <c r="E65" s="2490">
        <f t="shared" si="37"/>
        <v>266.07857570490052</v>
      </c>
      <c r="F65" s="2490">
        <f t="shared" si="37"/>
        <v>154.53499328828505</v>
      </c>
      <c r="G65" s="3799">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1886</v>
      </c>
      <c r="B66" s="2461">
        <v>188</v>
      </c>
      <c r="C66" s="2461">
        <v>165</v>
      </c>
      <c r="D66" s="2461">
        <f t="shared" si="20"/>
        <v>165</v>
      </c>
      <c r="E66" s="2461">
        <v>254</v>
      </c>
      <c r="F66" s="2462">
        <v>148</v>
      </c>
      <c r="G66" s="3797">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1887</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798">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1888</v>
      </c>
      <c r="B68" s="2443">
        <f t="shared" si="40"/>
        <v>168.82017748715555</v>
      </c>
      <c r="C68" s="2443">
        <f t="shared" si="40"/>
        <v>148.06267029972753</v>
      </c>
      <c r="D68" s="2443">
        <f t="shared" si="20"/>
        <v>148.06267029972753</v>
      </c>
      <c r="E68" s="2443">
        <f t="shared" si="41"/>
        <v>216.46288379323747</v>
      </c>
      <c r="F68" s="2443">
        <f t="shared" si="41"/>
        <v>134.23529411764704</v>
      </c>
      <c r="G68" s="3798">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1889</v>
      </c>
      <c r="B69" s="2443">
        <f t="shared" si="40"/>
        <v>163.84913591779542</v>
      </c>
      <c r="C69" s="2443">
        <f t="shared" si="40"/>
        <v>145.0283378746594</v>
      </c>
      <c r="D69" s="2443">
        <f t="shared" si="20"/>
        <v>145.0283378746594</v>
      </c>
      <c r="E69" s="2443">
        <f t="shared" si="41"/>
        <v>204.95180722891567</v>
      </c>
      <c r="F69" s="2443">
        <f t="shared" si="41"/>
        <v>125.95920303605313</v>
      </c>
      <c r="G69" s="3799">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1890</v>
      </c>
      <c r="B70" s="2468">
        <v>159</v>
      </c>
      <c r="C70" s="2468">
        <v>141</v>
      </c>
      <c r="D70" s="2468">
        <f t="shared" si="20"/>
        <v>141</v>
      </c>
      <c r="E70" s="2468">
        <v>195</v>
      </c>
      <c r="F70" s="2469">
        <v>122</v>
      </c>
      <c r="G70" s="3797">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1891</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798">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1892</v>
      </c>
      <c r="B72" s="2443">
        <f t="shared" si="44"/>
        <v>146.57412060301507</v>
      </c>
      <c r="C72" s="2443">
        <f t="shared" si="44"/>
        <v>136.46831955922866</v>
      </c>
      <c r="D72" s="2443">
        <f t="shared" si="20"/>
        <v>136.46831955922866</v>
      </c>
      <c r="E72" s="2443">
        <f t="shared" si="45"/>
        <v>166.73864894795128</v>
      </c>
      <c r="F72" s="2443">
        <f t="shared" si="45"/>
        <v>115.05882352941177</v>
      </c>
      <c r="G72" s="3798">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1893</v>
      </c>
      <c r="B73" s="2443">
        <f t="shared" si="44"/>
        <v>144.04145728643215</v>
      </c>
      <c r="C73" s="2443">
        <f t="shared" si="44"/>
        <v>136.12396694214877</v>
      </c>
      <c r="D73" s="2443">
        <f t="shared" si="20"/>
        <v>136.12396694214877</v>
      </c>
      <c r="E73" s="2443">
        <f t="shared" si="45"/>
        <v>158.32225913621264</v>
      </c>
      <c r="F73" s="2443">
        <f t="shared" si="45"/>
        <v>114.04278074866311</v>
      </c>
      <c r="G73" s="3799">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1894</v>
      </c>
      <c r="B74" s="2468">
        <v>138</v>
      </c>
      <c r="C74" s="2468">
        <v>131</v>
      </c>
      <c r="D74" s="2468">
        <f t="shared" si="20"/>
        <v>131</v>
      </c>
      <c r="E74" s="2468">
        <v>155</v>
      </c>
      <c r="F74" s="2469">
        <v>114</v>
      </c>
      <c r="G74" s="3797">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1895</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798">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1896</v>
      </c>
      <c r="B76" s="2443">
        <f t="shared" si="48"/>
        <v>124.29032258064517</v>
      </c>
      <c r="C76" s="2443">
        <f t="shared" si="48"/>
        <v>123.8968609865471</v>
      </c>
      <c r="D76" s="2443">
        <f t="shared" si="20"/>
        <v>123.8968609865471</v>
      </c>
      <c r="E76" s="2443">
        <f t="shared" si="49"/>
        <v>138.00507614213197</v>
      </c>
      <c r="F76" s="2443">
        <f t="shared" si="49"/>
        <v>107.96106557377048</v>
      </c>
      <c r="G76" s="3798">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1897</v>
      </c>
      <c r="B77" s="2443">
        <f t="shared" si="48"/>
        <v>122.57204301075269</v>
      </c>
      <c r="C77" s="2443">
        <f t="shared" si="48"/>
        <v>123.4932735426009</v>
      </c>
      <c r="D77" s="2443">
        <f t="shared" si="20"/>
        <v>123.4932735426009</v>
      </c>
      <c r="E77" s="2443">
        <f t="shared" si="49"/>
        <v>129.82233502538071</v>
      </c>
      <c r="F77" s="2443">
        <f t="shared" si="49"/>
        <v>107.39446721311475</v>
      </c>
      <c r="G77" s="3799">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1898</v>
      </c>
      <c r="B78" s="2487">
        <v>121</v>
      </c>
      <c r="C78" s="2487">
        <v>122</v>
      </c>
      <c r="D78" s="2487">
        <f t="shared" si="20"/>
        <v>122</v>
      </c>
      <c r="E78" s="2487">
        <v>124</v>
      </c>
      <c r="F78" s="2488">
        <v>107</v>
      </c>
      <c r="G78" s="3797">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1899</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798">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1900</v>
      </c>
      <c r="B80" s="2443">
        <f t="shared" si="52"/>
        <v>116.99099099099099</v>
      </c>
      <c r="C80" s="2443">
        <f t="shared" si="52"/>
        <v>118.84848484848486</v>
      </c>
      <c r="D80" s="2443">
        <f t="shared" si="20"/>
        <v>118.84848484848486</v>
      </c>
      <c r="E80" s="2443">
        <f t="shared" si="53"/>
        <v>117.60960960960961</v>
      </c>
      <c r="F80" s="2443">
        <f t="shared" si="53"/>
        <v>104</v>
      </c>
      <c r="G80" s="3798">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1901</v>
      </c>
      <c r="B81" s="2490">
        <f t="shared" si="52"/>
        <v>112.48648648648648</v>
      </c>
      <c r="C81" s="2490">
        <f t="shared" si="52"/>
        <v>115.21212121212122</v>
      </c>
      <c r="D81" s="2490">
        <f t="shared" si="20"/>
        <v>115.21212121212122</v>
      </c>
      <c r="E81" s="2490">
        <f t="shared" si="53"/>
        <v>110.4024024024024</v>
      </c>
      <c r="F81" s="2490">
        <f t="shared" si="53"/>
        <v>104</v>
      </c>
      <c r="G81" s="3799">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1902</v>
      </c>
      <c r="B82" s="2507">
        <v>111</v>
      </c>
      <c r="C82" s="2507">
        <v>114</v>
      </c>
      <c r="D82" s="2507">
        <f t="shared" si="20"/>
        <v>114</v>
      </c>
      <c r="E82" s="2507">
        <v>108</v>
      </c>
      <c r="F82" s="2508">
        <v>104</v>
      </c>
      <c r="G82" s="3797">
        <v>2003</v>
      </c>
      <c r="H82" s="2497">
        <v>4</v>
      </c>
      <c r="I82" s="2509"/>
      <c r="J82" s="2509"/>
      <c r="K82" s="2509"/>
      <c r="L82" s="2509"/>
      <c r="N82" s="2510"/>
      <c r="O82" s="2509"/>
      <c r="P82" s="2509"/>
      <c r="Q82" s="2509"/>
      <c r="S82" s="2510"/>
      <c r="T82" s="2509"/>
      <c r="U82" s="2509"/>
      <c r="V82" s="2509"/>
      <c r="X82" s="2501"/>
      <c r="Y82" s="2501"/>
      <c r="Z82" s="2501"/>
    </row>
    <row r="83" spans="1:26">
      <c r="A83" s="2442" t="s">
        <v>1903</v>
      </c>
      <c r="B83" s="2511">
        <f t="shared" ref="B83:C85" si="54">B84+(B$82-B$86)/4</f>
        <v>109.75</v>
      </c>
      <c r="C83" s="2511">
        <f t="shared" si="54"/>
        <v>112.25</v>
      </c>
      <c r="D83" s="2511">
        <f t="shared" si="20"/>
        <v>112.25</v>
      </c>
      <c r="E83" s="2511">
        <f t="shared" ref="E83:F85" si="55">E84+(E$82-E$86)/4</f>
        <v>107.25</v>
      </c>
      <c r="F83" s="2511">
        <f t="shared" si="55"/>
        <v>103.5</v>
      </c>
      <c r="G83" s="3798">
        <v>2003</v>
      </c>
      <c r="H83" s="2466">
        <v>3</v>
      </c>
      <c r="I83" s="2509"/>
      <c r="J83" s="2509"/>
      <c r="K83" s="2509"/>
      <c r="L83" s="2509"/>
      <c r="X83" s="2501"/>
      <c r="Y83" s="2501"/>
      <c r="Z83" s="2501"/>
    </row>
    <row r="84" spans="1:26">
      <c r="A84" s="2442" t="s">
        <v>1904</v>
      </c>
      <c r="B84" s="2511">
        <f t="shared" si="54"/>
        <v>108.5</v>
      </c>
      <c r="C84" s="2511">
        <f t="shared" si="54"/>
        <v>110.5</v>
      </c>
      <c r="D84" s="2511">
        <f t="shared" si="20"/>
        <v>110.5</v>
      </c>
      <c r="E84" s="2511">
        <f t="shared" si="55"/>
        <v>106.5</v>
      </c>
      <c r="F84" s="2511">
        <f t="shared" si="55"/>
        <v>103</v>
      </c>
      <c r="G84" s="3798">
        <v>2003</v>
      </c>
      <c r="H84" s="2457">
        <v>2</v>
      </c>
      <c r="I84" s="2509"/>
      <c r="J84" s="2509"/>
      <c r="K84" s="2509"/>
      <c r="L84" s="2509"/>
      <c r="X84" s="2501"/>
      <c r="Y84" s="2501"/>
      <c r="Z84" s="2501"/>
    </row>
    <row r="85" spans="1:26" ht="13.5" thickBot="1">
      <c r="A85" s="2442" t="s">
        <v>1905</v>
      </c>
      <c r="B85" s="2511">
        <f t="shared" si="54"/>
        <v>107.25</v>
      </c>
      <c r="C85" s="2511">
        <f t="shared" si="54"/>
        <v>108.75</v>
      </c>
      <c r="D85" s="2511">
        <f t="shared" si="20"/>
        <v>108.75</v>
      </c>
      <c r="E85" s="2511">
        <f t="shared" si="55"/>
        <v>105.75</v>
      </c>
      <c r="F85" s="2511">
        <f t="shared" si="55"/>
        <v>102.5</v>
      </c>
      <c r="G85" s="3799">
        <v>2003</v>
      </c>
      <c r="H85" s="2512">
        <v>1</v>
      </c>
      <c r="I85" s="2509"/>
      <c r="J85" s="2509"/>
      <c r="K85" s="2509"/>
      <c r="L85" s="2509"/>
      <c r="S85" s="2445"/>
      <c r="T85" s="2441"/>
      <c r="U85" s="2441"/>
      <c r="X85" s="2501"/>
      <c r="Y85" s="2501"/>
      <c r="Z85" s="2501"/>
    </row>
    <row r="86" spans="1:26" ht="13.5" thickBot="1">
      <c r="A86" s="2442" t="s">
        <v>1906</v>
      </c>
      <c r="B86" s="2513">
        <v>106</v>
      </c>
      <c r="C86" s="2513">
        <v>107</v>
      </c>
      <c r="D86" s="2513">
        <f t="shared" si="20"/>
        <v>107</v>
      </c>
      <c r="E86" s="2513">
        <v>105</v>
      </c>
      <c r="F86" s="2514">
        <v>102</v>
      </c>
      <c r="G86" s="3797">
        <v>2002</v>
      </c>
      <c r="H86" s="2463">
        <v>4</v>
      </c>
      <c r="I86" s="2509"/>
      <c r="J86" s="2509"/>
      <c r="K86" s="2509"/>
      <c r="L86" s="2509"/>
      <c r="N86" s="2510"/>
      <c r="O86" s="2509"/>
      <c r="P86" s="2509"/>
      <c r="Q86" s="2509"/>
      <c r="S86" s="2510"/>
      <c r="T86" s="2509"/>
      <c r="U86" s="2509"/>
      <c r="V86" s="2509"/>
      <c r="X86" s="2501"/>
      <c r="Y86" s="2501"/>
      <c r="Z86" s="2501"/>
    </row>
    <row r="87" spans="1:26">
      <c r="A87" s="2442" t="s">
        <v>1907</v>
      </c>
      <c r="B87" s="2511">
        <f t="shared" ref="B87:C89" si="56">B88+(B$86-B$90)/4</f>
        <v>105</v>
      </c>
      <c r="C87" s="2511">
        <f t="shared" si="56"/>
        <v>106</v>
      </c>
      <c r="D87" s="2511">
        <f t="shared" si="20"/>
        <v>106</v>
      </c>
      <c r="E87" s="2511">
        <f t="shared" ref="E87:F89" si="57">E88+(E$86-E$90)/4</f>
        <v>104.5</v>
      </c>
      <c r="F87" s="2511">
        <f t="shared" si="57"/>
        <v>101.5</v>
      </c>
      <c r="G87" s="3798">
        <v>2002</v>
      </c>
      <c r="H87" s="2466">
        <v>3</v>
      </c>
      <c r="I87" s="2509"/>
      <c r="J87" s="2509"/>
      <c r="K87" s="2509"/>
      <c r="L87" s="2509"/>
      <c r="X87" s="2501"/>
      <c r="Y87" s="2501"/>
      <c r="Z87" s="2501"/>
    </row>
    <row r="88" spans="1:26">
      <c r="A88" s="2442" t="s">
        <v>1908</v>
      </c>
      <c r="B88" s="2511">
        <f t="shared" si="56"/>
        <v>104</v>
      </c>
      <c r="C88" s="2511">
        <f t="shared" si="56"/>
        <v>105</v>
      </c>
      <c r="D88" s="2511">
        <f t="shared" si="20"/>
        <v>105</v>
      </c>
      <c r="E88" s="2511">
        <f t="shared" si="57"/>
        <v>104</v>
      </c>
      <c r="F88" s="2511">
        <f t="shared" si="57"/>
        <v>101</v>
      </c>
      <c r="G88" s="3798">
        <v>2002</v>
      </c>
      <c r="H88" s="2457">
        <v>2</v>
      </c>
      <c r="I88" s="2509"/>
      <c r="J88" s="2509"/>
      <c r="K88" s="2509"/>
      <c r="L88" s="2509"/>
      <c r="X88" s="2501"/>
      <c r="Y88" s="2501"/>
      <c r="Z88" s="2501"/>
    </row>
    <row r="89" spans="1:26" s="2476" customFormat="1" ht="13.5" thickBot="1">
      <c r="A89" s="2472" t="s">
        <v>1909</v>
      </c>
      <c r="B89" s="2479">
        <f t="shared" si="56"/>
        <v>103</v>
      </c>
      <c r="C89" s="2479">
        <f t="shared" si="56"/>
        <v>104</v>
      </c>
      <c r="D89" s="2479">
        <f t="shared" si="20"/>
        <v>104</v>
      </c>
      <c r="E89" s="2479">
        <f t="shared" si="57"/>
        <v>103.5</v>
      </c>
      <c r="F89" s="2479">
        <f t="shared" si="57"/>
        <v>100.5</v>
      </c>
      <c r="G89" s="3799">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1910</v>
      </c>
      <c r="G92" s="2524"/>
      <c r="N92" s="2524"/>
      <c r="S92" s="2524"/>
    </row>
    <row r="93" spans="1:26" s="2523" customFormat="1">
      <c r="A93" s="2523" t="s">
        <v>1911</v>
      </c>
      <c r="G93" s="2524"/>
      <c r="N93" s="2524"/>
      <c r="S93" s="2524"/>
    </row>
    <row r="94" spans="1:26" s="2523" customFormat="1">
      <c r="A94" s="2523" t="s">
        <v>1912</v>
      </c>
      <c r="G94" s="2524"/>
      <c r="I94" s="2525"/>
      <c r="J94" s="2525"/>
      <c r="K94" s="2525"/>
      <c r="L94" s="2525"/>
      <c r="N94" s="2526"/>
      <c r="O94" s="2525"/>
      <c r="P94" s="2525"/>
      <c r="Q94" s="2525"/>
      <c r="S94" s="2526"/>
      <c r="T94" s="2525"/>
      <c r="U94" s="2525"/>
      <c r="V94" s="2525"/>
    </row>
    <row r="95" spans="1:26" s="2523" customFormat="1">
      <c r="A95" s="2523" t="s">
        <v>1913</v>
      </c>
      <c r="G95" s="2524"/>
      <c r="N95" s="2524"/>
      <c r="S95" s="2524"/>
    </row>
    <row r="102" spans="7:22" ht="13.5" thickBot="1"/>
    <row r="103" spans="7:22">
      <c r="G103" s="2440"/>
      <c r="S103" s="2527" t="s">
        <v>1914</v>
      </c>
      <c r="T103" s="2466" t="s">
        <v>1915</v>
      </c>
      <c r="U103" s="2466" t="s">
        <v>1916</v>
      </c>
      <c r="V103" s="2466" t="s">
        <v>1917</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3"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D42"/>
  <sheetViews>
    <sheetView zoomScale="70" zoomScaleNormal="70" workbookViewId="0">
      <selection activeCell="H49" sqref="H49"/>
    </sheetView>
  </sheetViews>
  <sheetFormatPr defaultColWidth="8.875" defaultRowHeight="13.5"/>
  <cols>
    <col min="1" max="1" width="12.375" customWidth="1"/>
    <col min="11" max="17" width="0" hidden="1" customWidth="1"/>
    <col min="24" max="30" width="0" hidden="1" customWidth="1"/>
  </cols>
  <sheetData>
    <row r="1" spans="1:30">
      <c r="A1" s="3133">
        <f>基准地价!G23</f>
        <v>45196</v>
      </c>
      <c r="B1" s="3090" t="s">
        <v>2785</v>
      </c>
      <c r="C1" s="3091"/>
      <c r="D1" s="3091"/>
      <c r="E1" s="3091"/>
      <c r="F1" s="3091"/>
      <c r="G1" s="3091"/>
      <c r="H1" s="3091"/>
      <c r="I1" s="3091"/>
      <c r="J1" s="3092"/>
      <c r="K1" s="3091" t="s">
        <v>2786</v>
      </c>
      <c r="L1" s="3091"/>
      <c r="M1" s="3091"/>
      <c r="N1" s="3091"/>
      <c r="O1" s="3091"/>
      <c r="P1" s="3091"/>
      <c r="Q1" s="3092"/>
      <c r="R1" s="3805" t="s">
        <v>2795</v>
      </c>
      <c r="S1" s="3806"/>
      <c r="T1" s="3806"/>
      <c r="U1" s="3806"/>
      <c r="V1" s="3806"/>
      <c r="W1" s="3806"/>
      <c r="X1" s="3092"/>
      <c r="Y1" s="3805" t="s">
        <v>2806</v>
      </c>
      <c r="Z1" s="3806"/>
      <c r="AA1" s="3806"/>
      <c r="AB1" s="3806"/>
      <c r="AC1" s="3806"/>
      <c r="AD1" s="3806"/>
    </row>
    <row r="2" spans="1:30" ht="14.25" thickBot="1">
      <c r="A2" s="3085"/>
      <c r="B2" s="3093"/>
      <c r="C2" s="3094"/>
      <c r="D2" s="2423" t="s">
        <v>2788</v>
      </c>
      <c r="E2" s="2424" t="s">
        <v>2789</v>
      </c>
      <c r="F2" s="2424" t="s">
        <v>2790</v>
      </c>
      <c r="G2" s="2424" t="s">
        <v>2791</v>
      </c>
      <c r="H2" s="2424" t="s">
        <v>2792</v>
      </c>
      <c r="I2" s="2424" t="s">
        <v>2734</v>
      </c>
      <c r="J2" s="3095"/>
      <c r="K2" s="2423" t="s">
        <v>2788</v>
      </c>
      <c r="L2" s="2424" t="s">
        <v>2789</v>
      </c>
      <c r="M2" s="2424" t="s">
        <v>2790</v>
      </c>
      <c r="N2" s="2424" t="s">
        <v>2791</v>
      </c>
      <c r="O2" s="2424" t="s">
        <v>2792</v>
      </c>
      <c r="P2" s="2424" t="s">
        <v>2734</v>
      </c>
      <c r="Q2" s="3095"/>
      <c r="R2" s="2423" t="s">
        <v>2796</v>
      </c>
      <c r="S2" s="2424" t="s">
        <v>2797</v>
      </c>
      <c r="T2" s="2424" t="s">
        <v>2798</v>
      </c>
      <c r="U2" s="2424" t="s">
        <v>2799</v>
      </c>
      <c r="V2" s="2424" t="s">
        <v>2800</v>
      </c>
      <c r="W2" s="2424" t="s">
        <v>2801</v>
      </c>
      <c r="X2" s="3095"/>
      <c r="Y2" s="2423" t="s">
        <v>2788</v>
      </c>
      <c r="Z2" s="2424" t="s">
        <v>1470</v>
      </c>
      <c r="AA2" s="2424" t="s">
        <v>2807</v>
      </c>
      <c r="AB2" s="2424" t="s">
        <v>1469</v>
      </c>
      <c r="AC2" s="2424" t="s">
        <v>2792</v>
      </c>
      <c r="AD2" s="2424" t="s">
        <v>2451</v>
      </c>
    </row>
    <row r="3" spans="1:30">
      <c r="A3" s="3086" t="s">
        <v>2776</v>
      </c>
      <c r="B3" s="3096"/>
      <c r="C3" s="3097"/>
      <c r="D3" s="3097">
        <f>ROUND(AVERAGEIF(D4:D18,"&lt;&gt;0"),2)</f>
        <v>0.7</v>
      </c>
      <c r="E3" s="3097">
        <f>ROUND(AVERAGEIF(E4:E18,"&lt;&gt;0"),2)</f>
        <v>0.41</v>
      </c>
      <c r="F3" s="3097">
        <f>ROUND(AVERAGEIF(F4:F18,"&lt;&gt;0"),2)</f>
        <v>0.23</v>
      </c>
      <c r="G3" s="3097">
        <f>ROUND(AVERAGEIF(G4:G18,"&lt;&gt;0"),2)</f>
        <v>0.84</v>
      </c>
      <c r="H3" s="3097">
        <f>ROUND(AVERAGEIF(H4:H18,"&lt;&gt;0"),2)</f>
        <v>0.63</v>
      </c>
      <c r="I3" s="3097">
        <f>F3</f>
        <v>0.23</v>
      </c>
      <c r="J3" s="3098"/>
      <c r="K3" s="3099">
        <f>ROUND(AVERAGEIF(K4:K18,"&lt;&gt;0"),4)</f>
        <v>7.0000000000000001E-3</v>
      </c>
      <c r="L3" s="3100">
        <f>ROUND(AVERAGEIF(L4:L18,"&lt;&gt;0"),4)</f>
        <v>4.1000000000000003E-3</v>
      </c>
      <c r="M3" s="3100">
        <f>ROUND(AVERAGEIF(M4:M18,"&lt;&gt;0"),4)</f>
        <v>2.3E-3</v>
      </c>
      <c r="N3" s="3100">
        <f>ROUND(AVERAGEIF(N4:N18,"&lt;&gt;0"),4)</f>
        <v>8.3999999999999995E-3</v>
      </c>
      <c r="O3" s="3100">
        <f>ROUND(AVERAGEIF(O4:O18,"&lt;&gt;0"),4)</f>
        <v>6.3E-3</v>
      </c>
      <c r="P3" s="3100">
        <f>M3</f>
        <v>2.3E-3</v>
      </c>
      <c r="Q3" s="3098"/>
      <c r="R3" s="3113">
        <f>ROUND(SUMPRODUCT(PRODUCT(1+K4:K18)),4)</f>
        <v>1.0942000000000001</v>
      </c>
      <c r="S3" s="3114">
        <f>ROUND(SUMPRODUCT(PRODUCT(1+L4:L18)),4)</f>
        <v>1.0463</v>
      </c>
      <c r="T3" s="3114">
        <f>ROUND(SUMPRODUCT(PRODUCT(1+M4:M18)),4)</f>
        <v>1.0257000000000001</v>
      </c>
      <c r="U3" s="3114">
        <f>ROUND(SUMPRODUCT(PRODUCT(1+N4:N18)),4)</f>
        <v>1.0961000000000001</v>
      </c>
      <c r="V3" s="3114">
        <f>ROUND(SUMPRODUCT(PRODUCT(1+O4:O18)),4)</f>
        <v>1.0713999999999999</v>
      </c>
      <c r="W3" s="3113">
        <f>T3</f>
        <v>1.0257000000000001</v>
      </c>
      <c r="X3" s="3098"/>
      <c r="Y3" s="3120">
        <f>ROUND(AVERAGEIF(Y5:Y18,"&lt;&gt;0"),4)</f>
        <v>8.3000000000000001E-3</v>
      </c>
      <c r="Z3" s="3121">
        <f>ROUND(AVERAGEIF(Z5:Z18,"&lt;&gt;0"),4)</f>
        <v>3.7000000000000002E-3</v>
      </c>
      <c r="AA3" s="3122">
        <f>ROUND(AVERAGEIF(AA5:AA18,"&lt;&gt;0"),4)</f>
        <v>1.1999999999999999E-3</v>
      </c>
      <c r="AB3" s="3120">
        <f>ROUND(AVERAGEIF(AB5:AB18,"&lt;&gt;0"),4)</f>
        <v>9.2999999999999992E-3</v>
      </c>
      <c r="AC3" s="3123">
        <f>ROUND(AVERAGEIF(AC5:AC18,"&lt;&gt;0"),4)</f>
        <v>6.1999999999999998E-3</v>
      </c>
      <c r="AD3" s="3120">
        <f>AA3</f>
        <v>1.1999999999999999E-3</v>
      </c>
    </row>
    <row r="4" spans="1:30">
      <c r="A4" s="2439"/>
      <c r="B4" s="3134"/>
      <c r="C4" s="3135"/>
      <c r="D4" s="3135"/>
      <c r="E4" s="3135"/>
      <c r="F4" s="3135"/>
      <c r="G4" s="3135"/>
      <c r="H4" s="3135"/>
      <c r="I4" s="3135"/>
      <c r="J4" s="3092"/>
      <c r="K4" s="3102"/>
      <c r="L4" s="3103"/>
      <c r="M4" s="3103"/>
      <c r="N4" s="3103"/>
      <c r="O4" s="3103"/>
      <c r="P4" s="3103"/>
      <c r="Q4" s="3092"/>
      <c r="R4" s="3115"/>
      <c r="S4" s="3116"/>
      <c r="T4" s="3117"/>
      <c r="U4" s="3115"/>
      <c r="V4" s="3118"/>
      <c r="W4" s="3115"/>
      <c r="X4" s="3092"/>
      <c r="Y4" s="3106"/>
      <c r="Z4" s="3124"/>
      <c r="AA4" s="3125"/>
      <c r="AB4" s="3106"/>
      <c r="AC4" s="3126"/>
      <c r="AD4" s="3106"/>
    </row>
    <row r="5" spans="1:30">
      <c r="A5" s="3389" t="s">
        <v>3255</v>
      </c>
      <c r="B5" s="3136">
        <v>2023</v>
      </c>
      <c r="C5" s="3137">
        <v>4</v>
      </c>
      <c r="D5" s="3137">
        <v>0</v>
      </c>
      <c r="E5" s="3137">
        <v>0</v>
      </c>
      <c r="F5" s="3137">
        <v>0</v>
      </c>
      <c r="G5" s="3137">
        <v>0</v>
      </c>
      <c r="H5" s="3137">
        <v>0</v>
      </c>
      <c r="I5" s="3138">
        <f t="shared" ref="I5:I18" si="0">F5</f>
        <v>0</v>
      </c>
      <c r="J5" s="3104"/>
      <c r="K5" s="3105">
        <f t="shared" ref="K5:O18" si="1">D5/100</f>
        <v>0</v>
      </c>
      <c r="L5" s="3106">
        <f t="shared" si="1"/>
        <v>0</v>
      </c>
      <c r="M5" s="3106">
        <f t="shared" si="1"/>
        <v>0</v>
      </c>
      <c r="N5" s="3106">
        <f t="shared" si="1"/>
        <v>0</v>
      </c>
      <c r="O5" s="3106">
        <f t="shared" si="1"/>
        <v>0</v>
      </c>
      <c r="P5" s="3106">
        <f>M5</f>
        <v>0</v>
      </c>
      <c r="Q5" s="3104"/>
      <c r="R5" s="3115">
        <f>ROUND(IF(项目基本情况!$B$8="出让",SUMPRODUCT(PRODUCT(1+K5:$K$18)),SUMPRODUCT(PRODUCT(1+K5:$K$17))),4)</f>
        <v>1.0837000000000001</v>
      </c>
      <c r="S5" s="3115">
        <f>ROUND(IF(项目基本情况!$B$8="出让",SUMPRODUCT(PRODUCT(1+L5:$L$18)),SUMPRODUCT(PRODUCT(1+L5:$L$17))),4)</f>
        <v>1.0447</v>
      </c>
      <c r="T5" s="3115">
        <f>ROUND(IF(项目基本情况!$B$8="出让",SUMPRODUCT(PRODUCT(1+M5:$M$18)),SUMPRODUCT(PRODUCT(1+M5:$M$17))),4)</f>
        <v>1.0282</v>
      </c>
      <c r="U5" s="3115">
        <f>ROUND(IF(项目基本情况!$B$8="出让",SUMPRODUCT(PRODUCT(1+N5:$N$18)),SUMPRODUCT(PRODUCT(1+N5:$N$17))),4)</f>
        <v>1.0841000000000001</v>
      </c>
      <c r="V5" s="3115">
        <f>ROUND(IF(项目基本情况!$B$8="出让",SUMPRODUCT(PRODUCT(1+O5:$O$18)),SUMPRODUCT(PRODUCT(1+O5:$O$17))),4)</f>
        <v>1.0674999999999999</v>
      </c>
      <c r="W5" s="3115">
        <f>T5</f>
        <v>1.0282</v>
      </c>
      <c r="X5" s="3104"/>
      <c r="Y5" s="3106">
        <f>IF(D5=0,0,ROUND(AVERAGE(D5:D18)/100,4))</f>
        <v>0</v>
      </c>
      <c r="Z5" s="3106">
        <f>IF(E5=0,0,ROUND(AVERAGE(E5:E18)/100,4))</f>
        <v>0</v>
      </c>
      <c r="AA5" s="3106">
        <f>IF(F5=0,0,ROUND(AVERAGE(F5:F18)/100,4))</f>
        <v>0</v>
      </c>
      <c r="AB5" s="3106">
        <f>IF(G5=0,0,ROUND(AVERAGE(G5:G18)/100,4))</f>
        <v>0</v>
      </c>
      <c r="AC5" s="3106">
        <f>IF(H5=0,0,ROUND(AVERAGE(H5:H18)/100,4))</f>
        <v>0</v>
      </c>
      <c r="AD5" s="3106">
        <f t="shared" ref="AD5:AD17" si="2">AA5</f>
        <v>0</v>
      </c>
    </row>
    <row r="6" spans="1:30">
      <c r="A6" s="3389" t="s">
        <v>3256</v>
      </c>
      <c r="B6" s="3136">
        <v>2023</v>
      </c>
      <c r="C6" s="3137">
        <v>3</v>
      </c>
      <c r="D6" s="3137">
        <v>0.25</v>
      </c>
      <c r="E6" s="3137">
        <v>0</v>
      </c>
      <c r="F6" s="3137">
        <v>0</v>
      </c>
      <c r="G6" s="3137">
        <v>0</v>
      </c>
      <c r="H6" s="3143">
        <v>0</v>
      </c>
      <c r="I6" s="3138">
        <f t="shared" si="0"/>
        <v>0</v>
      </c>
      <c r="J6" s="3104"/>
      <c r="K6" s="3105">
        <f t="shared" ref="K6" si="3">D6/100</f>
        <v>2.5000000000000001E-3</v>
      </c>
      <c r="L6" s="3106">
        <f t="shared" ref="L6" si="4">E6/100</f>
        <v>0</v>
      </c>
      <c r="M6" s="3106">
        <f t="shared" ref="M6" si="5">F6/100</f>
        <v>0</v>
      </c>
      <c r="N6" s="3106">
        <f t="shared" ref="N6" si="6">G6/100</f>
        <v>0</v>
      </c>
      <c r="O6" s="3106">
        <f t="shared" ref="O6" si="7">H6/100</f>
        <v>0</v>
      </c>
      <c r="P6" s="3106">
        <f t="shared" ref="P6" si="8">M6</f>
        <v>0</v>
      </c>
      <c r="Q6" s="3104"/>
      <c r="R6" s="3115">
        <f>ROUND(IF(项目基本情况!$B$8="出让",SUMPRODUCT(PRODUCT(1+K6:$K$18)),SUMPRODUCT(PRODUCT(1+K6:$K$17))),4)</f>
        <v>1.0837000000000001</v>
      </c>
      <c r="S6" s="3115">
        <f>ROUND(IF(项目基本情况!$B$8="出让",SUMPRODUCT(PRODUCT(1+L6:$L$18)),SUMPRODUCT(PRODUCT(1+L6:$L$17))),4)</f>
        <v>1.0447</v>
      </c>
      <c r="T6" s="3115">
        <f>ROUND(IF(项目基本情况!$B$8="出让",SUMPRODUCT(PRODUCT(1+M6:$M$18)),SUMPRODUCT(PRODUCT(1+M6:$M$17))),4)</f>
        <v>1.0282</v>
      </c>
      <c r="U6" s="3115">
        <f>ROUND(IF(项目基本情况!$B$8="出让",SUMPRODUCT(PRODUCT(1+N6:$N$18)),SUMPRODUCT(PRODUCT(1+N6:$N$17))),4)</f>
        <v>1.0841000000000001</v>
      </c>
      <c r="V6" s="3115">
        <f>ROUND(IF(项目基本情况!$B$8="出让",SUMPRODUCT(PRODUCT(1+O6:$O$18)),SUMPRODUCT(PRODUCT(1+O6:$O$17))),4)</f>
        <v>1.0674999999999999</v>
      </c>
      <c r="W6" s="3115">
        <f t="shared" ref="W6" si="9">T6</f>
        <v>1.0282</v>
      </c>
      <c r="X6" s="3104"/>
      <c r="Y6" s="3106">
        <f t="shared" ref="Y6" si="10">IF(D6=0,0,ROUND(AVERAGE(D6:D17)/100,4))</f>
        <v>6.7000000000000002E-3</v>
      </c>
      <c r="Z6" s="3106">
        <f t="shared" ref="Z6" si="11">IF(E6=0,0,ROUND(AVERAGE(E6:E17)/100,4))</f>
        <v>0</v>
      </c>
      <c r="AA6" s="3106">
        <f t="shared" ref="AA6" si="12">IF(F6=0,0,ROUND(AVERAGE(F6:F17)/100,4))</f>
        <v>0</v>
      </c>
      <c r="AB6" s="3106">
        <f t="shared" ref="AB6" si="13">IF(G6=0,0,ROUND(AVERAGE(G6:G17)/100,4))</f>
        <v>0</v>
      </c>
      <c r="AC6" s="3106">
        <f t="shared" ref="AC6" si="14">IF(H6=0,0,ROUND(AVERAGE(H6:H17)/100,4))</f>
        <v>0</v>
      </c>
      <c r="AD6" s="3106">
        <f t="shared" ref="AD6" si="15">AA6</f>
        <v>0</v>
      </c>
    </row>
    <row r="7" spans="1:30">
      <c r="A7" s="3389" t="s">
        <v>3257</v>
      </c>
      <c r="B7" s="3136">
        <v>2023</v>
      </c>
      <c r="C7" s="3137">
        <v>3</v>
      </c>
      <c r="D7" s="3137">
        <v>0.25</v>
      </c>
      <c r="E7" s="3137">
        <v>0</v>
      </c>
      <c r="F7" s="3137">
        <v>0</v>
      </c>
      <c r="G7" s="3137">
        <v>0</v>
      </c>
      <c r="H7" s="3143">
        <v>0</v>
      </c>
      <c r="I7" s="3138">
        <f t="shared" ref="I7" si="16">F7</f>
        <v>0</v>
      </c>
      <c r="J7" s="3104"/>
      <c r="K7" s="3105">
        <f t="shared" si="1"/>
        <v>2.5000000000000001E-3</v>
      </c>
      <c r="L7" s="3106">
        <f t="shared" si="1"/>
        <v>0</v>
      </c>
      <c r="M7" s="3106">
        <f t="shared" si="1"/>
        <v>0</v>
      </c>
      <c r="N7" s="3106">
        <f t="shared" si="1"/>
        <v>0</v>
      </c>
      <c r="O7" s="3106">
        <f t="shared" si="1"/>
        <v>0</v>
      </c>
      <c r="P7" s="3106">
        <f t="shared" ref="P7" si="17">M7</f>
        <v>0</v>
      </c>
      <c r="Q7" s="3104"/>
      <c r="R7" s="3115">
        <f>ROUND(IF(项目基本情况!$B$8="出让",SUMPRODUCT(PRODUCT(1+K7:$K$18)),SUMPRODUCT(PRODUCT(1+K7:$K$17))),4)</f>
        <v>1.081</v>
      </c>
      <c r="S7" s="3115">
        <f>ROUND(IF(项目基本情况!$B$8="出让",SUMPRODUCT(PRODUCT(1+L7:$L$18)),SUMPRODUCT(PRODUCT(1+L7:$L$17))),4)</f>
        <v>1.0447</v>
      </c>
      <c r="T7" s="3115">
        <f>ROUND(IF(项目基本情况!$B$8="出让",SUMPRODUCT(PRODUCT(1+M7:$M$18)),SUMPRODUCT(PRODUCT(1+M7:$M$17))),4)</f>
        <v>1.0282</v>
      </c>
      <c r="U7" s="3115">
        <f>ROUND(IF(项目基本情况!$B$8="出让",SUMPRODUCT(PRODUCT(1+N7:$N$18)),SUMPRODUCT(PRODUCT(1+N7:$N$17))),4)</f>
        <v>1.0841000000000001</v>
      </c>
      <c r="V7" s="3115">
        <f>ROUND(IF(项目基本情况!$B$8="出让",SUMPRODUCT(PRODUCT(1+O7:$O$18)),SUMPRODUCT(PRODUCT(1+O7:$O$17))),4)</f>
        <v>1.0674999999999999</v>
      </c>
      <c r="W7" s="3115">
        <f t="shared" ref="W7" si="18">T7</f>
        <v>1.0282</v>
      </c>
      <c r="X7" s="3104"/>
      <c r="Y7" s="3106">
        <f t="shared" ref="Y7" si="19">IF(D7=0,0,ROUND(AVERAGE(D7:D18)/100,4))</f>
        <v>7.3000000000000001E-3</v>
      </c>
      <c r="Z7" s="3106">
        <f t="shared" ref="Z7" si="20">IF(E7=0,0,ROUND(AVERAGE(E7:E18)/100,4))</f>
        <v>0</v>
      </c>
      <c r="AA7" s="3106">
        <f t="shared" ref="AA7" si="21">IF(F7=0,0,ROUND(AVERAGE(F7:F18)/100,4))</f>
        <v>0</v>
      </c>
      <c r="AB7" s="3106">
        <f t="shared" ref="AB7" si="22">IF(G7=0,0,ROUND(AVERAGE(G7:G18)/100,4))</f>
        <v>0</v>
      </c>
      <c r="AC7" s="3106">
        <f t="shared" ref="AC7" si="23">IF(H7=0,0,ROUND(AVERAGE(H7:H18)/100,4))</f>
        <v>0</v>
      </c>
      <c r="AD7" s="3106">
        <f t="shared" si="2"/>
        <v>0</v>
      </c>
    </row>
    <row r="8" spans="1:30">
      <c r="A8" s="3088" t="s">
        <v>3251</v>
      </c>
      <c r="B8" s="3139">
        <v>2023</v>
      </c>
      <c r="C8" s="3140">
        <v>3</v>
      </c>
      <c r="D8" s="3140">
        <v>0.25</v>
      </c>
      <c r="E8" s="3140">
        <v>0.5</v>
      </c>
      <c r="F8" s="3140">
        <v>0.31</v>
      </c>
      <c r="G8" s="3140">
        <v>0.21</v>
      </c>
      <c r="H8" s="3141">
        <v>0.43</v>
      </c>
      <c r="I8" s="3142">
        <f t="shared" si="0"/>
        <v>0.31</v>
      </c>
      <c r="J8" s="3107"/>
      <c r="K8" s="3108">
        <f t="shared" ref="K8:K10" si="24">D8/100</f>
        <v>2.5000000000000001E-3</v>
      </c>
      <c r="L8" s="3109">
        <f t="shared" ref="L8:L10" si="25">E8/100</f>
        <v>5.0000000000000001E-3</v>
      </c>
      <c r="M8" s="3109">
        <f t="shared" ref="M8:M10" si="26">F8/100</f>
        <v>3.0999999999999999E-3</v>
      </c>
      <c r="N8" s="3109">
        <f t="shared" ref="N8:N10" si="27">G8/100</f>
        <v>2.0999999999999999E-3</v>
      </c>
      <c r="O8" s="3109">
        <f t="shared" ref="O8:O10" si="28">H8/100</f>
        <v>4.3E-3</v>
      </c>
      <c r="P8" s="3109">
        <f t="shared" ref="P8:P10" si="29">M8</f>
        <v>3.0999999999999999E-3</v>
      </c>
      <c r="Q8" s="3107"/>
      <c r="R8" s="3107">
        <f>ROUND(IF(项目基本情况!$B$8="出让",SUMPRODUCT(PRODUCT(1+K8:$K$18)),SUMPRODUCT(PRODUCT(1+K8:$K$17))),4)</f>
        <v>1.0783</v>
      </c>
      <c r="S8" s="3107">
        <f>ROUND(IF(项目基本情况!$B$8="出让",SUMPRODUCT(PRODUCT(1+L8:$L$18)),SUMPRODUCT(PRODUCT(1+L8:$L$17))),4)</f>
        <v>1.0447</v>
      </c>
      <c r="T8" s="3107">
        <f>ROUND(IF(项目基本情况!$B$8="出让",SUMPRODUCT(PRODUCT(1+M8:$M$18)),SUMPRODUCT(PRODUCT(1+M8:$M$17))),4)</f>
        <v>1.0282</v>
      </c>
      <c r="U8" s="3107">
        <f>ROUND(IF(项目基本情况!$B$8="出让",SUMPRODUCT(PRODUCT(1+N8:$N$18)),SUMPRODUCT(PRODUCT(1+N8:$N$17))),4)</f>
        <v>1.0841000000000001</v>
      </c>
      <c r="V8" s="3107">
        <f>ROUND(IF(项目基本情况!$B$8="出让",SUMPRODUCT(PRODUCT(1+O8:$O$18)),SUMPRODUCT(PRODUCT(1+O8:$O$17))),4)</f>
        <v>1.0674999999999999</v>
      </c>
      <c r="W8" s="3107">
        <f t="shared" ref="W8:W10" si="30">T8</f>
        <v>1.0282</v>
      </c>
      <c r="X8" s="3107"/>
      <c r="Y8" s="3109">
        <f t="shared" ref="Y8:AC8" si="31">IF(D8=0,0,ROUND(AVERAGE(D8:D19)/100,4))</f>
        <v>7.7999999999999996E-3</v>
      </c>
      <c r="Z8" s="3109">
        <f t="shared" si="31"/>
        <v>4.1000000000000003E-3</v>
      </c>
      <c r="AA8" s="3109">
        <f t="shared" si="31"/>
        <v>2.3E-3</v>
      </c>
      <c r="AB8" s="3109">
        <f t="shared" si="31"/>
        <v>8.3999999999999995E-3</v>
      </c>
      <c r="AC8" s="3109">
        <f t="shared" si="31"/>
        <v>6.3E-3</v>
      </c>
      <c r="AD8" s="3109">
        <f t="shared" ref="AD8:AD10" si="32">AA8</f>
        <v>2.3E-3</v>
      </c>
    </row>
    <row r="9" spans="1:30">
      <c r="A9" s="3087" t="s">
        <v>3252</v>
      </c>
      <c r="B9" s="3136">
        <v>2023</v>
      </c>
      <c r="C9" s="3137">
        <v>2</v>
      </c>
      <c r="D9" s="3137">
        <v>0.91</v>
      </c>
      <c r="E9" s="3137">
        <v>0.66</v>
      </c>
      <c r="F9" s="3137">
        <v>0.47</v>
      </c>
      <c r="G9" s="3137">
        <v>0.96</v>
      </c>
      <c r="H9" s="3143">
        <v>0.71</v>
      </c>
      <c r="I9" s="3138">
        <f t="shared" si="0"/>
        <v>0.47</v>
      </c>
      <c r="J9" s="3104"/>
      <c r="K9" s="3105">
        <f t="shared" si="24"/>
        <v>9.1000000000000004E-3</v>
      </c>
      <c r="L9" s="3106">
        <f t="shared" si="25"/>
        <v>6.6E-3</v>
      </c>
      <c r="M9" s="3106">
        <f t="shared" si="26"/>
        <v>4.6999999999999993E-3</v>
      </c>
      <c r="N9" s="3106">
        <f t="shared" si="27"/>
        <v>9.5999999999999992E-3</v>
      </c>
      <c r="O9" s="3106">
        <f t="shared" si="28"/>
        <v>7.0999999999999995E-3</v>
      </c>
      <c r="P9" s="3106">
        <f t="shared" si="29"/>
        <v>4.6999999999999993E-3</v>
      </c>
      <c r="Q9" s="3104"/>
      <c r="R9" s="3115">
        <f>ROUND(IF(项目基本情况!$B$8="出让",SUMPRODUCT(PRODUCT(1+K9:$K$18)),SUMPRODUCT(PRODUCT(1+K9:$K$17))),4)</f>
        <v>1.0755999999999999</v>
      </c>
      <c r="S9" s="3115">
        <f>ROUND(IF(项目基本情况!$B$8="出让",SUMPRODUCT(PRODUCT(1+L9:$L$18)),SUMPRODUCT(PRODUCT(1+L9:$L$17))),4)</f>
        <v>1.0395000000000001</v>
      </c>
      <c r="T9" s="3115">
        <f>ROUND(IF(项目基本情况!$B$8="出让",SUMPRODUCT(PRODUCT(1+M9:$M$18)),SUMPRODUCT(PRODUCT(1+M9:$M$17))),4)</f>
        <v>1.0250999999999999</v>
      </c>
      <c r="U9" s="3115">
        <f>ROUND(IF(项目基本情况!$B$8="出让",SUMPRODUCT(PRODUCT(1+N9:$N$18)),SUMPRODUCT(PRODUCT(1+N9:$N$17))),4)</f>
        <v>1.0818000000000001</v>
      </c>
      <c r="V9" s="3115">
        <f>ROUND(IF(项目基本情况!$B$8="出让",SUMPRODUCT(PRODUCT(1+O9:$O$18)),SUMPRODUCT(PRODUCT(1+O9:$O$17))),4)</f>
        <v>1.0629999999999999</v>
      </c>
      <c r="W9" s="3115">
        <f t="shared" si="30"/>
        <v>1.0250999999999999</v>
      </c>
      <c r="X9" s="3104"/>
      <c r="Y9" s="3106">
        <f t="shared" ref="Y9:AC9" si="33">IF(D9=0,0,ROUND(AVERAGE(D9:D20)/100,4))</f>
        <v>8.3000000000000001E-3</v>
      </c>
      <c r="Z9" s="3106">
        <f t="shared" si="33"/>
        <v>4.0000000000000001E-3</v>
      </c>
      <c r="AA9" s="3106">
        <f t="shared" si="33"/>
        <v>2.2000000000000001E-3</v>
      </c>
      <c r="AB9" s="3106">
        <f t="shared" si="33"/>
        <v>8.9999999999999993E-3</v>
      </c>
      <c r="AC9" s="3106">
        <f t="shared" si="33"/>
        <v>6.4999999999999997E-3</v>
      </c>
      <c r="AD9" s="3106">
        <f t="shared" si="32"/>
        <v>2.2000000000000001E-3</v>
      </c>
    </row>
    <row r="10" spans="1:30">
      <c r="A10" s="3087" t="s">
        <v>3249</v>
      </c>
      <c r="B10" s="3136">
        <v>2023</v>
      </c>
      <c r="C10" s="3137">
        <v>1</v>
      </c>
      <c r="D10" s="3137">
        <v>0.89</v>
      </c>
      <c r="E10" s="3137">
        <v>0.74</v>
      </c>
      <c r="F10" s="3137">
        <v>0.56999999999999995</v>
      </c>
      <c r="G10" s="3137">
        <v>0.92</v>
      </c>
      <c r="H10" s="3143">
        <v>0.5</v>
      </c>
      <c r="I10" s="3138">
        <f t="shared" si="0"/>
        <v>0.56999999999999995</v>
      </c>
      <c r="J10" s="3104"/>
      <c r="K10" s="3105">
        <f t="shared" si="24"/>
        <v>8.8999999999999999E-3</v>
      </c>
      <c r="L10" s="3106">
        <f t="shared" si="25"/>
        <v>7.4000000000000003E-3</v>
      </c>
      <c r="M10" s="3106">
        <f t="shared" si="26"/>
        <v>5.6999999999999993E-3</v>
      </c>
      <c r="N10" s="3106">
        <f t="shared" si="27"/>
        <v>9.1999999999999998E-3</v>
      </c>
      <c r="O10" s="3106">
        <f t="shared" si="28"/>
        <v>5.0000000000000001E-3</v>
      </c>
      <c r="P10" s="3106">
        <f t="shared" si="29"/>
        <v>5.6999999999999993E-3</v>
      </c>
      <c r="Q10" s="3104"/>
      <c r="R10" s="3115">
        <f>ROUND(IF(项目基本情况!$B$8="出让",SUMPRODUCT(PRODUCT(1+K10:$K$18)),SUMPRODUCT(PRODUCT(1+K10:$K$17))),4)</f>
        <v>1.0659000000000001</v>
      </c>
      <c r="S10" s="3115">
        <f>ROUND(IF(项目基本情况!$B$8="出让",SUMPRODUCT(PRODUCT(1+L10:$L$18)),SUMPRODUCT(PRODUCT(1+L10:$L$17))),4)</f>
        <v>1.0326</v>
      </c>
      <c r="T10" s="3115">
        <f>ROUND(IF(项目基本情况!$B$8="出让",SUMPRODUCT(PRODUCT(1+M10:$M$18)),SUMPRODUCT(PRODUCT(1+M10:$M$17))),4)</f>
        <v>1.0203</v>
      </c>
      <c r="U10" s="3115">
        <f>ROUND(IF(项目基本情况!$B$8="出让",SUMPRODUCT(PRODUCT(1+N10:$N$18)),SUMPRODUCT(PRODUCT(1+N10:$N$17))),4)</f>
        <v>1.0714999999999999</v>
      </c>
      <c r="V10" s="3115">
        <f>ROUND(IF(项目基本情况!$B$8="出让",SUMPRODUCT(PRODUCT(1+O10:$O$18)),SUMPRODUCT(PRODUCT(1+O10:$O$17))),4)</f>
        <v>1.0555000000000001</v>
      </c>
      <c r="W10" s="3115">
        <f t="shared" si="30"/>
        <v>1.0203</v>
      </c>
      <c r="X10" s="3104"/>
      <c r="Y10" s="3106">
        <f t="shared" ref="Y10:AC10" si="34">IF(D10=0,0,ROUND(AVERAGE(D10:D21)/100,4))</f>
        <v>8.2000000000000007E-3</v>
      </c>
      <c r="Z10" s="3106">
        <f t="shared" si="34"/>
        <v>3.8E-3</v>
      </c>
      <c r="AA10" s="3106">
        <f t="shared" si="34"/>
        <v>2E-3</v>
      </c>
      <c r="AB10" s="3106">
        <f t="shared" si="34"/>
        <v>8.8999999999999999E-3</v>
      </c>
      <c r="AC10" s="3106">
        <f t="shared" si="34"/>
        <v>6.4000000000000003E-3</v>
      </c>
      <c r="AD10" s="3106">
        <f t="shared" si="32"/>
        <v>2E-3</v>
      </c>
    </row>
    <row r="11" spans="1:30">
      <c r="A11" s="3087" t="s">
        <v>3247</v>
      </c>
      <c r="B11" s="3136">
        <v>2022</v>
      </c>
      <c r="C11" s="3137">
        <v>4</v>
      </c>
      <c r="D11" s="3137">
        <v>0.62</v>
      </c>
      <c r="E11" s="3137">
        <v>0.2</v>
      </c>
      <c r="F11" s="3137">
        <v>0.11</v>
      </c>
      <c r="G11" s="3137">
        <v>0.69</v>
      </c>
      <c r="H11" s="3143">
        <v>0.53</v>
      </c>
      <c r="I11" s="3138">
        <f t="shared" si="0"/>
        <v>0.11</v>
      </c>
      <c r="J11" s="3104"/>
      <c r="K11" s="3105">
        <f t="shared" si="1"/>
        <v>6.1999999999999998E-3</v>
      </c>
      <c r="L11" s="3106">
        <f t="shared" si="1"/>
        <v>2E-3</v>
      </c>
      <c r="M11" s="3106">
        <f t="shared" si="1"/>
        <v>1.1000000000000001E-3</v>
      </c>
      <c r="N11" s="3106">
        <f t="shared" si="1"/>
        <v>6.8999999999999999E-3</v>
      </c>
      <c r="O11" s="3106">
        <f t="shared" si="1"/>
        <v>5.3E-3</v>
      </c>
      <c r="P11" s="3106">
        <f t="shared" ref="P11:P18" si="35">M11</f>
        <v>1.1000000000000001E-3</v>
      </c>
      <c r="Q11" s="3104"/>
      <c r="R11" s="3115">
        <f>ROUND(IF(项目基本情况!B8="出让",SUMPRODUCT(PRODUCT(1+K11:K18)),SUMPRODUCT(PRODUCT(1+K11:K17))),4)</f>
        <v>1.0565</v>
      </c>
      <c r="S11" s="3115">
        <f>ROUND(IF(项目基本情况!B8="出让",SUMPRODUCT(PRODUCT(1+L11:L18)),SUMPRODUCT(PRODUCT(1+L11:L17))),4)</f>
        <v>1.0250999999999999</v>
      </c>
      <c r="T11" s="3115">
        <f>ROUND(IF(项目基本情况!B8="出让",SUMPRODUCT(PRODUCT(1+M11:M18)),SUMPRODUCT(PRODUCT(1+M11:M17))),4)</f>
        <v>1.0145</v>
      </c>
      <c r="U11" s="3115">
        <f>ROUND(IF(项目基本情况!B8="出让",SUMPRODUCT(PRODUCT(1+N11:N18)),SUMPRODUCT(PRODUCT(1+N11:N17))),4)</f>
        <v>1.0618000000000001</v>
      </c>
      <c r="V11" s="3115">
        <f>ROUND(IF(项目基本情况!B8="出让",SUMPRODUCT(PRODUCT(1+O11:O18)),SUMPRODUCT(PRODUCT(1+O11:O17))),4)</f>
        <v>1.0502</v>
      </c>
      <c r="W11" s="3115">
        <f t="shared" ref="W11:W18" si="36">T11</f>
        <v>1.0145</v>
      </c>
      <c r="X11" s="3104"/>
      <c r="Y11" s="3106">
        <f>IF(D11=0,0,ROUND(AVERAGE(D11:D19)/100,4))</f>
        <v>8.0999999999999996E-3</v>
      </c>
      <c r="Z11" s="3106">
        <f>IF(E11=0,0,ROUND(AVERAGE(E11:E18)/100,4))</f>
        <v>3.3E-3</v>
      </c>
      <c r="AA11" s="3106">
        <f>IF(F11=0,0,ROUND(AVERAGE(F11:F18)/100,4))</f>
        <v>1.5E-3</v>
      </c>
      <c r="AB11" s="3106">
        <f>IF(G11=0,0,ROUND(AVERAGE(G11:G18)/100,4))</f>
        <v>8.8999999999999999E-3</v>
      </c>
      <c r="AC11" s="3106">
        <f>IF(H11=0,0,ROUND(AVERAGE(H11:H18)/100,4))</f>
        <v>6.6E-3</v>
      </c>
      <c r="AD11" s="3106">
        <f t="shared" si="2"/>
        <v>1.5E-3</v>
      </c>
    </row>
    <row r="12" spans="1:30">
      <c r="A12" s="3087" t="s">
        <v>3242</v>
      </c>
      <c r="B12" s="3136">
        <v>2022</v>
      </c>
      <c r="C12" s="3137">
        <v>3</v>
      </c>
      <c r="D12" s="3137">
        <v>0.66</v>
      </c>
      <c r="E12" s="3137">
        <v>0.32</v>
      </c>
      <c r="F12" s="3137">
        <v>0.23</v>
      </c>
      <c r="G12" s="3137">
        <v>0.72</v>
      </c>
      <c r="H12" s="3143">
        <v>0.63</v>
      </c>
      <c r="I12" s="3138">
        <f t="shared" si="0"/>
        <v>0.23</v>
      </c>
      <c r="J12" s="3104"/>
      <c r="K12" s="3105">
        <f t="shared" si="1"/>
        <v>6.6E-3</v>
      </c>
      <c r="L12" s="3106">
        <f t="shared" si="1"/>
        <v>3.2000000000000002E-3</v>
      </c>
      <c r="M12" s="3106">
        <f t="shared" si="1"/>
        <v>2.3E-3</v>
      </c>
      <c r="N12" s="3106">
        <f t="shared" si="1"/>
        <v>7.1999999999999998E-3</v>
      </c>
      <c r="O12" s="3106">
        <f t="shared" si="1"/>
        <v>6.3E-3</v>
      </c>
      <c r="P12" s="3106">
        <f t="shared" si="35"/>
        <v>2.3E-3</v>
      </c>
      <c r="Q12" s="3104"/>
      <c r="R12" s="3115">
        <f>ROUND(IF(项目基本情况!B8="出让",SUMPRODUCT(PRODUCT(1+K12:K18)),SUMPRODUCT(PRODUCT(1+K12:K17))),4)</f>
        <v>1.05</v>
      </c>
      <c r="S12" s="3115">
        <f>ROUND(IF(项目基本情况!B8="出让",SUMPRODUCT(PRODUCT(1+L12:L18)),SUMPRODUCT(PRODUCT(1+L12:L17))),4)</f>
        <v>1.0229999999999999</v>
      </c>
      <c r="T12" s="3115">
        <f>ROUND(IF(项目基本情况!B8="出让",SUMPRODUCT(PRODUCT(1+M12:M18)),SUMPRODUCT(PRODUCT(1+M12:M17))),4)</f>
        <v>1.0134000000000001</v>
      </c>
      <c r="U12" s="3115">
        <f>ROUND(IF(项目基本情况!B8="出让",SUMPRODUCT(PRODUCT(1+N12:N18)),SUMPRODUCT(PRODUCT(1+N12:N17))),4)</f>
        <v>1.0545</v>
      </c>
      <c r="V12" s="3115">
        <f>ROUND(IF(项目基本情况!B8="出让",SUMPRODUCT(PRODUCT(1+O12:O18)),SUMPRODUCT(PRODUCT(1+O12:O17))),4)</f>
        <v>1.0447</v>
      </c>
      <c r="W12" s="3115">
        <f t="shared" si="36"/>
        <v>1.0134000000000001</v>
      </c>
      <c r="X12" s="3104"/>
      <c r="Y12" s="3106">
        <f>IF(D12=0,0,ROUND(AVERAGE(D12:D18)/100,4))</f>
        <v>8.3999999999999995E-3</v>
      </c>
      <c r="Z12" s="3106">
        <f>IF(E12=0,0,ROUND(AVERAGE(E12:E18)/100,4))</f>
        <v>3.5000000000000001E-3</v>
      </c>
      <c r="AA12" s="3106">
        <f>IF(F12=0,0,ROUND(AVERAGE(F12:F18)/100,4))</f>
        <v>1.5E-3</v>
      </c>
      <c r="AB12" s="3106">
        <f>IF(G12=0,0,ROUND(AVERAGE(G12:G18)/100,4))</f>
        <v>9.1999999999999998E-3</v>
      </c>
      <c r="AC12" s="3106">
        <f>IF(H12=0,0,ROUND(AVERAGE(H12:H18)/100,4))</f>
        <v>6.7999999999999996E-3</v>
      </c>
      <c r="AD12" s="3106">
        <f t="shared" si="2"/>
        <v>1.5E-3</v>
      </c>
    </row>
    <row r="13" spans="1:30">
      <c r="A13" s="3087" t="s">
        <v>3243</v>
      </c>
      <c r="B13" s="3136">
        <v>2022</v>
      </c>
      <c r="C13" s="3137">
        <v>2</v>
      </c>
      <c r="D13" s="3137">
        <v>0.93</v>
      </c>
      <c r="E13" s="3137">
        <v>0.15</v>
      </c>
      <c r="F13" s="3137">
        <v>0.01</v>
      </c>
      <c r="G13" s="3137">
        <v>1.05</v>
      </c>
      <c r="H13" s="3143">
        <v>1.08</v>
      </c>
      <c r="I13" s="3138">
        <f t="shared" si="0"/>
        <v>0.01</v>
      </c>
      <c r="J13" s="3104"/>
      <c r="K13" s="3105">
        <f t="shared" si="1"/>
        <v>9.300000000000001E-3</v>
      </c>
      <c r="L13" s="3106">
        <f t="shared" si="1"/>
        <v>1.5E-3</v>
      </c>
      <c r="M13" s="3106">
        <f t="shared" si="1"/>
        <v>1E-4</v>
      </c>
      <c r="N13" s="3106">
        <f t="shared" si="1"/>
        <v>1.0500000000000001E-2</v>
      </c>
      <c r="O13" s="3106">
        <f t="shared" si="1"/>
        <v>1.0800000000000001E-2</v>
      </c>
      <c r="P13" s="3106">
        <f t="shared" si="35"/>
        <v>1E-4</v>
      </c>
      <c r="Q13" s="3104"/>
      <c r="R13" s="3115">
        <f>ROUND(IF(项目基本情况!B8="出让",SUMPRODUCT(PRODUCT(1+K13:K18)),SUMPRODUCT(PRODUCT(1+K13:K17))),4)</f>
        <v>1.0430999999999999</v>
      </c>
      <c r="S13" s="3115">
        <f>ROUND(IF(项目基本情况!B8="出让",SUMPRODUCT(PRODUCT(1+L13:L18)),SUMPRODUCT(PRODUCT(1+L13:L17))),4)</f>
        <v>1.0197000000000001</v>
      </c>
      <c r="T13" s="3115">
        <f>ROUND(IF(项目基本情况!B8="出让",SUMPRODUCT(PRODUCT(1+M13:M18)),SUMPRODUCT(PRODUCT(1+M13:M17))),4)</f>
        <v>1.0109999999999999</v>
      </c>
      <c r="U13" s="3115">
        <f>ROUND(IF(项目基本情况!B8="出让",SUMPRODUCT(PRODUCT(1+N13:N18)),SUMPRODUCT(PRODUCT(1+N13:N17))),4)</f>
        <v>1.0468999999999999</v>
      </c>
      <c r="V13" s="3115">
        <f>ROUND(IF(项目基本情况!B8="出让",SUMPRODUCT(PRODUCT(1+O13:O18)),SUMPRODUCT(PRODUCT(1+O13:O17))),4)</f>
        <v>1.0382</v>
      </c>
      <c r="W13" s="3115">
        <f t="shared" si="36"/>
        <v>1.0109999999999999</v>
      </c>
      <c r="X13" s="3104"/>
      <c r="Y13" s="3106">
        <f>IF(D13=0,0,ROUND(AVERAGE(D13:D18)/100,4))</f>
        <v>8.6999999999999994E-3</v>
      </c>
      <c r="Z13" s="3106">
        <f>IF(E13=0,0,ROUND(AVERAGE(E13:E18)/100,4))</f>
        <v>3.5000000000000001E-3</v>
      </c>
      <c r="AA13" s="3106">
        <f>IF(F13=0,0,ROUND(AVERAGE(F13:F18)/100,4))</f>
        <v>1.4E-3</v>
      </c>
      <c r="AB13" s="3106">
        <f>IF(G13=0,0,ROUND(AVERAGE(G13:G18)/100,4))</f>
        <v>9.4999999999999998E-3</v>
      </c>
      <c r="AC13" s="3106">
        <f>IF(H13=0,0,ROUND(AVERAGE(H13:H18)/100,4))</f>
        <v>6.8999999999999999E-3</v>
      </c>
      <c r="AD13" s="3106">
        <f t="shared" si="2"/>
        <v>1.4E-3</v>
      </c>
    </row>
    <row r="14" spans="1:30">
      <c r="A14" s="3087" t="s">
        <v>2777</v>
      </c>
      <c r="B14" s="3136">
        <v>2022</v>
      </c>
      <c r="C14" s="3137">
        <v>1</v>
      </c>
      <c r="D14" s="3137">
        <v>0.89</v>
      </c>
      <c r="E14" s="3137">
        <v>0.44</v>
      </c>
      <c r="F14" s="3137">
        <v>0.37</v>
      </c>
      <c r="G14" s="3137">
        <v>0.96</v>
      </c>
      <c r="H14" s="3143">
        <v>0.64</v>
      </c>
      <c r="I14" s="3138">
        <f t="shared" si="0"/>
        <v>0.37</v>
      </c>
      <c r="J14" s="3104"/>
      <c r="K14" s="3105">
        <f t="shared" si="1"/>
        <v>8.8999999999999999E-3</v>
      </c>
      <c r="L14" s="3106">
        <f t="shared" si="1"/>
        <v>4.4000000000000003E-3</v>
      </c>
      <c r="M14" s="3106">
        <f t="shared" si="1"/>
        <v>3.7000000000000002E-3</v>
      </c>
      <c r="N14" s="3106">
        <f t="shared" si="1"/>
        <v>9.5999999999999992E-3</v>
      </c>
      <c r="O14" s="3106">
        <f t="shared" si="1"/>
        <v>6.4000000000000003E-3</v>
      </c>
      <c r="P14" s="3106">
        <f t="shared" si="35"/>
        <v>3.7000000000000002E-3</v>
      </c>
      <c r="Q14" s="3104"/>
      <c r="R14" s="3115">
        <f>ROUND(IF(项目基本情况!B8="出让",SUMPRODUCT(PRODUCT(1+K14:K18)),SUMPRODUCT(PRODUCT(1+K14:K17))),4)</f>
        <v>1.0335000000000001</v>
      </c>
      <c r="S14" s="3115">
        <f>ROUND(IF(项目基本情况!B8="出让",SUMPRODUCT(PRODUCT(1+L14:L18)),SUMPRODUCT(PRODUCT(1+L14:L17))),4)</f>
        <v>1.0182</v>
      </c>
      <c r="T14" s="3115">
        <f>ROUND(IF(项目基本情况!B8="出让",SUMPRODUCT(PRODUCT(1+M14:M18)),SUMPRODUCT(PRODUCT(1+M14:M17))),4)</f>
        <v>1.0108999999999999</v>
      </c>
      <c r="U14" s="3115">
        <f>ROUND(IF(项目基本情况!B8="出让",SUMPRODUCT(PRODUCT(1+N14:N18)),SUMPRODUCT(PRODUCT(1+N14:N17))),4)</f>
        <v>1.0361</v>
      </c>
      <c r="V14" s="3115">
        <f>ROUND(IF(项目基本情况!B8="出让",SUMPRODUCT(PRODUCT(1+O14:O18)),SUMPRODUCT(PRODUCT(1+O14:O17))),4)</f>
        <v>1.0270999999999999</v>
      </c>
      <c r="W14" s="3115">
        <f t="shared" si="36"/>
        <v>1.0108999999999999</v>
      </c>
      <c r="X14" s="3104"/>
      <c r="Y14" s="3106">
        <f>IF(D14=0,0,ROUND(AVERAGE(D14:D18)/100,4))</f>
        <v>8.6E-3</v>
      </c>
      <c r="Z14" s="3106">
        <f>IF(E14=0,0,ROUND(AVERAGE(E14:E18)/100,4))</f>
        <v>3.8999999999999998E-3</v>
      </c>
      <c r="AA14" s="3106">
        <f>IF(F14=0,0,ROUND(AVERAGE(F14:F18)/100,4))</f>
        <v>1.6999999999999999E-3</v>
      </c>
      <c r="AB14" s="3106">
        <f>IF(G14=0,0,ROUND(AVERAGE(G14:G18)/100,4))</f>
        <v>9.2999999999999992E-3</v>
      </c>
      <c r="AC14" s="3106">
        <f>IF(H14=0,0,ROUND(AVERAGE(H14:H18)/100,4))</f>
        <v>6.1000000000000004E-3</v>
      </c>
      <c r="AD14" s="3106">
        <f t="shared" si="2"/>
        <v>1.6999999999999999E-3</v>
      </c>
    </row>
    <row r="15" spans="1:30">
      <c r="A15" s="3087" t="s">
        <v>2778</v>
      </c>
      <c r="B15" s="3136">
        <v>2021</v>
      </c>
      <c r="C15" s="3137">
        <v>4</v>
      </c>
      <c r="D15" s="3137">
        <v>1.03</v>
      </c>
      <c r="E15" s="3137">
        <v>0.24</v>
      </c>
      <c r="F15" s="3137">
        <v>7.0000000000000007E-2</v>
      </c>
      <c r="G15" s="3137">
        <v>1.17</v>
      </c>
      <c r="H15" s="3143">
        <v>0.55000000000000004</v>
      </c>
      <c r="I15" s="3138">
        <f t="shared" si="0"/>
        <v>7.0000000000000007E-2</v>
      </c>
      <c r="J15" s="3104"/>
      <c r="K15" s="3105">
        <f t="shared" si="1"/>
        <v>1.03E-2</v>
      </c>
      <c r="L15" s="3106">
        <f t="shared" si="1"/>
        <v>2.3999999999999998E-3</v>
      </c>
      <c r="M15" s="3106">
        <f t="shared" si="1"/>
        <v>7.000000000000001E-4</v>
      </c>
      <c r="N15" s="3106">
        <f t="shared" si="1"/>
        <v>1.1699999999999999E-2</v>
      </c>
      <c r="O15" s="3106">
        <f t="shared" si="1"/>
        <v>5.5000000000000005E-3</v>
      </c>
      <c r="P15" s="3106">
        <f t="shared" si="35"/>
        <v>7.000000000000001E-4</v>
      </c>
      <c r="Q15" s="3104"/>
      <c r="R15" s="3115">
        <f>ROUND(IF(项目基本情况!B8="出让",SUMPRODUCT(PRODUCT(1+K15:K18)),SUMPRODUCT(PRODUCT(1+K15:K17))),4)</f>
        <v>1.0244</v>
      </c>
      <c r="S15" s="3115">
        <f>ROUND(IF(项目基本情况!B8="出让",SUMPRODUCT(PRODUCT(1+L15:L18)),SUMPRODUCT(PRODUCT(1+L15:L17))),4)</f>
        <v>1.0138</v>
      </c>
      <c r="T15" s="3115">
        <f>ROUND(IF(项目基本情况!B8="出让",SUMPRODUCT(PRODUCT(1+M15:M18)),SUMPRODUCT(PRODUCT(1+M15:M17))),4)</f>
        <v>1.0072000000000001</v>
      </c>
      <c r="U15" s="3115">
        <f>ROUND(IF(项目基本情况!B8="出让",SUMPRODUCT(PRODUCT(1+N15:N18)),SUMPRODUCT(PRODUCT(1+N15:N17))),4)</f>
        <v>1.0262</v>
      </c>
      <c r="V15" s="3115">
        <f>ROUND(IF(项目基本情况!B8="出让",SUMPRODUCT(PRODUCT(1+O15:O18)),SUMPRODUCT(PRODUCT(1+O15:O17))),4)</f>
        <v>1.0205</v>
      </c>
      <c r="W15" s="3115">
        <f t="shared" si="36"/>
        <v>1.0072000000000001</v>
      </c>
      <c r="X15" s="3104"/>
      <c r="Y15" s="3106">
        <f>IF(D15=0,0,ROUND(AVERAGE(D15:D18)/100,4))</f>
        <v>8.5000000000000006E-3</v>
      </c>
      <c r="Z15" s="3106">
        <f>IF(E15=0,0,ROUND(AVERAGE(E15:E18)/100,4))</f>
        <v>3.8E-3</v>
      </c>
      <c r="AA15" s="3106">
        <f>IF(F15=0,0,ROUND(AVERAGE(F15:F18)/100,4))</f>
        <v>1.1999999999999999E-3</v>
      </c>
      <c r="AB15" s="3106">
        <f>IF(G15=0,0,ROUND(AVERAGE(G15:G18)/100,4))</f>
        <v>9.2999999999999992E-3</v>
      </c>
      <c r="AC15" s="3106">
        <f>IF(H15=0,0,ROUND(AVERAGE(H15:H18)/100,4))</f>
        <v>6.0000000000000001E-3</v>
      </c>
      <c r="AD15" s="3106">
        <f t="shared" si="2"/>
        <v>1.1999999999999999E-3</v>
      </c>
    </row>
    <row r="16" spans="1:30">
      <c r="A16" s="3087" t="s">
        <v>2779</v>
      </c>
      <c r="B16" s="3136">
        <v>2021</v>
      </c>
      <c r="C16" s="3137">
        <v>3</v>
      </c>
      <c r="D16" s="3137">
        <v>0.47</v>
      </c>
      <c r="E16" s="3137">
        <v>0.41</v>
      </c>
      <c r="F16" s="3137">
        <v>0.24</v>
      </c>
      <c r="G16" s="3137">
        <v>0.48</v>
      </c>
      <c r="H16" s="3143">
        <v>0.48</v>
      </c>
      <c r="I16" s="3138">
        <f t="shared" si="0"/>
        <v>0.24</v>
      </c>
      <c r="J16" s="3104"/>
      <c r="K16" s="3105">
        <f t="shared" si="1"/>
        <v>4.6999999999999993E-3</v>
      </c>
      <c r="L16" s="3106">
        <f t="shared" si="1"/>
        <v>4.0999999999999995E-3</v>
      </c>
      <c r="M16" s="3106">
        <f t="shared" si="1"/>
        <v>2.3999999999999998E-3</v>
      </c>
      <c r="N16" s="3106">
        <f t="shared" si="1"/>
        <v>4.7999999999999996E-3</v>
      </c>
      <c r="O16" s="3106">
        <f t="shared" si="1"/>
        <v>4.7999999999999996E-3</v>
      </c>
      <c r="P16" s="3106">
        <f t="shared" si="35"/>
        <v>2.3999999999999998E-3</v>
      </c>
      <c r="Q16" s="3104"/>
      <c r="R16" s="3115">
        <f>ROUND(IF(项目基本情况!B8="出让",SUMPRODUCT(PRODUCT(1+K16:K18)),SUMPRODUCT(PRODUCT(1+K16:K17))),4)</f>
        <v>1.0139</v>
      </c>
      <c r="S16" s="3115">
        <f>ROUND(IF(项目基本情况!B8="出让",SUMPRODUCT(PRODUCT(1+L16:L18)),SUMPRODUCT(PRODUCT(1+L16:L17))),4)</f>
        <v>1.0113000000000001</v>
      </c>
      <c r="T16" s="3115">
        <f>ROUND(IF(项目基本情况!B8="出让",SUMPRODUCT(PRODUCT(1+M16:M18)),SUMPRODUCT(PRODUCT(1+M16:M17))),4)</f>
        <v>1.0065</v>
      </c>
      <c r="U16" s="3115">
        <f>ROUND(IF(项目基本情况!B8="出让",SUMPRODUCT(PRODUCT(1+N16:N18)),SUMPRODUCT(PRODUCT(1+N16:N17))),4)</f>
        <v>1.0143</v>
      </c>
      <c r="V16" s="3115">
        <f>ROUND(IF(项目基本情况!B8="出让",SUMPRODUCT(PRODUCT(1+O16:O18)),SUMPRODUCT(PRODUCT(1+O16:O17))),4)</f>
        <v>1.0148999999999999</v>
      </c>
      <c r="W16" s="3115">
        <f t="shared" si="36"/>
        <v>1.0065</v>
      </c>
      <c r="X16" s="3104"/>
      <c r="Y16" s="3106">
        <f>IF(D16=0,0,ROUND(AVERAGE(D16:D18)/100,4))</f>
        <v>7.9000000000000008E-3</v>
      </c>
      <c r="Z16" s="3106">
        <f>IF(E16=0,0,ROUND(AVERAGE(E16:E18)/100,4))</f>
        <v>4.3E-3</v>
      </c>
      <c r="AA16" s="3106">
        <f>IF(F16=0,0,ROUND(AVERAGE(F16:F18)/100,4))</f>
        <v>1.2999999999999999E-3</v>
      </c>
      <c r="AB16" s="3106">
        <f>IF(G16=0,0,ROUND(AVERAGE(G16:G18)/100,4))</f>
        <v>8.5000000000000006E-3</v>
      </c>
      <c r="AC16" s="3106">
        <f>IF(H16=0,0,ROUND(AVERAGE(H16:H18)/100,4))</f>
        <v>6.1999999999999998E-3</v>
      </c>
      <c r="AD16" s="3106">
        <f t="shared" si="2"/>
        <v>1.2999999999999999E-3</v>
      </c>
    </row>
    <row r="17" spans="1:30">
      <c r="A17" s="3087" t="s">
        <v>2780</v>
      </c>
      <c r="B17" s="3136">
        <v>2021</v>
      </c>
      <c r="C17" s="3137">
        <v>2</v>
      </c>
      <c r="D17" s="3137">
        <v>0.92</v>
      </c>
      <c r="E17" s="3137">
        <v>0.72</v>
      </c>
      <c r="F17" s="3137">
        <v>0.41</v>
      </c>
      <c r="G17" s="3137">
        <v>0.95</v>
      </c>
      <c r="H17" s="3143">
        <v>1.01</v>
      </c>
      <c r="I17" s="3138">
        <f t="shared" si="0"/>
        <v>0.41</v>
      </c>
      <c r="J17" s="3104"/>
      <c r="K17" s="3105">
        <f t="shared" si="1"/>
        <v>9.1999999999999998E-3</v>
      </c>
      <c r="L17" s="3106">
        <f t="shared" si="1"/>
        <v>7.1999999999999998E-3</v>
      </c>
      <c r="M17" s="3106">
        <f t="shared" si="1"/>
        <v>4.0999999999999995E-3</v>
      </c>
      <c r="N17" s="3106">
        <f t="shared" si="1"/>
        <v>9.4999999999999998E-3</v>
      </c>
      <c r="O17" s="3106">
        <f t="shared" si="1"/>
        <v>1.01E-2</v>
      </c>
      <c r="P17" s="3106">
        <f t="shared" si="35"/>
        <v>4.0999999999999995E-3</v>
      </c>
      <c r="Q17" s="3104"/>
      <c r="R17" s="3115">
        <f>ROUND(IF(项目基本情况!B8="出让",SUMPRODUCT(PRODUCT(1+K17:K18)),SUMPRODUCT(PRODUCT(1+K17:K17))),4)</f>
        <v>1.0092000000000001</v>
      </c>
      <c r="S17" s="3115">
        <f>ROUND(IF(项目基本情况!B8="出让",SUMPRODUCT(PRODUCT(1+L17:L18)),SUMPRODUCT(PRODUCT(1+L17:L17))),4)</f>
        <v>1.0072000000000001</v>
      </c>
      <c r="T17" s="3115">
        <f>ROUND(IF(项目基本情况!B8="出让",SUMPRODUCT(PRODUCT(1+M17:M18)),SUMPRODUCT(PRODUCT(1+M17:M17))),4)</f>
        <v>1.0041</v>
      </c>
      <c r="U17" s="3115">
        <f>ROUND(IF(项目基本情况!B8="出让",SUMPRODUCT(PRODUCT(1+N17:N18)),SUMPRODUCT(PRODUCT(1+N17:N17))),4)</f>
        <v>1.0095000000000001</v>
      </c>
      <c r="V17" s="3115">
        <f>ROUND(IF(项目基本情况!B8="出让",SUMPRODUCT(PRODUCT(1+O17:O18)),SUMPRODUCT(PRODUCT(1+O17:O17))),4)</f>
        <v>1.0101</v>
      </c>
      <c r="W17" s="3115">
        <f t="shared" si="36"/>
        <v>1.0041</v>
      </c>
      <c r="X17" s="3104"/>
      <c r="Y17" s="3106">
        <f>IF(D17=0,0,ROUND(AVERAGE(D17:D18)/100,4))</f>
        <v>9.4999999999999998E-3</v>
      </c>
      <c r="Z17" s="3106">
        <f>IF(E17=0,0,ROUND(AVERAGE(E17:E18)/100,4))</f>
        <v>4.4000000000000003E-3</v>
      </c>
      <c r="AA17" s="3106">
        <f>IF(F17=0,0,ROUND(AVERAGE(F17:F18)/100,4))</f>
        <v>8.0000000000000004E-4</v>
      </c>
      <c r="AB17" s="3106">
        <f>IF(G17=0,0,ROUND(AVERAGE(G17:G18)/100,4))</f>
        <v>1.03E-2</v>
      </c>
      <c r="AC17" s="3106">
        <f>IF(H17=0,0,ROUND(AVERAGE(H17:H18)/100,4))</f>
        <v>6.8999999999999999E-3</v>
      </c>
      <c r="AD17" s="3106">
        <f t="shared" si="2"/>
        <v>8.0000000000000004E-4</v>
      </c>
    </row>
    <row r="18" spans="1:30" ht="14.25" thickBot="1">
      <c r="A18" s="3089" t="s">
        <v>2781</v>
      </c>
      <c r="B18" s="3144">
        <v>2021</v>
      </c>
      <c r="C18" s="3145">
        <v>1</v>
      </c>
      <c r="D18" s="3145">
        <v>0.97</v>
      </c>
      <c r="E18" s="3145">
        <v>0.16</v>
      </c>
      <c r="F18" s="3145">
        <v>-0.25</v>
      </c>
      <c r="G18" s="3145">
        <v>1.1100000000000001</v>
      </c>
      <c r="H18" s="3146">
        <v>0.36</v>
      </c>
      <c r="I18" s="3147">
        <f t="shared" si="0"/>
        <v>-0.25</v>
      </c>
      <c r="J18" s="3110"/>
      <c r="K18" s="3111">
        <f t="shared" si="1"/>
        <v>9.7000000000000003E-3</v>
      </c>
      <c r="L18" s="3112">
        <f t="shared" si="1"/>
        <v>1.6000000000000001E-3</v>
      </c>
      <c r="M18" s="3112">
        <f>F18/100</f>
        <v>-2.5000000000000001E-3</v>
      </c>
      <c r="N18" s="3112">
        <f t="shared" si="1"/>
        <v>1.11E-2</v>
      </c>
      <c r="O18" s="3112">
        <f t="shared" si="1"/>
        <v>3.5999999999999999E-3</v>
      </c>
      <c r="P18" s="3112">
        <f t="shared" si="35"/>
        <v>-2.5000000000000001E-3</v>
      </c>
      <c r="Q18" s="3110"/>
      <c r="R18" s="3119">
        <v>1</v>
      </c>
      <c r="S18" s="3119">
        <v>1</v>
      </c>
      <c r="T18" s="3119">
        <v>1</v>
      </c>
      <c r="U18" s="3119">
        <v>1</v>
      </c>
      <c r="V18" s="3119">
        <v>1</v>
      </c>
      <c r="W18" s="3119">
        <f t="shared" si="36"/>
        <v>1</v>
      </c>
      <c r="X18" s="3110"/>
      <c r="Y18" s="3112">
        <f>IF(D18=0,0,ROUND(AVERAGE(D18:D18)/100,4))</f>
        <v>9.7000000000000003E-3</v>
      </c>
      <c r="Z18" s="3112">
        <f>IF(E18=0,0,ROUND(AVERAGE(E18:E18)/100,4))</f>
        <v>1.6000000000000001E-3</v>
      </c>
      <c r="AA18" s="3112">
        <f>IF(F18=0,0,ROUND(AVERAGE(F18:F18)/100,4))</f>
        <v>-2.5000000000000001E-3</v>
      </c>
      <c r="AB18" s="3112">
        <f>IF(G18=0,0,ROUND(AVERAGE(G18:G18)/100,4))</f>
        <v>1.11E-2</v>
      </c>
      <c r="AC18" s="3112">
        <f>IF(H18=0,0,ROUND(AVERAGE(H18:H18)/100,4))</f>
        <v>3.5999999999999999E-3</v>
      </c>
      <c r="AD18" s="3112">
        <f>AA18</f>
        <v>-2.5000000000000001E-3</v>
      </c>
    </row>
    <row r="19" spans="1:30" ht="14.25" thickTop="1"/>
    <row r="20" spans="1:30">
      <c r="A20" s="3388" t="s">
        <v>3245</v>
      </c>
    </row>
    <row r="21" spans="1:30">
      <c r="I21" s="2748" t="s">
        <v>2793</v>
      </c>
    </row>
    <row r="23" spans="1:30">
      <c r="A23" s="2439"/>
      <c r="B23" s="3090" t="s">
        <v>2794</v>
      </c>
      <c r="C23" s="3091"/>
      <c r="D23" s="3091"/>
      <c r="E23" s="3091"/>
      <c r="F23" s="3091"/>
      <c r="G23" s="3091"/>
      <c r="H23" s="3091"/>
      <c r="I23" s="3091"/>
      <c r="J23" s="3092"/>
      <c r="K23" s="3091" t="s">
        <v>2786</v>
      </c>
      <c r="L23" s="3091"/>
      <c r="M23" s="3091"/>
      <c r="N23" s="3091"/>
      <c r="O23" s="3091"/>
      <c r="P23" s="3091"/>
      <c r="Q23" s="3092"/>
      <c r="R23" s="3805" t="s">
        <v>2802</v>
      </c>
      <c r="S23" s="3806"/>
      <c r="T23" s="3806"/>
      <c r="U23" s="3806"/>
      <c r="V23" s="3806"/>
      <c r="W23" s="3806"/>
      <c r="X23" s="3092"/>
      <c r="Y23" s="3805" t="s">
        <v>1922</v>
      </c>
      <c r="Z23" s="3806"/>
      <c r="AA23" s="3806"/>
      <c r="AB23" s="3806"/>
      <c r="AC23" s="3806"/>
      <c r="AD23" s="3806"/>
    </row>
    <row r="24" spans="1:30" ht="14.25" thickBot="1">
      <c r="A24" s="3085"/>
      <c r="B24" s="3093"/>
      <c r="C24" s="3094"/>
      <c r="D24" s="2423" t="s">
        <v>2788</v>
      </c>
      <c r="E24" s="2424" t="s">
        <v>2789</v>
      </c>
      <c r="F24" s="2424" t="s">
        <v>2790</v>
      </c>
      <c r="G24" s="2424" t="s">
        <v>1469</v>
      </c>
      <c r="H24" s="2424"/>
      <c r="I24" s="2424" t="s">
        <v>2734</v>
      </c>
      <c r="J24" s="3095"/>
      <c r="K24" s="2423" t="s">
        <v>2788</v>
      </c>
      <c r="L24" s="2424" t="s">
        <v>2789</v>
      </c>
      <c r="M24" s="2424" t="s">
        <v>2790</v>
      </c>
      <c r="N24" s="2424" t="s">
        <v>2791</v>
      </c>
      <c r="O24" s="2424"/>
      <c r="P24" s="2424" t="s">
        <v>2734</v>
      </c>
      <c r="Q24" s="3095"/>
      <c r="R24" s="2423" t="s">
        <v>2803</v>
      </c>
      <c r="S24" s="2424" t="s">
        <v>2804</v>
      </c>
      <c r="T24" s="2424" t="s">
        <v>2790</v>
      </c>
      <c r="U24" s="2424" t="s">
        <v>1469</v>
      </c>
      <c r="V24" s="2424"/>
      <c r="W24" s="2424" t="s">
        <v>2805</v>
      </c>
      <c r="X24" s="3095"/>
      <c r="Y24" s="2423" t="s">
        <v>2787</v>
      </c>
      <c r="Z24" s="2424" t="s">
        <v>2789</v>
      </c>
      <c r="AA24" s="2424" t="s">
        <v>2790</v>
      </c>
      <c r="AB24" s="2424" t="s">
        <v>1469</v>
      </c>
      <c r="AC24" s="2424"/>
      <c r="AD24" s="2424" t="s">
        <v>2808</v>
      </c>
    </row>
    <row r="25" spans="1:30">
      <c r="A25" s="3086" t="s">
        <v>2782</v>
      </c>
      <c r="B25" s="3096"/>
      <c r="C25" s="3097"/>
      <c r="D25" s="3097"/>
      <c r="E25" s="3097">
        <f>ROUND(AVERAGEIF(E26:E40,"&lt;&gt;0"),2)</f>
        <v>0.42</v>
      </c>
      <c r="F25" s="3097">
        <f>ROUND(AVERAGEIF(F26:F40,"&lt;&gt;0"),2)</f>
        <v>0.3</v>
      </c>
      <c r="G25" s="3097">
        <f>ROUND(AVERAGEIF(G26:G40,"&lt;&gt;0"),2)</f>
        <v>0.73</v>
      </c>
      <c r="H25" s="3097"/>
      <c r="I25" s="3097">
        <f>F25</f>
        <v>0.3</v>
      </c>
      <c r="J25" s="3098"/>
      <c r="K25" s="3099"/>
      <c r="L25" s="3100">
        <f>ROUND(AVERAGEIF(L26:L40,"&lt;&gt;0"),4)</f>
        <v>4.1999999999999997E-3</v>
      </c>
      <c r="M25" s="3100">
        <f>ROUND(AVERAGEIF(M26:M40,"&lt;&gt;0"),4)</f>
        <v>3.0000000000000001E-3</v>
      </c>
      <c r="N25" s="3100">
        <f>ROUND(AVERAGEIF(N26:N40,"&lt;&gt;0"),4)</f>
        <v>7.3000000000000001E-3</v>
      </c>
      <c r="O25" s="3100"/>
      <c r="P25" s="3100">
        <f>M25</f>
        <v>3.0000000000000001E-3</v>
      </c>
      <c r="Q25" s="3098"/>
      <c r="R25" s="3113"/>
      <c r="S25" s="3114">
        <f>ROUND(SUMPRODUCT(PRODUCT(1+L26:L40)),4)</f>
        <v>1.0468</v>
      </c>
      <c r="T25" s="3114">
        <f>ROUND(SUMPRODUCT(PRODUCT(1+M26:M40)),4)</f>
        <v>1.0337000000000001</v>
      </c>
      <c r="U25" s="3114">
        <f>ROUND(SUMPRODUCT(PRODUCT(1+N26:N40)),4)</f>
        <v>1.0828</v>
      </c>
      <c r="V25" s="3114"/>
      <c r="W25" s="3113">
        <f>T25</f>
        <v>1.0337000000000001</v>
      </c>
      <c r="X25" s="3098"/>
      <c r="Y25" s="3120"/>
      <c r="Z25" s="3121">
        <f>ROUND(AVERAGEIF(Z26:Z40,"&lt;&gt;0"),4)</f>
        <v>4.3E-3</v>
      </c>
      <c r="AA25" s="3122">
        <f>ROUND(AVERAGEIF(AA26:AA40,"&lt;&gt;0"),4)</f>
        <v>3.3999999999999998E-3</v>
      </c>
      <c r="AB25" s="3120">
        <f>ROUND(AVERAGEIF(AB26:AB40,"&lt;&gt;0"),4)</f>
        <v>8.5000000000000006E-3</v>
      </c>
      <c r="AC25" s="3123"/>
      <c r="AD25" s="3120">
        <f>AA25</f>
        <v>3.3999999999999998E-3</v>
      </c>
    </row>
    <row r="26" spans="1:30">
      <c r="A26" s="2439"/>
      <c r="B26" s="3101"/>
      <c r="C26" s="2439"/>
      <c r="D26" s="2439"/>
      <c r="E26" s="2439"/>
      <c r="F26" s="2439"/>
      <c r="G26" s="2439"/>
      <c r="H26" s="2439"/>
      <c r="I26" s="2439"/>
      <c r="J26" s="3092"/>
      <c r="K26" s="3102"/>
      <c r="L26" s="3103"/>
      <c r="M26" s="3103"/>
      <c r="N26" s="3103"/>
      <c r="O26" s="3103"/>
      <c r="P26" s="3103"/>
      <c r="Q26" s="3092"/>
      <c r="R26" s="3115"/>
      <c r="S26" s="3116"/>
      <c r="T26" s="3117"/>
      <c r="U26" s="3115"/>
      <c r="V26" s="3118"/>
      <c r="W26" s="3115"/>
      <c r="X26" s="3092"/>
      <c r="Y26" s="3106"/>
      <c r="Z26" s="3124"/>
      <c r="AA26" s="3125"/>
      <c r="AB26" s="3106"/>
      <c r="AC26" s="3126"/>
      <c r="AD26" s="3106"/>
    </row>
    <row r="27" spans="1:30">
      <c r="A27" s="3389" t="s">
        <v>3255</v>
      </c>
      <c r="B27" s="3136">
        <v>2023</v>
      </c>
      <c r="C27" s="3137">
        <v>4</v>
      </c>
      <c r="D27" s="3137"/>
      <c r="E27" s="3137">
        <v>0</v>
      </c>
      <c r="F27" s="3137">
        <v>0</v>
      </c>
      <c r="G27" s="3137">
        <v>0</v>
      </c>
      <c r="H27" s="3137"/>
      <c r="I27" s="3138">
        <f t="shared" ref="I27:I40" si="37">F27</f>
        <v>0</v>
      </c>
      <c r="J27" s="3104"/>
      <c r="K27" s="3105"/>
      <c r="L27" s="3106">
        <f t="shared" ref="L27:N40" si="38">E27/100</f>
        <v>0</v>
      </c>
      <c r="M27" s="3106">
        <f t="shared" si="38"/>
        <v>0</v>
      </c>
      <c r="N27" s="3106">
        <f t="shared" si="38"/>
        <v>0</v>
      </c>
      <c r="O27" s="3106"/>
      <c r="P27" s="3106">
        <f>M27</f>
        <v>0</v>
      </c>
      <c r="Q27" s="3104"/>
      <c r="R27" s="3115"/>
      <c r="S27" s="3115">
        <f>ROUND(IF(项目基本情况!$B$8="出让",SUMPRODUCT(PRODUCT(1+L27:L$40)),SUMPRODUCT(PRODUCT(1+L27:L$39))),4)</f>
        <v>1.0431999999999999</v>
      </c>
      <c r="T27" s="3115">
        <f>ROUND(IF(项目基本情况!$B$8="出让",SUMPRODUCT(PRODUCT(1+M27:M$40)),SUMPRODUCT(PRODUCT(1+M27:M$39))),4)</f>
        <v>1.0286999999999999</v>
      </c>
      <c r="U27" s="3115">
        <f>ROUND(IF(项目基本情况!$B$8="出让",SUMPRODUCT(PRODUCT(1+N27:N$40)),SUMPRODUCT(PRODUCT(1+N27:N$39))),4)</f>
        <v>1.0723</v>
      </c>
      <c r="V27" s="3115"/>
      <c r="W27" s="3115">
        <f>T27</f>
        <v>1.0286999999999999</v>
      </c>
      <c r="X27" s="3104"/>
      <c r="Y27" s="3106"/>
      <c r="Z27" s="3124">
        <f>IF(E27=0,0,ROUND(AVERAGE(E27:E40)/100,4))</f>
        <v>0</v>
      </c>
      <c r="AA27" s="3124">
        <f>IF(F27=0,0,ROUND(AVERAGE(F27:F40)/100,4))</f>
        <v>0</v>
      </c>
      <c r="AB27" s="3124">
        <f>IF(G27=0,0,ROUND(AVERAGE(G27:G40)/100,4))</f>
        <v>0</v>
      </c>
      <c r="AC27" s="3126"/>
      <c r="AD27" s="3106">
        <f>IF(I27=0,0,ROUND(AVERAGE(I27:I40)/100,4))</f>
        <v>0</v>
      </c>
    </row>
    <row r="28" spans="1:30">
      <c r="A28" s="3389" t="s">
        <v>3256</v>
      </c>
      <c r="B28" s="3136">
        <v>2023</v>
      </c>
      <c r="C28" s="3137">
        <v>3</v>
      </c>
      <c r="D28" s="3137"/>
      <c r="E28" s="3137">
        <v>0</v>
      </c>
      <c r="F28" s="3137">
        <v>0</v>
      </c>
      <c r="G28" s="3137">
        <v>0</v>
      </c>
      <c r="H28" s="3143"/>
      <c r="I28" s="3138">
        <f t="shared" si="37"/>
        <v>0</v>
      </c>
      <c r="J28" s="3104"/>
      <c r="K28" s="3105"/>
      <c r="L28" s="3106">
        <f t="shared" ref="L28" si="39">E28/100</f>
        <v>0</v>
      </c>
      <c r="M28" s="3106">
        <f t="shared" ref="M28" si="40">F28/100</f>
        <v>0</v>
      </c>
      <c r="N28" s="3106">
        <f t="shared" ref="N28" si="41">G28/100</f>
        <v>0</v>
      </c>
      <c r="O28" s="3106"/>
      <c r="P28" s="3106">
        <f t="shared" ref="P28" si="42">M28</f>
        <v>0</v>
      </c>
      <c r="Q28" s="3104"/>
      <c r="R28" s="3115"/>
      <c r="S28" s="3115">
        <f>ROUND(IF(项目基本情况!$B$8="出让",SUMPRODUCT(PRODUCT(1+L28:L$40)),SUMPRODUCT(PRODUCT(1+L28:L$39))),4)</f>
        <v>1.0431999999999999</v>
      </c>
      <c r="T28" s="3115">
        <f>ROUND(IF(项目基本情况!$B$8="出让",SUMPRODUCT(PRODUCT(1+M28:M$40)),SUMPRODUCT(PRODUCT(1+M28:M$39))),4)</f>
        <v>1.0286999999999999</v>
      </c>
      <c r="U28" s="3115">
        <f>ROUND(IF(项目基本情况!$B$8="出让",SUMPRODUCT(PRODUCT(1+N28:N$40)),SUMPRODUCT(PRODUCT(1+N28:N$39))),4)</f>
        <v>1.0723</v>
      </c>
      <c r="V28" s="3115"/>
      <c r="W28" s="3115">
        <f t="shared" ref="W28" si="43">T28</f>
        <v>1.0286999999999999</v>
      </c>
      <c r="X28" s="3104"/>
      <c r="Y28" s="3106"/>
      <c r="Z28" s="3124">
        <f t="shared" ref="Z28" si="44">IF(E28=0,0,ROUND(AVERAGE(E28:E39)/100,4))</f>
        <v>0</v>
      </c>
      <c r="AA28" s="3125">
        <f t="shared" ref="AA28" si="45">IF(F28=0,0,ROUND(AVERAGE(F28:F39)/100,4))</f>
        <v>0</v>
      </c>
      <c r="AB28" s="3106">
        <f t="shared" ref="AB28" si="46">IF(G28=0,0,ROUND(AVERAGE(G28:G39)/100,4))</f>
        <v>0</v>
      </c>
      <c r="AC28" s="3126"/>
      <c r="AD28" s="3106">
        <f t="shared" ref="AD28" si="47">IF(I28=0,0,ROUND(AVERAGE(I28:I39)/100,4))</f>
        <v>0</v>
      </c>
    </row>
    <row r="29" spans="1:30">
      <c r="A29" s="3389" t="s">
        <v>3257</v>
      </c>
      <c r="B29" s="3136">
        <v>2023</v>
      </c>
      <c r="C29" s="3137">
        <v>3</v>
      </c>
      <c r="D29" s="3137"/>
      <c r="E29" s="3137">
        <v>0</v>
      </c>
      <c r="F29" s="3137">
        <v>0</v>
      </c>
      <c r="G29" s="3137">
        <v>0</v>
      </c>
      <c r="H29" s="3143"/>
      <c r="I29" s="3138">
        <f t="shared" ref="I29" si="48">F29</f>
        <v>0</v>
      </c>
      <c r="J29" s="3104"/>
      <c r="K29" s="3105"/>
      <c r="L29" s="3106">
        <f t="shared" si="38"/>
        <v>0</v>
      </c>
      <c r="M29" s="3106">
        <f t="shared" si="38"/>
        <v>0</v>
      </c>
      <c r="N29" s="3106">
        <f t="shared" si="38"/>
        <v>0</v>
      </c>
      <c r="O29" s="3106"/>
      <c r="P29" s="3106">
        <f t="shared" ref="P29" si="49">M29</f>
        <v>0</v>
      </c>
      <c r="Q29" s="3104"/>
      <c r="R29" s="3115"/>
      <c r="S29" s="3115">
        <f>ROUND(IF(项目基本情况!$B$8="出让",SUMPRODUCT(PRODUCT(1+L29:L$40)),SUMPRODUCT(PRODUCT(1+L29:L$39))),4)</f>
        <v>1.0431999999999999</v>
      </c>
      <c r="T29" s="3115">
        <f>ROUND(IF(项目基本情况!$B$8="出让",SUMPRODUCT(PRODUCT(1+M29:M$40)),SUMPRODUCT(PRODUCT(1+M29:M$39))),4)</f>
        <v>1.0286999999999999</v>
      </c>
      <c r="U29" s="3115">
        <f>ROUND(IF(项目基本情况!$B$8="出让",SUMPRODUCT(PRODUCT(1+N29:N$40)),SUMPRODUCT(PRODUCT(1+N29:N$39))),4)</f>
        <v>1.0723</v>
      </c>
      <c r="V29" s="3115"/>
      <c r="W29" s="3115">
        <f t="shared" ref="W29" si="50">T29</f>
        <v>1.0286999999999999</v>
      </c>
      <c r="X29" s="3104"/>
      <c r="Y29" s="3106"/>
      <c r="Z29" s="3124">
        <f t="shared" ref="Z29" si="51">IF(E29=0,0,ROUND(AVERAGE(E29:E40)/100,4))</f>
        <v>0</v>
      </c>
      <c r="AA29" s="3125">
        <f t="shared" ref="AA29" si="52">IF(F29=0,0,ROUND(AVERAGE(F29:F40)/100,4))</f>
        <v>0</v>
      </c>
      <c r="AB29" s="3106">
        <f t="shared" ref="AB29" si="53">IF(G29=0,0,ROUND(AVERAGE(G29:G40)/100,4))</f>
        <v>0</v>
      </c>
      <c r="AC29" s="3126"/>
      <c r="AD29" s="3106">
        <f t="shared" ref="AD29" si="54">IF(I29=0,0,ROUND(AVERAGE(I29:I40)/100,4))</f>
        <v>0</v>
      </c>
    </row>
    <row r="30" spans="1:30">
      <c r="A30" s="3088" t="s">
        <v>3253</v>
      </c>
      <c r="B30" s="3139">
        <v>2023</v>
      </c>
      <c r="C30" s="3140">
        <v>3</v>
      </c>
      <c r="D30" s="3140"/>
      <c r="E30" s="3140">
        <v>0.35</v>
      </c>
      <c r="F30" s="3140">
        <v>0.17</v>
      </c>
      <c r="G30" s="3140">
        <v>0.52</v>
      </c>
      <c r="H30" s="3141"/>
      <c r="I30" s="3142">
        <f t="shared" si="37"/>
        <v>0.17</v>
      </c>
      <c r="J30" s="3107"/>
      <c r="K30" s="3108"/>
      <c r="L30" s="3109">
        <f t="shared" ref="L30:L32" si="55">E30/100</f>
        <v>3.4999999999999996E-3</v>
      </c>
      <c r="M30" s="3109">
        <f t="shared" ref="M30:M32" si="56">F30/100</f>
        <v>1.7000000000000001E-3</v>
      </c>
      <c r="N30" s="3109">
        <f t="shared" ref="N30:N32" si="57">G30/100</f>
        <v>5.1999999999999998E-3</v>
      </c>
      <c r="O30" s="3109"/>
      <c r="P30" s="3109">
        <f t="shared" ref="P30:P32" si="58">M30</f>
        <v>1.7000000000000001E-3</v>
      </c>
      <c r="Q30" s="3107"/>
      <c r="R30" s="3107"/>
      <c r="S30" s="3107">
        <f>ROUND(IF(项目基本情况!$B$8="出让",SUMPRODUCT(PRODUCT(1+L30:L$40)),SUMPRODUCT(PRODUCT(1+L30:L$39))),4)</f>
        <v>1.0431999999999999</v>
      </c>
      <c r="T30" s="3107">
        <f>ROUND(IF(项目基本情况!$B$8="出让",SUMPRODUCT(PRODUCT(1+M30:M$40)),SUMPRODUCT(PRODUCT(1+M30:M$39))),4)</f>
        <v>1.0286999999999999</v>
      </c>
      <c r="U30" s="3107">
        <f>ROUND(IF(项目基本情况!$B$8="出让",SUMPRODUCT(PRODUCT(1+N30:N$40)),SUMPRODUCT(PRODUCT(1+N30:N$39))),4)</f>
        <v>1.0723</v>
      </c>
      <c r="V30" s="3107"/>
      <c r="W30" s="3107">
        <f t="shared" ref="W30:W32" si="59">T30</f>
        <v>1.0286999999999999</v>
      </c>
      <c r="X30" s="3107"/>
      <c r="Y30" s="3109"/>
      <c r="Z30" s="3127">
        <f t="shared" ref="Z30:AB30" si="60">IF(E30=0,0,ROUND(AVERAGE(E30:E41)/100,4))</f>
        <v>4.1999999999999997E-3</v>
      </c>
      <c r="AA30" s="3128">
        <f t="shared" si="60"/>
        <v>3.0000000000000001E-3</v>
      </c>
      <c r="AB30" s="3109">
        <f t="shared" si="60"/>
        <v>7.3000000000000001E-3</v>
      </c>
      <c r="AC30" s="3129"/>
      <c r="AD30" s="3109">
        <f t="shared" ref="AD30:AD32" si="61">IF(I30=0,0,ROUND(AVERAGE(I30:I41)/100,4))</f>
        <v>3.0000000000000001E-3</v>
      </c>
    </row>
    <row r="31" spans="1:30">
      <c r="A31" s="3087" t="s">
        <v>3254</v>
      </c>
      <c r="B31" s="3136">
        <v>2023</v>
      </c>
      <c r="C31" s="3137">
        <v>2</v>
      </c>
      <c r="D31" s="3137"/>
      <c r="E31" s="3137">
        <v>0.5</v>
      </c>
      <c r="F31" s="3137">
        <v>0.45</v>
      </c>
      <c r="G31" s="3137">
        <v>0.89</v>
      </c>
      <c r="H31" s="3143"/>
      <c r="I31" s="3138">
        <f t="shared" si="37"/>
        <v>0.45</v>
      </c>
      <c r="J31" s="3104"/>
      <c r="K31" s="3105"/>
      <c r="L31" s="3106">
        <f t="shared" si="55"/>
        <v>5.0000000000000001E-3</v>
      </c>
      <c r="M31" s="3106">
        <f t="shared" si="56"/>
        <v>4.5000000000000005E-3</v>
      </c>
      <c r="N31" s="3106">
        <f t="shared" si="57"/>
        <v>8.8999999999999999E-3</v>
      </c>
      <c r="O31" s="3106"/>
      <c r="P31" s="3106">
        <f t="shared" si="58"/>
        <v>4.5000000000000005E-3</v>
      </c>
      <c r="Q31" s="3104"/>
      <c r="R31" s="3115"/>
      <c r="S31" s="3115">
        <f>ROUND(IF(项目基本情况!$B$8="出让",SUMPRODUCT(PRODUCT(1+L31:L$40)),SUMPRODUCT(PRODUCT(1+L31:L$39))),4)</f>
        <v>1.0396000000000001</v>
      </c>
      <c r="T31" s="3115">
        <f>ROUND(IF(项目基本情况!$B$8="出让",SUMPRODUCT(PRODUCT(1+M31:M$40)),SUMPRODUCT(PRODUCT(1+M31:M$39))),4)</f>
        <v>1.0269999999999999</v>
      </c>
      <c r="U31" s="3115">
        <f>ROUND(IF(项目基本情况!$B$8="出让",SUMPRODUCT(PRODUCT(1+N31:N$40)),SUMPRODUCT(PRODUCT(1+N31:N$39))),4)</f>
        <v>1.0668</v>
      </c>
      <c r="V31" s="3115"/>
      <c r="W31" s="3115">
        <f t="shared" si="59"/>
        <v>1.0269999999999999</v>
      </c>
      <c r="X31" s="3104"/>
      <c r="Y31" s="3106"/>
      <c r="Z31" s="3124">
        <f t="shared" ref="Z31:AB31" si="62">IF(E31=0,0,ROUND(AVERAGE(E31:E42)/100,4))</f>
        <v>4.1999999999999997E-3</v>
      </c>
      <c r="AA31" s="3125">
        <f t="shared" si="62"/>
        <v>3.2000000000000002E-3</v>
      </c>
      <c r="AB31" s="3106">
        <f t="shared" si="62"/>
        <v>7.4999999999999997E-3</v>
      </c>
      <c r="AC31" s="3126"/>
      <c r="AD31" s="3106">
        <f t="shared" si="61"/>
        <v>3.2000000000000002E-3</v>
      </c>
    </row>
    <row r="32" spans="1:30">
      <c r="A32" s="3087" t="s">
        <v>3250</v>
      </c>
      <c r="B32" s="3136">
        <v>2023</v>
      </c>
      <c r="C32" s="3137">
        <v>1</v>
      </c>
      <c r="D32" s="3137"/>
      <c r="E32" s="3137">
        <v>0.55000000000000004</v>
      </c>
      <c r="F32" s="3137">
        <v>0.59</v>
      </c>
      <c r="G32" s="3137">
        <v>0.64</v>
      </c>
      <c r="H32" s="3143"/>
      <c r="I32" s="3138">
        <f t="shared" si="37"/>
        <v>0.59</v>
      </c>
      <c r="J32" s="3104"/>
      <c r="K32" s="3105"/>
      <c r="L32" s="3106">
        <f t="shared" si="55"/>
        <v>5.5000000000000005E-3</v>
      </c>
      <c r="M32" s="3106">
        <f t="shared" si="56"/>
        <v>5.8999999999999999E-3</v>
      </c>
      <c r="N32" s="3106">
        <f t="shared" si="57"/>
        <v>6.4000000000000003E-3</v>
      </c>
      <c r="O32" s="3106"/>
      <c r="P32" s="3106">
        <f t="shared" si="58"/>
        <v>5.8999999999999999E-3</v>
      </c>
      <c r="Q32" s="3104"/>
      <c r="R32" s="3115"/>
      <c r="S32" s="3115">
        <f>ROUND(IF(项目基本情况!$B$8="出让",SUMPRODUCT(PRODUCT(1+L32:L$40)),SUMPRODUCT(PRODUCT(1+L32:L$39))),4)</f>
        <v>1.0344</v>
      </c>
      <c r="T32" s="3115">
        <f>ROUND(IF(项目基本情况!$B$8="出让",SUMPRODUCT(PRODUCT(1+M32:M$40)),SUMPRODUCT(PRODUCT(1+M32:M$39))),4)</f>
        <v>1.0224</v>
      </c>
      <c r="U32" s="3115">
        <f>ROUND(IF(项目基本情况!$B$8="出让",SUMPRODUCT(PRODUCT(1+N32:N$40)),SUMPRODUCT(PRODUCT(1+N32:N$39))),4)</f>
        <v>1.0573999999999999</v>
      </c>
      <c r="V32" s="3115"/>
      <c r="W32" s="3115">
        <f t="shared" si="59"/>
        <v>1.0224</v>
      </c>
      <c r="X32" s="3104"/>
      <c r="Y32" s="3106"/>
      <c r="Z32" s="3124">
        <f t="shared" ref="Z32:AB32" si="63">IF(E32=0,0,ROUND(AVERAGE(E32:E43)/100,4))</f>
        <v>4.1999999999999997E-3</v>
      </c>
      <c r="AA32" s="3125">
        <f t="shared" si="63"/>
        <v>3.0000000000000001E-3</v>
      </c>
      <c r="AB32" s="3106">
        <f t="shared" si="63"/>
        <v>7.3000000000000001E-3</v>
      </c>
      <c r="AC32" s="3126"/>
      <c r="AD32" s="3106">
        <f t="shared" si="61"/>
        <v>3.0000000000000001E-3</v>
      </c>
    </row>
    <row r="33" spans="1:30">
      <c r="A33" s="3087" t="s">
        <v>3248</v>
      </c>
      <c r="B33" s="3136">
        <v>2022</v>
      </c>
      <c r="C33" s="3137">
        <v>4</v>
      </c>
      <c r="D33" s="3137"/>
      <c r="E33" s="3137">
        <v>0.45</v>
      </c>
      <c r="F33" s="3137">
        <v>0.2</v>
      </c>
      <c r="G33" s="3137">
        <v>0.38</v>
      </c>
      <c r="H33" s="3143"/>
      <c r="I33" s="3138">
        <f t="shared" si="37"/>
        <v>0.2</v>
      </c>
      <c r="J33" s="3104"/>
      <c r="K33" s="3105"/>
      <c r="L33" s="3106">
        <f t="shared" si="38"/>
        <v>4.5000000000000005E-3</v>
      </c>
      <c r="M33" s="3106">
        <f t="shared" si="38"/>
        <v>2E-3</v>
      </c>
      <c r="N33" s="3106">
        <f t="shared" si="38"/>
        <v>3.8E-3</v>
      </c>
      <c r="O33" s="3106"/>
      <c r="P33" s="3106">
        <f t="shared" ref="P33:P40" si="64">M33</f>
        <v>2E-3</v>
      </c>
      <c r="Q33" s="3104"/>
      <c r="R33" s="3115"/>
      <c r="S33" s="3115">
        <f>ROUND(IF(项目基本情况!$B$8="出让",SUMPRODUCT(PRODUCT(1+L33:L$40)),SUMPRODUCT(PRODUCT(1+L33:L$39))),4)</f>
        <v>1.0286999999999999</v>
      </c>
      <c r="T33" s="3115">
        <f>ROUND(IF(项目基本情况!$B$8="出让",SUMPRODUCT(PRODUCT(1+M33:M$40)),SUMPRODUCT(PRODUCT(1+M33:M$39))),4)</f>
        <v>1.0164</v>
      </c>
      <c r="U33" s="3115">
        <f>ROUND(IF(项目基本情况!$B$8="出让",SUMPRODUCT(PRODUCT(1+N33:N$40)),SUMPRODUCT(PRODUCT(1+N33:N$39))),4)</f>
        <v>1.0506</v>
      </c>
      <c r="V33" s="3115"/>
      <c r="W33" s="3115">
        <f t="shared" ref="W33:W40" si="65">T33</f>
        <v>1.0164</v>
      </c>
      <c r="X33" s="3104"/>
      <c r="Y33" s="3106"/>
      <c r="Z33" s="3124">
        <f t="shared" ref="Z33:AD40" si="66">IF(E33=0,0,ROUND(AVERAGE(E33:E41)/100,4))</f>
        <v>4.0000000000000001E-3</v>
      </c>
      <c r="AA33" s="3125">
        <f t="shared" si="66"/>
        <v>2.5999999999999999E-3</v>
      </c>
      <c r="AB33" s="3106">
        <f t="shared" si="66"/>
        <v>7.4000000000000003E-3</v>
      </c>
      <c r="AC33" s="3126"/>
      <c r="AD33" s="3106">
        <f t="shared" si="66"/>
        <v>2.5999999999999999E-3</v>
      </c>
    </row>
    <row r="34" spans="1:30">
      <c r="A34" s="3087" t="s">
        <v>3244</v>
      </c>
      <c r="B34" s="3136">
        <v>2022</v>
      </c>
      <c r="C34" s="3137">
        <v>3</v>
      </c>
      <c r="D34" s="3137"/>
      <c r="E34" s="3137">
        <v>0.3</v>
      </c>
      <c r="F34" s="3137">
        <v>0.28999999999999998</v>
      </c>
      <c r="G34" s="3137">
        <v>0.83</v>
      </c>
      <c r="H34" s="3143"/>
      <c r="I34" s="3138">
        <f t="shared" si="37"/>
        <v>0.28999999999999998</v>
      </c>
      <c r="J34" s="3104"/>
      <c r="K34" s="3105"/>
      <c r="L34" s="3106">
        <f t="shared" si="38"/>
        <v>3.0000000000000001E-3</v>
      </c>
      <c r="M34" s="3106">
        <f t="shared" si="38"/>
        <v>2.8999999999999998E-3</v>
      </c>
      <c r="N34" s="3106">
        <f t="shared" si="38"/>
        <v>8.3000000000000001E-3</v>
      </c>
      <c r="O34" s="3106"/>
      <c r="P34" s="3106">
        <f t="shared" si="64"/>
        <v>2.8999999999999998E-3</v>
      </c>
      <c r="Q34" s="3104"/>
      <c r="R34" s="3115"/>
      <c r="S34" s="3115">
        <f>ROUND(IF(项目基本情况!$B$8="出让",SUMPRODUCT(PRODUCT(1+L34:L$40)),SUMPRODUCT(PRODUCT(1+L34:L$39))),4)</f>
        <v>1.0241</v>
      </c>
      <c r="T34" s="3115">
        <f>ROUND(IF(项目基本情况!$B$8="出让",SUMPRODUCT(PRODUCT(1+M34:M$40)),SUMPRODUCT(PRODUCT(1+M34:M$39))),4)</f>
        <v>1.0144</v>
      </c>
      <c r="U34" s="3115">
        <f>ROUND(IF(项目基本情况!$B$8="出让",SUMPRODUCT(PRODUCT(1+N34:N$40)),SUMPRODUCT(PRODUCT(1+N34:N$39))),4)</f>
        <v>1.0467</v>
      </c>
      <c r="V34" s="3115"/>
      <c r="W34" s="3115">
        <f t="shared" si="65"/>
        <v>1.0144</v>
      </c>
      <c r="X34" s="3104"/>
      <c r="Y34" s="3106"/>
      <c r="Z34" s="3124">
        <f t="shared" si="66"/>
        <v>3.8999999999999998E-3</v>
      </c>
      <c r="AA34" s="3125">
        <f t="shared" si="66"/>
        <v>2.7000000000000001E-3</v>
      </c>
      <c r="AB34" s="3106">
        <f t="shared" si="66"/>
        <v>7.9000000000000008E-3</v>
      </c>
      <c r="AC34" s="3126"/>
      <c r="AD34" s="3106">
        <f t="shared" si="66"/>
        <v>2.7000000000000001E-3</v>
      </c>
    </row>
    <row r="35" spans="1:30">
      <c r="A35" s="3087" t="s">
        <v>3243</v>
      </c>
      <c r="B35" s="3136">
        <v>2022</v>
      </c>
      <c r="C35" s="3137">
        <v>2</v>
      </c>
      <c r="D35" s="3137"/>
      <c r="E35" s="3137">
        <v>-0.11</v>
      </c>
      <c r="F35" s="3137">
        <v>-0.13</v>
      </c>
      <c r="G35" s="3137">
        <v>0.53</v>
      </c>
      <c r="H35" s="3143"/>
      <c r="I35" s="3138">
        <f t="shared" si="37"/>
        <v>-0.13</v>
      </c>
      <c r="J35" s="3104"/>
      <c r="K35" s="3105"/>
      <c r="L35" s="3106">
        <f t="shared" si="38"/>
        <v>-1.1000000000000001E-3</v>
      </c>
      <c r="M35" s="3106">
        <f t="shared" si="38"/>
        <v>-1.2999999999999999E-3</v>
      </c>
      <c r="N35" s="3106">
        <f t="shared" si="38"/>
        <v>5.3E-3</v>
      </c>
      <c r="O35" s="3106"/>
      <c r="P35" s="3106">
        <f t="shared" si="64"/>
        <v>-1.2999999999999999E-3</v>
      </c>
      <c r="Q35" s="3104"/>
      <c r="R35" s="3115"/>
      <c r="S35" s="3115">
        <f>ROUND(IF(项目基本情况!$B$8="出让",SUMPRODUCT(PRODUCT(1+L35:L$40)),SUMPRODUCT(PRODUCT(1+L35:L$39))),4)</f>
        <v>1.0210999999999999</v>
      </c>
      <c r="T35" s="3115">
        <f>ROUND(IF(项目基本情况!$B$8="出让",SUMPRODUCT(PRODUCT(1+M35:M$40)),SUMPRODUCT(PRODUCT(1+M35:M$39))),4)</f>
        <v>1.0114000000000001</v>
      </c>
      <c r="U35" s="3115">
        <f>ROUND(IF(项目基本情况!$B$8="出让",SUMPRODUCT(PRODUCT(1+N35:N$40)),SUMPRODUCT(PRODUCT(1+N35:N$39))),4)</f>
        <v>1.0381</v>
      </c>
      <c r="V35" s="3115"/>
      <c r="W35" s="3115">
        <f t="shared" si="65"/>
        <v>1.0114000000000001</v>
      </c>
      <c r="X35" s="3104"/>
      <c r="Y35" s="3106"/>
      <c r="Z35" s="3124">
        <f t="shared" si="66"/>
        <v>4.1000000000000003E-3</v>
      </c>
      <c r="AA35" s="3125">
        <f t="shared" si="66"/>
        <v>2.7000000000000001E-3</v>
      </c>
      <c r="AB35" s="3106">
        <f t="shared" si="66"/>
        <v>7.9000000000000008E-3</v>
      </c>
      <c r="AC35" s="3126"/>
      <c r="AD35" s="3106">
        <f t="shared" si="66"/>
        <v>2.7000000000000001E-3</v>
      </c>
    </row>
    <row r="36" spans="1:30">
      <c r="A36" s="3087" t="s">
        <v>2777</v>
      </c>
      <c r="B36" s="3136">
        <v>2022</v>
      </c>
      <c r="C36" s="3137">
        <v>1</v>
      </c>
      <c r="D36" s="3137"/>
      <c r="E36" s="3137">
        <v>0.6</v>
      </c>
      <c r="F36" s="3137">
        <v>0.45</v>
      </c>
      <c r="G36" s="3137">
        <v>0.53</v>
      </c>
      <c r="H36" s="3143"/>
      <c r="I36" s="3138">
        <f t="shared" si="37"/>
        <v>0.45</v>
      </c>
      <c r="J36" s="3104"/>
      <c r="K36" s="3105"/>
      <c r="L36" s="3106">
        <f t="shared" si="38"/>
        <v>6.0000000000000001E-3</v>
      </c>
      <c r="M36" s="3106">
        <f t="shared" si="38"/>
        <v>4.5000000000000005E-3</v>
      </c>
      <c r="N36" s="3106">
        <f t="shared" si="38"/>
        <v>5.3E-3</v>
      </c>
      <c r="O36" s="3106"/>
      <c r="P36" s="3106">
        <f t="shared" si="64"/>
        <v>4.5000000000000005E-3</v>
      </c>
      <c r="Q36" s="3104"/>
      <c r="R36" s="3115"/>
      <c r="S36" s="3115">
        <f>ROUND(IF(项目基本情况!$B$8="出让",SUMPRODUCT(PRODUCT(1+L36:L$40)),SUMPRODUCT(PRODUCT(1+L36:L$39))),4)</f>
        <v>1.0222</v>
      </c>
      <c r="T36" s="3115">
        <f>ROUND(IF(项目基本情况!$B$8="出让",SUMPRODUCT(PRODUCT(1+M36:M$40)),SUMPRODUCT(PRODUCT(1+M36:M$39))),4)</f>
        <v>1.0127999999999999</v>
      </c>
      <c r="U36" s="3115">
        <f>ROUND(IF(项目基本情况!$B$8="出让",SUMPRODUCT(PRODUCT(1+N36:N$40)),SUMPRODUCT(PRODUCT(1+N36:N$39))),4)</f>
        <v>1.0326</v>
      </c>
      <c r="V36" s="3115"/>
      <c r="W36" s="3115">
        <f t="shared" si="65"/>
        <v>1.0127999999999999</v>
      </c>
      <c r="X36" s="3104"/>
      <c r="Y36" s="3106"/>
      <c r="Z36" s="3124">
        <f t="shared" si="66"/>
        <v>5.1000000000000004E-3</v>
      </c>
      <c r="AA36" s="3125">
        <f t="shared" si="66"/>
        <v>3.5000000000000001E-3</v>
      </c>
      <c r="AB36" s="3106">
        <f t="shared" si="66"/>
        <v>8.3999999999999995E-3</v>
      </c>
      <c r="AC36" s="3126"/>
      <c r="AD36" s="3106">
        <f t="shared" si="66"/>
        <v>3.5000000000000001E-3</v>
      </c>
    </row>
    <row r="37" spans="1:30">
      <c r="A37" s="3087" t="s">
        <v>2778</v>
      </c>
      <c r="B37" s="3136">
        <v>2021</v>
      </c>
      <c r="C37" s="3137">
        <v>4</v>
      </c>
      <c r="D37" s="3137"/>
      <c r="E37" s="3137">
        <v>0.57999999999999996</v>
      </c>
      <c r="F37" s="3137">
        <v>0.08</v>
      </c>
      <c r="G37" s="3137">
        <v>0.68</v>
      </c>
      <c r="H37" s="3143"/>
      <c r="I37" s="3138">
        <f t="shared" si="37"/>
        <v>0.08</v>
      </c>
      <c r="J37" s="3104"/>
      <c r="K37" s="3105"/>
      <c r="L37" s="3106">
        <f t="shared" si="38"/>
        <v>5.7999999999999996E-3</v>
      </c>
      <c r="M37" s="3106">
        <f t="shared" si="38"/>
        <v>8.0000000000000004E-4</v>
      </c>
      <c r="N37" s="3106">
        <f t="shared" si="38"/>
        <v>6.8000000000000005E-3</v>
      </c>
      <c r="O37" s="3106"/>
      <c r="P37" s="3106">
        <f t="shared" si="64"/>
        <v>8.0000000000000004E-4</v>
      </c>
      <c r="Q37" s="3104"/>
      <c r="R37" s="3115"/>
      <c r="S37" s="3115">
        <f>ROUND(IF(项目基本情况!$B$8="出让",SUMPRODUCT(PRODUCT(1+L37:L$40)),SUMPRODUCT(PRODUCT(1+L37:L$39))),4)</f>
        <v>1.0161</v>
      </c>
      <c r="T37" s="3115">
        <f>ROUND(IF(项目基本情况!$B$8="出让",SUMPRODUCT(PRODUCT(1+M37:M$40)),SUMPRODUCT(PRODUCT(1+M37:M$39))),4)</f>
        <v>1.0082</v>
      </c>
      <c r="U37" s="3115">
        <f>ROUND(IF(项目基本情况!$B$8="出让",SUMPRODUCT(PRODUCT(1+N37:N$40)),SUMPRODUCT(PRODUCT(1+N37:N$39))),4)</f>
        <v>1.0270999999999999</v>
      </c>
      <c r="V37" s="3115"/>
      <c r="W37" s="3115">
        <f t="shared" si="65"/>
        <v>1.0082</v>
      </c>
      <c r="X37" s="3104"/>
      <c r="Y37" s="3106"/>
      <c r="Z37" s="3124">
        <f t="shared" si="66"/>
        <v>4.8999999999999998E-3</v>
      </c>
      <c r="AA37" s="3125">
        <f t="shared" si="66"/>
        <v>3.3E-3</v>
      </c>
      <c r="AB37" s="3106">
        <f t="shared" si="66"/>
        <v>9.1999999999999998E-3</v>
      </c>
      <c r="AC37" s="3126"/>
      <c r="AD37" s="3106">
        <f t="shared" si="66"/>
        <v>3.3E-3</v>
      </c>
    </row>
    <row r="38" spans="1:30">
      <c r="A38" s="3087" t="s">
        <v>2779</v>
      </c>
      <c r="B38" s="3136">
        <v>2021</v>
      </c>
      <c r="C38" s="3137">
        <v>3</v>
      </c>
      <c r="D38" s="3137"/>
      <c r="E38" s="3137">
        <v>0.47</v>
      </c>
      <c r="F38" s="3137">
        <v>0.28000000000000003</v>
      </c>
      <c r="G38" s="3137">
        <v>0.91</v>
      </c>
      <c r="H38" s="3143"/>
      <c r="I38" s="3138">
        <f t="shared" si="37"/>
        <v>0.28000000000000003</v>
      </c>
      <c r="J38" s="3104"/>
      <c r="K38" s="3105"/>
      <c r="L38" s="3106">
        <f t="shared" si="38"/>
        <v>4.6999999999999993E-3</v>
      </c>
      <c r="M38" s="3106">
        <f t="shared" si="38"/>
        <v>2.8000000000000004E-3</v>
      </c>
      <c r="N38" s="3106">
        <f t="shared" si="38"/>
        <v>9.1000000000000004E-3</v>
      </c>
      <c r="O38" s="3106"/>
      <c r="P38" s="3106">
        <f t="shared" si="64"/>
        <v>2.8000000000000004E-3</v>
      </c>
      <c r="Q38" s="3104"/>
      <c r="R38" s="3115"/>
      <c r="S38" s="3115">
        <f>ROUND(IF(项目基本情况!$B$8="出让",SUMPRODUCT(PRODUCT(1+L38:L$40)),SUMPRODUCT(PRODUCT(1+L38:L$39))),4)</f>
        <v>1.0102</v>
      </c>
      <c r="T38" s="3115">
        <f>ROUND(IF(项目基本情况!$B$8="出让",SUMPRODUCT(PRODUCT(1+M38:M$40)),SUMPRODUCT(PRODUCT(1+M38:M$39))),4)</f>
        <v>1.0074000000000001</v>
      </c>
      <c r="U38" s="3115">
        <f>ROUND(IF(项目基本情况!$B$8="出让",SUMPRODUCT(PRODUCT(1+N38:N$40)),SUMPRODUCT(PRODUCT(1+N38:N$39))),4)</f>
        <v>1.0202</v>
      </c>
      <c r="V38" s="3115"/>
      <c r="W38" s="3115">
        <f t="shared" si="65"/>
        <v>1.0074000000000001</v>
      </c>
      <c r="X38" s="3104"/>
      <c r="Y38" s="3106"/>
      <c r="Z38" s="3124">
        <f t="shared" si="66"/>
        <v>4.5999999999999999E-3</v>
      </c>
      <c r="AA38" s="3125">
        <f t="shared" si="66"/>
        <v>4.1000000000000003E-3</v>
      </c>
      <c r="AB38" s="3106">
        <f t="shared" si="66"/>
        <v>0.01</v>
      </c>
      <c r="AC38" s="3126"/>
      <c r="AD38" s="3106">
        <f t="shared" si="66"/>
        <v>4.1000000000000003E-3</v>
      </c>
    </row>
    <row r="39" spans="1:30">
      <c r="A39" s="3087" t="s">
        <v>2783</v>
      </c>
      <c r="B39" s="3136">
        <v>2021</v>
      </c>
      <c r="C39" s="3137">
        <v>2</v>
      </c>
      <c r="D39" s="3137"/>
      <c r="E39" s="3137">
        <v>0.55000000000000004</v>
      </c>
      <c r="F39" s="3137">
        <v>0.46</v>
      </c>
      <c r="G39" s="3137">
        <v>1.1000000000000001</v>
      </c>
      <c r="H39" s="3143"/>
      <c r="I39" s="3138">
        <f t="shared" si="37"/>
        <v>0.46</v>
      </c>
      <c r="J39" s="3104"/>
      <c r="K39" s="3105"/>
      <c r="L39" s="3106">
        <f t="shared" si="38"/>
        <v>5.5000000000000005E-3</v>
      </c>
      <c r="M39" s="3106">
        <f t="shared" si="38"/>
        <v>4.5999999999999999E-3</v>
      </c>
      <c r="N39" s="3106">
        <f t="shared" si="38"/>
        <v>1.1000000000000001E-2</v>
      </c>
      <c r="O39" s="3106"/>
      <c r="P39" s="3106">
        <f t="shared" si="64"/>
        <v>4.5999999999999999E-3</v>
      </c>
      <c r="Q39" s="3104"/>
      <c r="R39" s="3115"/>
      <c r="S39" s="3115">
        <f>ROUND(IF(项目基本情况!$B$8="出让",SUMPRODUCT(PRODUCT(1+L39:L$40)),SUMPRODUCT(PRODUCT(1+L39:L$39))),4)</f>
        <v>1.0055000000000001</v>
      </c>
      <c r="T39" s="3115">
        <f>ROUND(IF(项目基本情况!$B$8="出让",SUMPRODUCT(PRODUCT(1+M39:M$40)),SUMPRODUCT(PRODUCT(1+M39:M$39))),4)</f>
        <v>1.0045999999999999</v>
      </c>
      <c r="U39" s="3115">
        <f>ROUND(IF(项目基本情况!$B$8="出让",SUMPRODUCT(PRODUCT(1+N39:N$40)),SUMPRODUCT(PRODUCT(1+N39:N$39))),4)</f>
        <v>1.0109999999999999</v>
      </c>
      <c r="V39" s="3115"/>
      <c r="W39" s="3115">
        <f t="shared" si="65"/>
        <v>1.0045999999999999</v>
      </c>
      <c r="X39" s="3104"/>
      <c r="Y39" s="3106"/>
      <c r="Z39" s="3124">
        <f t="shared" si="66"/>
        <v>4.4999999999999997E-3</v>
      </c>
      <c r="AA39" s="3125">
        <f t="shared" si="66"/>
        <v>4.7000000000000002E-3</v>
      </c>
      <c r="AB39" s="3106">
        <f t="shared" si="66"/>
        <v>1.04E-2</v>
      </c>
      <c r="AC39" s="3126"/>
      <c r="AD39" s="3106">
        <f t="shared" si="66"/>
        <v>4.7000000000000002E-3</v>
      </c>
    </row>
    <row r="40" spans="1:30" ht="14.25" thickBot="1">
      <c r="A40" s="3089" t="s">
        <v>2784</v>
      </c>
      <c r="B40" s="3144">
        <v>2021</v>
      </c>
      <c r="C40" s="3145">
        <v>1</v>
      </c>
      <c r="D40" s="3145"/>
      <c r="E40" s="3145">
        <v>0.35</v>
      </c>
      <c r="F40" s="3145">
        <v>0.48</v>
      </c>
      <c r="G40" s="3145">
        <v>0.98</v>
      </c>
      <c r="H40" s="3146"/>
      <c r="I40" s="3147">
        <f t="shared" si="37"/>
        <v>0.48</v>
      </c>
      <c r="J40" s="3110"/>
      <c r="K40" s="3111"/>
      <c r="L40" s="3112">
        <f t="shared" si="38"/>
        <v>3.4999999999999996E-3</v>
      </c>
      <c r="M40" s="3112">
        <f>F40/100</f>
        <v>4.7999999999999996E-3</v>
      </c>
      <c r="N40" s="3112">
        <f t="shared" si="38"/>
        <v>9.7999999999999997E-3</v>
      </c>
      <c r="O40" s="3112"/>
      <c r="P40" s="3112">
        <f t="shared" si="64"/>
        <v>4.7999999999999996E-3</v>
      </c>
      <c r="Q40" s="3110"/>
      <c r="R40" s="3119"/>
      <c r="S40" s="3119">
        <v>1</v>
      </c>
      <c r="T40" s="3119">
        <v>1</v>
      </c>
      <c r="U40" s="3119">
        <v>1</v>
      </c>
      <c r="V40" s="3119"/>
      <c r="W40" s="3119">
        <f t="shared" si="65"/>
        <v>1</v>
      </c>
      <c r="X40" s="3110"/>
      <c r="Y40" s="3112"/>
      <c r="Z40" s="3130">
        <f t="shared" si="66"/>
        <v>3.5000000000000001E-3</v>
      </c>
      <c r="AA40" s="3131">
        <f t="shared" si="66"/>
        <v>4.7999999999999996E-3</v>
      </c>
      <c r="AB40" s="3112">
        <f t="shared" si="66"/>
        <v>9.7999999999999997E-3</v>
      </c>
      <c r="AC40" s="3132"/>
      <c r="AD40" s="3112">
        <f t="shared" si="66"/>
        <v>4.7999999999999996E-3</v>
      </c>
    </row>
    <row r="41" spans="1:30" ht="14.25" thickTop="1"/>
    <row r="42" spans="1:30">
      <c r="A42" s="3388" t="s">
        <v>3246</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N29"/>
  <sheetViews>
    <sheetView view="pageBreakPreview" zoomScale="90" zoomScaleNormal="100" zoomScaleSheetLayoutView="90" workbookViewId="0">
      <selection activeCell="H49" sqref="H49"/>
    </sheetView>
  </sheetViews>
  <sheetFormatPr defaultColWidth="8.875" defaultRowHeight="13.5"/>
  <cols>
    <col min="1" max="1" width="22.625" style="2748" customWidth="1"/>
    <col min="2" max="2" width="12.5" style="2748" customWidth="1"/>
    <col min="3" max="3" width="12.125" style="2748" customWidth="1"/>
    <col min="4" max="4" width="16.625" style="2748" customWidth="1"/>
    <col min="5" max="5" width="12.5" style="2748" customWidth="1"/>
    <col min="6" max="6" width="12.625" style="2748" customWidth="1"/>
    <col min="7" max="16384" width="8.875" style="2748"/>
  </cols>
  <sheetData>
    <row r="1" spans="1:14" ht="20.25">
      <c r="A1" s="2751" t="s">
        <v>2205</v>
      </c>
      <c r="B1" s="2746"/>
      <c r="C1" s="2746"/>
      <c r="D1" s="2746"/>
      <c r="E1" s="2746"/>
      <c r="F1" s="2746"/>
      <c r="G1" s="2747"/>
      <c r="H1" s="2747"/>
      <c r="I1" s="2747"/>
      <c r="J1" s="2747"/>
      <c r="K1" s="2747"/>
      <c r="L1" s="2747"/>
      <c r="M1" s="2747"/>
      <c r="N1" s="2747"/>
    </row>
    <row r="2" spans="1:14" ht="14.25">
      <c r="A2" s="2752" t="s">
        <v>2200</v>
      </c>
      <c r="B2" s="2757">
        <f ca="1">SUMIF(B7:B14,"&lt;&gt;#ref!",B7:B14)</f>
        <v>0</v>
      </c>
      <c r="C2" s="2752" t="s">
        <v>2201</v>
      </c>
      <c r="D2" s="2749"/>
      <c r="E2" s="2749"/>
      <c r="F2" s="2749"/>
      <c r="G2" s="2747"/>
      <c r="H2" s="2747"/>
      <c r="I2" s="2747"/>
      <c r="J2" s="2747"/>
      <c r="K2" s="2747"/>
      <c r="L2" s="2747"/>
      <c r="M2" s="2747"/>
      <c r="N2" s="2747"/>
    </row>
    <row r="3" spans="1:14" ht="14.25">
      <c r="A3" s="2752" t="s">
        <v>2229</v>
      </c>
      <c r="B3" s="2757" t="e">
        <f ca="1">ROUND(B2*10000/E3,0)</f>
        <v>#DIV/0!</v>
      </c>
      <c r="C3" s="2752" t="s">
        <v>1594</v>
      </c>
      <c r="D3" s="2752" t="s">
        <v>2202</v>
      </c>
      <c r="E3" s="2750">
        <f ca="1">SUMIF(E7:E14,"&lt;&gt;#ref!",E7:E14)</f>
        <v>0</v>
      </c>
      <c r="F3" s="2749"/>
      <c r="G3" s="2747"/>
      <c r="H3" s="2747"/>
      <c r="I3" s="2747"/>
      <c r="J3" s="2747"/>
      <c r="K3" s="2747"/>
      <c r="L3" s="2747"/>
      <c r="M3" s="2747"/>
      <c r="N3" s="2747"/>
    </row>
    <row r="4" spans="1:14" ht="14.25">
      <c r="A4" s="2752" t="s">
        <v>2208</v>
      </c>
      <c r="B4" s="2757" t="e">
        <f ca="1">ROUND(B2*10000/E4,0)</f>
        <v>#DIV/0!</v>
      </c>
      <c r="C4" s="2752" t="s">
        <v>1594</v>
      </c>
      <c r="D4" s="2752" t="s">
        <v>2209</v>
      </c>
      <c r="E4" s="2750">
        <f ca="1">SUMIF(F7:F14,"&lt;&gt;#ref!",F7:F14)</f>
        <v>0</v>
      </c>
      <c r="F4" s="2749"/>
      <c r="G4" s="2747"/>
      <c r="H4" s="2747"/>
      <c r="I4" s="2747"/>
      <c r="J4" s="2747"/>
      <c r="K4" s="2747"/>
      <c r="L4" s="2747"/>
      <c r="M4" s="2747"/>
      <c r="N4" s="2747"/>
    </row>
    <row r="5" spans="1:14" ht="14.25">
      <c r="A5" s="2753"/>
      <c r="B5" s="2749"/>
      <c r="C5" s="2749"/>
      <c r="D5" s="2749"/>
      <c r="E5" s="2749"/>
      <c r="F5" s="2749"/>
      <c r="G5" s="2747"/>
      <c r="H5" s="2747"/>
      <c r="I5" s="2747"/>
      <c r="J5" s="2747"/>
      <c r="K5" s="2747"/>
      <c r="L5" s="2747"/>
      <c r="M5" s="2747"/>
      <c r="N5" s="2747"/>
    </row>
    <row r="6" spans="1:14" ht="28.5">
      <c r="A6" s="2754" t="s">
        <v>2206</v>
      </c>
      <c r="B6" s="2752" t="s">
        <v>2203</v>
      </c>
      <c r="C6" s="2354"/>
      <c r="D6" s="2749"/>
      <c r="E6" s="2752" t="s">
        <v>2204</v>
      </c>
      <c r="F6" s="2752" t="s">
        <v>2207</v>
      </c>
      <c r="G6" s="2747"/>
      <c r="H6" s="2747"/>
      <c r="I6" s="2747"/>
      <c r="J6" s="2747"/>
      <c r="K6" s="2747"/>
      <c r="L6" s="2747"/>
      <c r="M6" s="2747"/>
      <c r="N6" s="2747"/>
    </row>
    <row r="7" spans="1:14" ht="14.25">
      <c r="A7" s="2755"/>
      <c r="B7" s="2757" t="e">
        <f ca="1">SUMIF(INDIRECT("'"&amp;A7&amp;"'"&amp;"!A:A"),"总价",INDIRECT("'"&amp;A7&amp;"'"&amp;"!B:B"))</f>
        <v>#REF!</v>
      </c>
      <c r="C7" s="2752" t="s">
        <v>2201</v>
      </c>
      <c r="D7" s="2749"/>
      <c r="E7" s="2750" t="e">
        <f ca="1">SUMIF(INDIRECT("'"&amp;A7&amp;"'"&amp;"!C:C"),"建筑面积",INDIRECT("'"&amp;A7&amp;"'"&amp;"!D:D"))</f>
        <v>#REF!</v>
      </c>
      <c r="F7" s="2750" t="e">
        <f ca="1">SUMIF(INDIRECT("'"&amp;A7&amp;"'"&amp;"!E:E"),"土地面积",INDIRECT("'"&amp;A7&amp;"'"&amp;"!F:F"))</f>
        <v>#REF!</v>
      </c>
      <c r="G7" s="2747"/>
      <c r="H7" s="2747"/>
      <c r="I7" s="2747"/>
      <c r="J7" s="2747"/>
      <c r="K7" s="2747"/>
      <c r="L7" s="2747"/>
      <c r="M7" s="2747"/>
      <c r="N7" s="2747"/>
    </row>
    <row r="8" spans="1:14" ht="14.25">
      <c r="A8" s="2755"/>
      <c r="B8" s="2757" t="e">
        <f t="shared" ref="B8:B14" ca="1" si="0">SUMIF(INDIRECT("'"&amp;A8&amp;"'"&amp;"!A:A"),"总价",INDIRECT("'"&amp;A8&amp;"'"&amp;"!B:B"))</f>
        <v>#REF!</v>
      </c>
      <c r="C8" s="2752" t="s">
        <v>2201</v>
      </c>
      <c r="D8" s="2749"/>
      <c r="E8" s="2750" t="e">
        <f t="shared" ref="E8:E14" ca="1" si="1">SUMIF(INDIRECT("'"&amp;A8&amp;"'"&amp;"!C:C"),"建筑面积",INDIRECT("'"&amp;A8&amp;"'"&amp;"!D:D"))</f>
        <v>#REF!</v>
      </c>
      <c r="F8" s="2750" t="e">
        <f t="shared" ref="F8:F14" ca="1" si="2">SUMIF(INDIRECT("'"&amp;A8&amp;"'"&amp;"!E:E"),"土地面积",INDIRECT("'"&amp;A8&amp;"'"&amp;"!F:F"))</f>
        <v>#REF!</v>
      </c>
      <c r="G8" s="2747"/>
      <c r="H8" s="2747"/>
      <c r="I8" s="2747"/>
      <c r="J8" s="2747"/>
      <c r="K8" s="2747"/>
      <c r="L8" s="2747"/>
      <c r="M8" s="2747"/>
      <c r="N8" s="2747"/>
    </row>
    <row r="9" spans="1:14" ht="14.25">
      <c r="A9" s="2755"/>
      <c r="B9" s="2757" t="e">
        <f t="shared" ca="1" si="0"/>
        <v>#REF!</v>
      </c>
      <c r="C9" s="2752" t="s">
        <v>2201</v>
      </c>
      <c r="D9" s="2749"/>
      <c r="E9" s="2750" t="e">
        <f t="shared" ca="1" si="1"/>
        <v>#REF!</v>
      </c>
      <c r="F9" s="2750" t="e">
        <f t="shared" ca="1" si="2"/>
        <v>#REF!</v>
      </c>
      <c r="G9" s="2747"/>
      <c r="H9" s="2747"/>
      <c r="I9" s="2747"/>
      <c r="J9" s="2747"/>
      <c r="K9" s="2747"/>
      <c r="L9" s="2747"/>
      <c r="M9" s="2747"/>
      <c r="N9" s="2747"/>
    </row>
    <row r="10" spans="1:14" ht="14.25">
      <c r="A10" s="2755"/>
      <c r="B10" s="2757" t="e">
        <f t="shared" ca="1" si="0"/>
        <v>#REF!</v>
      </c>
      <c r="C10" s="2752" t="s">
        <v>2201</v>
      </c>
      <c r="D10" s="2749"/>
      <c r="E10" s="2750" t="e">
        <f t="shared" ca="1" si="1"/>
        <v>#REF!</v>
      </c>
      <c r="F10" s="2750" t="e">
        <f t="shared" ca="1" si="2"/>
        <v>#REF!</v>
      </c>
      <c r="G10" s="2747"/>
      <c r="H10" s="2747"/>
      <c r="I10" s="2747"/>
      <c r="J10" s="2747"/>
      <c r="K10" s="2747"/>
      <c r="L10" s="2747"/>
      <c r="M10" s="2747"/>
      <c r="N10" s="2747"/>
    </row>
    <row r="11" spans="1:14" ht="14.25">
      <c r="A11" s="2755"/>
      <c r="B11" s="2757" t="e">
        <f t="shared" ca="1" si="0"/>
        <v>#REF!</v>
      </c>
      <c r="C11" s="2752" t="s">
        <v>2201</v>
      </c>
      <c r="D11" s="2749"/>
      <c r="E11" s="2750" t="e">
        <f t="shared" ca="1" si="1"/>
        <v>#REF!</v>
      </c>
      <c r="F11" s="2750" t="e">
        <f t="shared" ca="1" si="2"/>
        <v>#REF!</v>
      </c>
      <c r="G11" s="2747"/>
      <c r="H11" s="2747"/>
      <c r="I11" s="2747"/>
      <c r="J11" s="2747"/>
      <c r="K11" s="2747"/>
      <c r="L11" s="2747"/>
      <c r="M11" s="2747"/>
      <c r="N11" s="2747"/>
    </row>
    <row r="12" spans="1:14" ht="14.25">
      <c r="A12" s="2755"/>
      <c r="B12" s="2757" t="e">
        <f t="shared" ca="1" si="0"/>
        <v>#REF!</v>
      </c>
      <c r="C12" s="2752" t="s">
        <v>2201</v>
      </c>
      <c r="D12" s="2749"/>
      <c r="E12" s="2750" t="e">
        <f t="shared" ca="1" si="1"/>
        <v>#REF!</v>
      </c>
      <c r="F12" s="2750" t="e">
        <f t="shared" ca="1" si="2"/>
        <v>#REF!</v>
      </c>
      <c r="G12" s="2747"/>
      <c r="H12" s="2747"/>
      <c r="I12" s="2747"/>
      <c r="J12" s="2747"/>
      <c r="K12" s="2747"/>
      <c r="L12" s="2747"/>
      <c r="M12" s="2747"/>
      <c r="N12" s="2747"/>
    </row>
    <row r="13" spans="1:14" ht="14.25">
      <c r="A13" s="2755"/>
      <c r="B13" s="2757" t="e">
        <f t="shared" ca="1" si="0"/>
        <v>#REF!</v>
      </c>
      <c r="C13" s="2752" t="s">
        <v>2201</v>
      </c>
      <c r="D13" s="2749"/>
      <c r="E13" s="2750" t="e">
        <f t="shared" ca="1" si="1"/>
        <v>#REF!</v>
      </c>
      <c r="F13" s="2750" t="e">
        <f t="shared" ca="1" si="2"/>
        <v>#REF!</v>
      </c>
      <c r="G13" s="2747"/>
      <c r="H13" s="2747"/>
      <c r="I13" s="2747"/>
      <c r="J13" s="2747"/>
      <c r="K13" s="2747"/>
      <c r="L13" s="2747"/>
      <c r="M13" s="2747"/>
      <c r="N13" s="2747"/>
    </row>
    <row r="14" spans="1:14" ht="14.25">
      <c r="A14" s="2756"/>
      <c r="B14" s="2757" t="e">
        <f t="shared" ca="1" si="0"/>
        <v>#REF!</v>
      </c>
      <c r="C14" s="2752" t="s">
        <v>2201</v>
      </c>
      <c r="D14" s="2749"/>
      <c r="E14" s="2750" t="e">
        <f t="shared" ca="1" si="1"/>
        <v>#REF!</v>
      </c>
      <c r="F14" s="2750" t="e">
        <f t="shared" ca="1" si="2"/>
        <v>#REF!</v>
      </c>
      <c r="G14" s="2747"/>
      <c r="H14" s="2747"/>
      <c r="I14" s="2747"/>
      <c r="J14" s="2747"/>
      <c r="K14" s="2747"/>
      <c r="L14" s="2747"/>
      <c r="M14" s="2747"/>
      <c r="N14" s="2747"/>
    </row>
    <row r="15" spans="1:14">
      <c r="A15" s="2747"/>
      <c r="B15" s="2747"/>
      <c r="C15" s="2747"/>
      <c r="D15" s="2747"/>
      <c r="E15" s="2747"/>
      <c r="F15" s="2747"/>
      <c r="G15" s="2747"/>
      <c r="H15" s="2747"/>
      <c r="I15" s="2747"/>
      <c r="J15" s="2747"/>
      <c r="K15" s="2747"/>
      <c r="L15" s="2747"/>
      <c r="M15" s="2747"/>
      <c r="N15" s="2747"/>
    </row>
    <row r="16" spans="1:14">
      <c r="A16" s="2747"/>
      <c r="B16" s="2747"/>
      <c r="C16" s="2747"/>
      <c r="D16" s="2747"/>
      <c r="E16" s="2747"/>
      <c r="F16" s="2747"/>
      <c r="G16" s="2747"/>
      <c r="H16" s="2747"/>
      <c r="I16" s="2747"/>
      <c r="J16" s="2747"/>
      <c r="K16" s="2747"/>
      <c r="L16" s="2747"/>
      <c r="M16" s="2747"/>
      <c r="N16" s="2747"/>
    </row>
    <row r="17" spans="1:14">
      <c r="A17" s="2747"/>
      <c r="B17" s="2747"/>
      <c r="C17" s="2747"/>
      <c r="D17" s="2747"/>
      <c r="E17" s="2747"/>
      <c r="F17" s="2747"/>
      <c r="G17" s="2747"/>
      <c r="H17" s="2747"/>
      <c r="I17" s="2747"/>
      <c r="J17" s="2747"/>
      <c r="K17" s="2747"/>
      <c r="L17" s="2747"/>
      <c r="M17" s="2747"/>
      <c r="N17" s="2747"/>
    </row>
    <row r="18" spans="1:14">
      <c r="A18" s="2747"/>
      <c r="B18" s="2747"/>
      <c r="C18" s="2747"/>
      <c r="D18" s="2747"/>
      <c r="E18" s="2747"/>
      <c r="F18" s="2747"/>
      <c r="G18" s="2747"/>
      <c r="H18" s="2747"/>
      <c r="I18" s="2747"/>
      <c r="J18" s="2747"/>
      <c r="K18" s="2747"/>
      <c r="L18" s="2747"/>
      <c r="M18" s="2747"/>
      <c r="N18" s="2747"/>
    </row>
    <row r="19" spans="1:14">
      <c r="A19" s="2747"/>
      <c r="B19" s="2747"/>
      <c r="C19" s="2747"/>
      <c r="D19" s="2747"/>
      <c r="E19" s="2747"/>
      <c r="F19" s="2747"/>
      <c r="G19" s="2747"/>
      <c r="H19" s="2747"/>
      <c r="I19" s="2747"/>
      <c r="J19" s="2747"/>
      <c r="K19" s="2747"/>
      <c r="L19" s="2747"/>
      <c r="M19" s="2747"/>
      <c r="N19" s="2747"/>
    </row>
    <row r="20" spans="1:14">
      <c r="A20" s="2747"/>
      <c r="B20" s="2747"/>
      <c r="C20" s="2747"/>
      <c r="D20" s="2747"/>
      <c r="E20" s="2747"/>
      <c r="F20" s="2747"/>
      <c r="G20" s="2747"/>
      <c r="H20" s="2747"/>
      <c r="I20" s="2747"/>
      <c r="J20" s="2747"/>
      <c r="K20" s="2747"/>
      <c r="L20" s="2747"/>
      <c r="M20" s="2747"/>
      <c r="N20" s="2747"/>
    </row>
    <row r="21" spans="1:14">
      <c r="A21" s="2747"/>
      <c r="B21" s="2747"/>
      <c r="C21" s="2747"/>
      <c r="D21" s="2747"/>
      <c r="E21" s="2747"/>
      <c r="F21" s="2747"/>
      <c r="G21" s="2747"/>
      <c r="H21" s="2747"/>
      <c r="I21" s="2747"/>
      <c r="J21" s="2747"/>
      <c r="K21" s="2747"/>
      <c r="L21" s="2747"/>
      <c r="M21" s="2747"/>
      <c r="N21" s="2747"/>
    </row>
    <row r="22" spans="1:14">
      <c r="A22" s="2747"/>
      <c r="B22" s="2747"/>
      <c r="C22" s="2747"/>
      <c r="D22" s="2747"/>
      <c r="E22" s="2747"/>
      <c r="F22" s="2747"/>
      <c r="G22" s="2747"/>
      <c r="H22" s="2747"/>
      <c r="I22" s="2747"/>
      <c r="J22" s="2747"/>
      <c r="K22" s="2747"/>
      <c r="L22" s="2747"/>
      <c r="M22" s="2747"/>
      <c r="N22" s="2747"/>
    </row>
    <row r="23" spans="1:14">
      <c r="A23" s="2747"/>
      <c r="B23" s="2747"/>
      <c r="C23" s="2747"/>
      <c r="D23" s="2747"/>
      <c r="E23" s="2747"/>
      <c r="F23" s="2747"/>
      <c r="G23" s="2747"/>
      <c r="H23" s="2747"/>
      <c r="I23" s="2747"/>
      <c r="J23" s="2747"/>
      <c r="K23" s="2747"/>
      <c r="L23" s="2747"/>
      <c r="M23" s="2747"/>
      <c r="N23" s="2747"/>
    </row>
    <row r="24" spans="1:14">
      <c r="A24" s="2747"/>
      <c r="B24" s="2747"/>
      <c r="C24" s="2747"/>
      <c r="D24" s="2747"/>
      <c r="E24" s="2747"/>
      <c r="F24" s="2747"/>
      <c r="G24" s="2747"/>
      <c r="H24" s="2747"/>
      <c r="I24" s="2747"/>
      <c r="J24" s="2747"/>
      <c r="K24" s="2747"/>
      <c r="L24" s="2747"/>
      <c r="M24" s="2747"/>
      <c r="N24" s="2747"/>
    </row>
    <row r="25" spans="1:14">
      <c r="A25" s="2747"/>
      <c r="B25" s="2747"/>
      <c r="C25" s="2747"/>
      <c r="D25" s="2747"/>
      <c r="E25" s="2747"/>
      <c r="F25" s="2747"/>
      <c r="G25" s="2747"/>
      <c r="H25" s="2747"/>
      <c r="I25" s="2747"/>
      <c r="J25" s="2747"/>
      <c r="K25" s="2747"/>
      <c r="L25" s="2747"/>
      <c r="M25" s="2747"/>
      <c r="N25" s="2747"/>
    </row>
    <row r="26" spans="1:14">
      <c r="A26" s="2747"/>
      <c r="B26" s="2747"/>
      <c r="C26" s="2747"/>
      <c r="D26" s="2747"/>
      <c r="E26" s="2747"/>
      <c r="F26" s="2747"/>
      <c r="G26" s="2747"/>
      <c r="H26" s="2747"/>
      <c r="I26" s="2747"/>
      <c r="J26" s="2747"/>
      <c r="K26" s="2747"/>
      <c r="L26" s="2747"/>
      <c r="M26" s="2747"/>
      <c r="N26" s="2747"/>
    </row>
    <row r="27" spans="1:14">
      <c r="A27" s="2747"/>
      <c r="B27" s="2747"/>
      <c r="C27" s="2747"/>
      <c r="D27" s="2747"/>
      <c r="E27" s="2747"/>
      <c r="F27" s="2747"/>
      <c r="G27" s="2747"/>
      <c r="H27" s="2747"/>
      <c r="I27" s="2747"/>
      <c r="J27" s="2747"/>
      <c r="K27" s="2747"/>
      <c r="L27" s="2747"/>
      <c r="M27" s="2747"/>
      <c r="N27" s="2747"/>
    </row>
    <row r="28" spans="1:14">
      <c r="A28" s="2747"/>
      <c r="B28" s="2747"/>
      <c r="C28" s="2747"/>
      <c r="D28" s="2747"/>
      <c r="E28" s="2747"/>
      <c r="F28" s="2747"/>
      <c r="G28" s="2747"/>
      <c r="H28" s="2747"/>
      <c r="I28" s="2747"/>
      <c r="J28" s="2747"/>
      <c r="K28" s="2747"/>
      <c r="L28" s="2747"/>
      <c r="M28" s="2747"/>
      <c r="N28" s="2747"/>
    </row>
    <row r="29" spans="1:14">
      <c r="A29" s="2747"/>
      <c r="B29" s="2747"/>
      <c r="C29" s="2747"/>
      <c r="D29" s="2747"/>
      <c r="E29" s="2747"/>
      <c r="F29" s="2747"/>
      <c r="G29" s="2747"/>
      <c r="H29" s="2747"/>
      <c r="I29" s="2747"/>
      <c r="J29" s="2747"/>
      <c r="K29" s="2747"/>
      <c r="L29" s="2747"/>
      <c r="M29" s="2747"/>
      <c r="N29" s="2747"/>
    </row>
  </sheetData>
  <sheetProtection password="CEE9" sheet="1" objects="1" scenarios="1" formatCells="0" formatColumns="0" formatRows="0"/>
  <phoneticPr fontId="22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H49" sqref="H49"/>
    </sheetView>
  </sheetViews>
  <sheetFormatPr defaultColWidth="9" defaultRowHeight="15"/>
  <cols>
    <col min="1" max="1" width="9" style="1705" customWidth="1"/>
    <col min="2" max="2" width="20.625" style="1706" customWidth="1"/>
    <col min="3" max="3" width="11.875" style="1706" customWidth="1"/>
    <col min="4" max="4" width="40.5" style="1672" customWidth="1"/>
    <col min="5" max="5" width="15.625" style="1672" customWidth="1"/>
    <col min="6" max="6" width="10.625" style="1672" customWidth="1"/>
    <col min="7" max="7" width="4.875" style="1672" customWidth="1"/>
    <col min="8" max="8" width="8.5" style="1672" customWidth="1"/>
    <col min="9" max="9" width="21.125" style="1672" customWidth="1"/>
    <col min="10" max="10" width="12.125" style="1672" customWidth="1"/>
    <col min="11" max="11" width="40.125" style="1707" customWidth="1"/>
    <col min="12" max="12" width="18.375" style="1672" customWidth="1"/>
    <col min="13" max="13" width="13" style="1672" customWidth="1"/>
    <col min="14" max="14" width="9.5" style="1671" bestFit="1" customWidth="1"/>
    <col min="15" max="15" width="8.375" style="1671" customWidth="1"/>
    <col min="16" max="16" width="30.125" style="1671" customWidth="1"/>
    <col min="17" max="17" width="13.625" style="1671" customWidth="1"/>
    <col min="18" max="18" width="22.125" style="1671" customWidth="1"/>
    <col min="19" max="19" width="1.5" style="1671" customWidth="1"/>
    <col min="20" max="25" width="9" style="1671"/>
    <col min="26" max="16384" width="9" style="1672"/>
  </cols>
  <sheetData>
    <row r="1" spans="1:25" s="1666" customFormat="1" ht="21">
      <c r="A1" s="705" t="s">
        <v>576</v>
      </c>
      <c r="B1" s="675"/>
      <c r="C1" s="706"/>
      <c r="D1" s="1662"/>
      <c r="E1" s="1946" t="s">
        <v>1725</v>
      </c>
      <c r="F1" s="1947">
        <f ca="1">J54</f>
        <v>0</v>
      </c>
      <c r="G1" s="707">
        <f>MATCH(C1,'数据-取费表'!A6:A16,0)+5</f>
        <v>7</v>
      </c>
      <c r="H1" s="1142"/>
      <c r="I1" s="1663"/>
      <c r="J1" s="1663"/>
      <c r="K1" s="1664"/>
      <c r="L1" s="1663"/>
      <c r="M1" s="1663"/>
      <c r="N1" s="1665"/>
      <c r="O1" s="1665"/>
      <c r="P1" s="1665"/>
      <c r="Q1" s="1665"/>
      <c r="R1" s="1665"/>
      <c r="S1" s="1665"/>
      <c r="T1" s="1665"/>
      <c r="U1" s="1665"/>
      <c r="V1" s="1665"/>
      <c r="W1" s="1665"/>
      <c r="X1" s="1665"/>
      <c r="Y1" s="1665"/>
    </row>
    <row r="2" spans="1:25" ht="18" customHeight="1">
      <c r="A2" s="1363" t="s">
        <v>577</v>
      </c>
      <c r="B2" s="708">
        <f ca="1">IF(ISERROR(C45+J31),0,C45+J31)</f>
        <v>0</v>
      </c>
      <c r="C2" s="1143"/>
      <c r="D2" s="1667"/>
      <c r="E2" s="1668"/>
      <c r="F2" s="1668"/>
      <c r="G2" s="1322"/>
      <c r="H2" s="1155"/>
      <c r="I2" s="1669"/>
      <c r="J2" s="1669"/>
      <c r="K2" s="1670"/>
      <c r="L2" s="1669"/>
      <c r="M2" s="1669"/>
    </row>
    <row r="3" spans="1:25" ht="18" customHeight="1">
      <c r="A3" s="1364" t="s">
        <v>1219</v>
      </c>
      <c r="B3" s="1176">
        <f ca="1">ROUND(B2*10000/'数据-汇总表'!E3,0)</f>
        <v>0</v>
      </c>
      <c r="C3" s="1143"/>
      <c r="D3" s="1667"/>
      <c r="E3" s="1668"/>
      <c r="F3" s="1668"/>
      <c r="G3" s="1322"/>
      <c r="H3" s="709" t="s">
        <v>642</v>
      </c>
      <c r="I3" s="1669"/>
      <c r="J3" s="1669"/>
      <c r="K3" s="1670"/>
      <c r="L3" s="1669"/>
      <c r="M3" s="1669"/>
    </row>
    <row r="4" spans="1:25" ht="18" customHeight="1">
      <c r="A4" s="1365" t="s">
        <v>643</v>
      </c>
      <c r="B4" s="1144">
        <f ca="1">ROUND(B2*10000/'数据-汇总表'!D3,0)</f>
        <v>0</v>
      </c>
      <c r="C4" s="398"/>
      <c r="D4" s="1667"/>
      <c r="E4" s="1668"/>
      <c r="F4" s="1668"/>
      <c r="G4" s="1322"/>
      <c r="H4" s="709"/>
      <c r="I4" s="1669"/>
      <c r="J4" s="1669"/>
      <c r="K4" s="1670"/>
      <c r="L4" s="1669"/>
      <c r="M4" s="1669"/>
    </row>
    <row r="5" spans="1:25" ht="18" customHeight="1" thickBot="1">
      <c r="A5" s="1366"/>
      <c r="B5" s="400">
        <f ca="1">ROUND(B2/('数据-汇总表'!D3/666.67),0)</f>
        <v>0</v>
      </c>
      <c r="C5" s="401" t="s">
        <v>644</v>
      </c>
      <c r="D5" s="1667"/>
      <c r="E5" s="1668"/>
      <c r="F5" s="1668"/>
      <c r="G5" s="1322"/>
      <c r="H5" s="709"/>
      <c r="I5" s="1669"/>
      <c r="J5" s="1669"/>
      <c r="K5" s="1670"/>
      <c r="L5" s="1669"/>
      <c r="M5" s="1669"/>
    </row>
    <row r="6" spans="1:25" ht="18" customHeight="1">
      <c r="A6" s="1518" t="s">
        <v>645</v>
      </c>
      <c r="B6" s="1512" t="s">
        <v>646</v>
      </c>
      <c r="C6" s="1512" t="s">
        <v>580</v>
      </c>
      <c r="D6" s="1512" t="s">
        <v>581</v>
      </c>
      <c r="E6" s="712" t="s">
        <v>582</v>
      </c>
      <c r="F6" s="713"/>
      <c r="G6" s="1143"/>
      <c r="H6" s="1518" t="s">
        <v>578</v>
      </c>
      <c r="I6" s="1512" t="s">
        <v>579</v>
      </c>
      <c r="J6" s="1512" t="s">
        <v>580</v>
      </c>
      <c r="K6" s="1512" t="s">
        <v>581</v>
      </c>
      <c r="L6" s="712" t="s">
        <v>582</v>
      </c>
      <c r="M6" s="713"/>
    </row>
    <row r="7" spans="1:25" ht="18" customHeight="1">
      <c r="A7" s="714">
        <v>1</v>
      </c>
      <c r="B7" s="715" t="s">
        <v>1799</v>
      </c>
      <c r="C7" s="49">
        <f ca="1">C8+C12+C14</f>
        <v>0</v>
      </c>
      <c r="D7" s="2000" t="s">
        <v>1802</v>
      </c>
      <c r="E7" s="1994"/>
      <c r="F7" s="1995"/>
      <c r="G7" s="1143"/>
      <c r="H7" s="714">
        <v>1</v>
      </c>
      <c r="I7" s="715" t="s">
        <v>1799</v>
      </c>
      <c r="J7" s="49">
        <f ca="1">J8+J12+J14</f>
        <v>0</v>
      </c>
      <c r="K7" s="2000" t="s">
        <v>1802</v>
      </c>
      <c r="L7" s="1994"/>
      <c r="M7" s="1995"/>
    </row>
    <row r="8" spans="1:25" ht="18" customHeight="1">
      <c r="A8" s="1520" t="s">
        <v>1353</v>
      </c>
      <c r="B8" s="3808" t="s">
        <v>1804</v>
      </c>
      <c r="C8" s="1515">
        <f ca="1">ROUND(F8*F10*F9*(1-F11)/10000,0)</f>
        <v>0</v>
      </c>
      <c r="D8" s="317" t="s">
        <v>1814</v>
      </c>
      <c r="E8" s="57" t="s">
        <v>585</v>
      </c>
      <c r="F8" s="718">
        <f ca="1">INDIRECT("'数据-取费表'!u"&amp;$G$1)</f>
        <v>0</v>
      </c>
      <c r="G8" s="1143"/>
      <c r="H8" s="2008" t="s">
        <v>1353</v>
      </c>
      <c r="I8" s="3808" t="s">
        <v>1804</v>
      </c>
      <c r="J8" s="716">
        <f ca="1">ROUND(M8*M10*M9*(1-M11)/10000,0)</f>
        <v>0</v>
      </c>
      <c r="K8" s="315" t="s">
        <v>1814</v>
      </c>
      <c r="L8" s="717" t="s">
        <v>1267</v>
      </c>
      <c r="M8" s="718">
        <f ca="1">INDIRECT("'数据-取费表'!z"&amp;$G$1)</f>
        <v>0</v>
      </c>
    </row>
    <row r="9" spans="1:25" ht="18" customHeight="1">
      <c r="A9" s="2004"/>
      <c r="B9" s="3809"/>
      <c r="C9" s="1516"/>
      <c r="D9" s="330"/>
      <c r="E9" s="57" t="s">
        <v>586</v>
      </c>
      <c r="F9" s="718">
        <f ca="1">IF(INDIRECT("'数据-取费表'!ah"&amp;$G$1)="",INDIRECT("'数据-取费表'!k"&amp;$G$1),INDIRECT("'数据-取费表'!ah"&amp;$G$1))</f>
        <v>0</v>
      </c>
      <c r="G9" s="1143"/>
      <c r="H9" s="1993"/>
      <c r="I9" s="3809"/>
      <c r="J9" s="721"/>
      <c r="K9" s="722"/>
      <c r="L9" s="717" t="s">
        <v>1268</v>
      </c>
      <c r="M9" s="718">
        <f ca="1">F9</f>
        <v>0</v>
      </c>
    </row>
    <row r="10" spans="1:25" ht="18" customHeight="1">
      <c r="A10" s="1997"/>
      <c r="B10" s="3810"/>
      <c r="C10" s="1516"/>
      <c r="D10" s="330"/>
      <c r="E10" s="57" t="s">
        <v>587</v>
      </c>
      <c r="F10" s="718">
        <f ca="1">INDIRECT("'数据-取费表'!ai"&amp;$G$1)</f>
        <v>0</v>
      </c>
      <c r="G10" s="1143"/>
      <c r="H10" s="1993"/>
      <c r="I10" s="3810"/>
      <c r="J10" s="721"/>
      <c r="K10" s="722"/>
      <c r="L10" s="717" t="s">
        <v>1269</v>
      </c>
      <c r="M10" s="718">
        <f ca="1">INDIRECT("'数据-取费表'!ai"&amp;$G$1)</f>
        <v>0</v>
      </c>
    </row>
    <row r="11" spans="1:25" ht="18" customHeight="1">
      <c r="A11" s="719"/>
      <c r="B11" s="3811"/>
      <c r="C11" s="1516"/>
      <c r="D11" s="330"/>
      <c r="E11" s="57" t="s">
        <v>588</v>
      </c>
      <c r="F11" s="727">
        <f ca="1">INDIRECT("'数据-取费表'!w"&amp;$G$1)</f>
        <v>0</v>
      </c>
      <c r="G11" s="1143"/>
      <c r="H11" s="2009"/>
      <c r="I11" s="3810"/>
      <c r="J11" s="721"/>
      <c r="K11" s="722"/>
      <c r="L11" s="728" t="s">
        <v>1270</v>
      </c>
      <c r="M11" s="729">
        <f ca="1">INDIRECT("'数据-取费表'!ab"&amp;$G$1)</f>
        <v>0</v>
      </c>
    </row>
    <row r="12" spans="1:25" ht="18" customHeight="1">
      <c r="A12" s="1520" t="s">
        <v>1354</v>
      </c>
      <c r="B12" s="1998" t="s">
        <v>1800</v>
      </c>
      <c r="C12" s="732">
        <f ca="1">ROUND(IF(F12="押一",C8/12*F13,IF(F12="押二",C8/12*2*F13,IF(F12="押三",C8/12*3*F13,C13*F13))),0)</f>
        <v>0</v>
      </c>
      <c r="D12" s="2005" t="s">
        <v>2226</v>
      </c>
      <c r="E12" s="2002" t="s">
        <v>1805</v>
      </c>
      <c r="F12" s="2075"/>
      <c r="G12" s="1143"/>
      <c r="H12" s="2036" t="s">
        <v>1354</v>
      </c>
      <c r="I12" s="2040" t="s">
        <v>1800</v>
      </c>
      <c r="J12" s="716">
        <f ca="1">ROUND(IF(M12="押一",J8/12*M13,IF(M12="押二",J8/12*2*M13,IF(M12="押三",J8/12*3*M13,J13*M13))),0)</f>
        <v>0</v>
      </c>
      <c r="K12" s="2005" t="s">
        <v>2226</v>
      </c>
      <c r="L12" s="2002" t="s">
        <v>1805</v>
      </c>
      <c r="M12" s="2075"/>
    </row>
    <row r="13" spans="1:25" ht="18" customHeight="1">
      <c r="A13" s="723"/>
      <c r="B13" s="1999" t="s">
        <v>1853</v>
      </c>
      <c r="C13" s="2003"/>
      <c r="D13" s="722"/>
      <c r="E13" s="2002" t="s">
        <v>1798</v>
      </c>
      <c r="F13" s="729">
        <f ca="1">'数据-取费表'!B39</f>
        <v>1.4999999999999999E-2</v>
      </c>
      <c r="G13" s="1143"/>
      <c r="H13" s="2037"/>
      <c r="I13" s="1999" t="s">
        <v>1853</v>
      </c>
      <c r="J13" s="2003"/>
      <c r="K13" s="287"/>
      <c r="L13" s="2002" t="s">
        <v>1798</v>
      </c>
      <c r="M13" s="1996">
        <f ca="1">'数据-取费表'!B39</f>
        <v>1.4999999999999999E-2</v>
      </c>
    </row>
    <row r="14" spans="1:25" ht="18" customHeight="1" thickBot="1">
      <c r="A14" s="2012" t="s">
        <v>1808</v>
      </c>
      <c r="B14" s="2013" t="s">
        <v>1801</v>
      </c>
      <c r="C14" s="2014"/>
      <c r="D14" s="2015"/>
      <c r="E14" s="2016"/>
      <c r="F14" s="2017"/>
      <c r="G14" s="1143"/>
      <c r="H14" s="2026" t="s">
        <v>1808</v>
      </c>
      <c r="I14" s="2038" t="s">
        <v>1801</v>
      </c>
      <c r="J14" s="2039"/>
      <c r="K14" s="2015"/>
      <c r="L14" s="2016"/>
      <c r="M14" s="2029"/>
    </row>
    <row r="15" spans="1:25" ht="18" customHeight="1" thickTop="1">
      <c r="A15" s="1519" t="s">
        <v>1399</v>
      </c>
      <c r="B15" s="1517" t="s">
        <v>589</v>
      </c>
      <c r="C15" s="725">
        <f ca="1">ROUND(C31*F15,0)</f>
        <v>0</v>
      </c>
      <c r="D15" s="1524" t="s">
        <v>590</v>
      </c>
      <c r="E15" s="728" t="s">
        <v>591</v>
      </c>
      <c r="F15" s="733">
        <f ca="1">INDIRECT("'数据-取费表'!y"&amp;$G$1)</f>
        <v>0</v>
      </c>
      <c r="G15" s="1143"/>
      <c r="H15" s="1519" t="s">
        <v>1355</v>
      </c>
      <c r="I15" s="1517" t="s">
        <v>592</v>
      </c>
      <c r="J15" s="1511">
        <f ca="1">ROUND(J16*J17,0)</f>
        <v>0</v>
      </c>
      <c r="K15" s="1513" t="s">
        <v>590</v>
      </c>
      <c r="L15" s="734"/>
      <c r="M15" s="735"/>
    </row>
    <row r="16" spans="1:25" ht="18" customHeight="1">
      <c r="A16" s="736" t="s">
        <v>1400</v>
      </c>
      <c r="B16" s="717" t="s">
        <v>593</v>
      </c>
      <c r="C16" s="737">
        <f ca="1">INDIRECT("'数据-取费表'!m"&amp;$G$1)+INDIRECT("'数据-取费表'!t"&amp;$G$1)</f>
        <v>0</v>
      </c>
      <c r="D16" s="904" t="s">
        <v>594</v>
      </c>
      <c r="E16" s="903"/>
      <c r="F16" s="738"/>
      <c r="G16" s="1143"/>
      <c r="H16" s="736" t="s">
        <v>1585</v>
      </c>
      <c r="I16" s="1824" t="s">
        <v>2099</v>
      </c>
      <c r="J16" s="49">
        <f ca="1">C31</f>
        <v>0</v>
      </c>
      <c r="K16" s="22"/>
      <c r="L16" s="734"/>
      <c r="M16" s="735"/>
    </row>
    <row r="17" spans="1:25" s="1675" customFormat="1" ht="18" customHeight="1">
      <c r="A17" s="736" t="s">
        <v>1378</v>
      </c>
      <c r="B17" s="717" t="s">
        <v>595</v>
      </c>
      <c r="C17" s="49">
        <f ca="1">ROUND(C16*F17,0)</f>
        <v>0</v>
      </c>
      <c r="D17" s="739" t="s">
        <v>596</v>
      </c>
      <c r="E17" s="739" t="s">
        <v>597</v>
      </c>
      <c r="F17" s="740">
        <f>'数据-取费表'!B33</f>
        <v>0</v>
      </c>
      <c r="G17" s="1324"/>
      <c r="H17" s="736" t="s">
        <v>1586</v>
      </c>
      <c r="I17" s="717" t="s">
        <v>591</v>
      </c>
      <c r="J17" s="741">
        <f ca="1">INDIRECT("'数据-取费表'!ad"&amp;$G$1)</f>
        <v>0</v>
      </c>
      <c r="K17" s="22"/>
      <c r="L17" s="734"/>
      <c r="M17" s="735"/>
      <c r="N17" s="1674"/>
      <c r="O17" s="1674"/>
      <c r="P17" s="1674"/>
      <c r="Q17" s="1674"/>
      <c r="R17" s="1674"/>
      <c r="S17" s="1674"/>
      <c r="T17" s="1674"/>
      <c r="U17" s="1674"/>
      <c r="V17" s="1674"/>
      <c r="W17" s="1674"/>
      <c r="X17" s="1674"/>
      <c r="Y17" s="1674"/>
    </row>
    <row r="18" spans="1:25" ht="18" customHeight="1">
      <c r="A18" s="736" t="s">
        <v>1379</v>
      </c>
      <c r="B18" s="717" t="s">
        <v>598</v>
      </c>
      <c r="C18" s="49">
        <f ca="1">ROUND(INDIRECT("'数据-取费表'!m"&amp;$G$1)*F18,0)</f>
        <v>0</v>
      </c>
      <c r="D18" s="717" t="s">
        <v>596</v>
      </c>
      <c r="E18" s="717" t="s">
        <v>597</v>
      </c>
      <c r="F18" s="742">
        <f ca="1">IF(INDIRECT("'数据-取费表'!c"&amp;$G$1)="住宅",'数据-取费表'!B34,0)</f>
        <v>0</v>
      </c>
      <c r="G18" s="1143"/>
      <c r="H18" s="730" t="s">
        <v>1356</v>
      </c>
      <c r="I18" s="731" t="s">
        <v>599</v>
      </c>
      <c r="J18" s="732">
        <f ca="1">ROUND(J19+J24+J25+J26,0)</f>
        <v>0</v>
      </c>
      <c r="K18" s="22" t="s">
        <v>600</v>
      </c>
      <c r="L18" s="913"/>
      <c r="M18" s="52"/>
    </row>
    <row r="19" spans="1:25" s="1675" customFormat="1" ht="18" customHeight="1">
      <c r="A19" s="736" t="s">
        <v>1380</v>
      </c>
      <c r="B19" s="717" t="s">
        <v>601</v>
      </c>
      <c r="C19" s="49">
        <f ca="1">ROUND(F19*(INDIRECT("'数据-取费表'!k"&amp;$G$1)+INDIRECT("'数据-取费表'!S"&amp;$G$1))/10000,0)</f>
        <v>0</v>
      </c>
      <c r="D19" s="717" t="s">
        <v>602</v>
      </c>
      <c r="E19" s="717" t="s">
        <v>603</v>
      </c>
      <c r="F19" s="52">
        <f>'数据-取费表'!B35</f>
        <v>0</v>
      </c>
      <c r="G19" s="1324"/>
      <c r="H19" s="736" t="s">
        <v>1585</v>
      </c>
      <c r="I19" s="717" t="s">
        <v>604</v>
      </c>
      <c r="J19" s="2554">
        <f ca="1">ROUND(IF(AND(项目基本情况!B11="自然人",项目基本情况!B10="北京市"),J8*M19/(1+'数据-取费表'!C42),J20+J21+J22),0)</f>
        <v>0</v>
      </c>
      <c r="K19" s="904" t="s">
        <v>605</v>
      </c>
      <c r="L19" s="905" t="s">
        <v>606</v>
      </c>
      <c r="M19" s="2553" t="str">
        <f>IF(项目基本情况!B11="企业","——",IF('数据-取费表'!B10="住宅",IF(M8*M9*M10/12/(1+'数据-取费表'!F30)&gt;100000,4%,2.5%),IF(M8*M9*M10/12/(1+'数据-取费表'!F30)&gt;100000,12%,7%)))</f>
        <v>——</v>
      </c>
      <c r="N19" s="1674"/>
      <c r="O19" s="1674"/>
      <c r="P19" s="1674"/>
      <c r="Q19" s="1674"/>
      <c r="R19" s="1674"/>
      <c r="S19" s="1674"/>
      <c r="T19" s="1674"/>
      <c r="U19" s="1674"/>
      <c r="V19" s="1674"/>
      <c r="W19" s="1674"/>
      <c r="X19" s="1674"/>
      <c r="Y19" s="1674"/>
    </row>
    <row r="20" spans="1:25" s="1675" customFormat="1" ht="18" customHeight="1">
      <c r="A20" s="736" t="s">
        <v>1381</v>
      </c>
      <c r="B20" s="717" t="s">
        <v>607</v>
      </c>
      <c r="C20" s="49">
        <f ca="1">ROUND(C16*F20,0)</f>
        <v>0</v>
      </c>
      <c r="D20" s="717" t="s">
        <v>596</v>
      </c>
      <c r="E20" s="717" t="s">
        <v>597</v>
      </c>
      <c r="F20" s="742">
        <f>'数据-取费表'!B36</f>
        <v>0</v>
      </c>
      <c r="G20" s="1324"/>
      <c r="H20" s="736" t="s">
        <v>1360</v>
      </c>
      <c r="I20" s="717" t="s">
        <v>608</v>
      </c>
      <c r="J20" s="49">
        <f ca="1">ROUND(J8*M20/(1+'数据-取费表'!C42),1)</f>
        <v>0</v>
      </c>
      <c r="K20" s="905" t="s">
        <v>609</v>
      </c>
      <c r="L20" s="717" t="s">
        <v>597</v>
      </c>
      <c r="M20" s="742">
        <f>'数据-取费表'!B41</f>
        <v>0</v>
      </c>
      <c r="N20" s="1674"/>
      <c r="O20" s="1674"/>
      <c r="P20" s="1674"/>
      <c r="Q20" s="1674"/>
      <c r="R20" s="1674"/>
      <c r="S20" s="1674"/>
      <c r="T20" s="1674"/>
      <c r="U20" s="1674"/>
      <c r="V20" s="1674"/>
      <c r="W20" s="1674"/>
      <c r="X20" s="1674"/>
      <c r="Y20" s="1674"/>
    </row>
    <row r="21" spans="1:25" ht="18" customHeight="1">
      <c r="A21" s="736" t="s">
        <v>1401</v>
      </c>
      <c r="B21" s="717" t="s">
        <v>610</v>
      </c>
      <c r="C21" s="49">
        <f ca="1">SUM(C16:C20)</f>
        <v>0</v>
      </c>
      <c r="D21" s="241" t="s">
        <v>611</v>
      </c>
      <c r="E21" s="913"/>
      <c r="F21" s="52"/>
      <c r="G21" s="1143"/>
      <c r="H21" s="1520" t="s">
        <v>1378</v>
      </c>
      <c r="I21" s="717" t="s">
        <v>612</v>
      </c>
      <c r="J21" s="49">
        <f ca="1">IF(K21="按租金收入计税",ROUND(J8*M21/(1+'数据-取费表'!C42),1),ROUND(C31*F35*0.7,1))</f>
        <v>0</v>
      </c>
      <c r="K21" s="743" t="s">
        <v>3241</v>
      </c>
      <c r="L21" s="717" t="s">
        <v>597</v>
      </c>
      <c r="M21" s="742">
        <f>IF(K21="按租金收入计税",'数据-取费表'!B51,'数据-取费表'!B50)</f>
        <v>0.12</v>
      </c>
    </row>
    <row r="22" spans="1:25" s="1675" customFormat="1" ht="18" customHeight="1">
      <c r="A22" s="736" t="s">
        <v>1402</v>
      </c>
      <c r="B22" s="717" t="s">
        <v>613</v>
      </c>
      <c r="C22" s="49">
        <f ca="1">ROUND(C21*F22,0)</f>
        <v>0</v>
      </c>
      <c r="D22" s="744" t="s">
        <v>614</v>
      </c>
      <c r="E22" s="717" t="s">
        <v>597</v>
      </c>
      <c r="F22" s="742">
        <f>'数据-取费表'!B37</f>
        <v>0</v>
      </c>
      <c r="G22" s="1324"/>
      <c r="H22" s="1522" t="s">
        <v>1379</v>
      </c>
      <c r="I22" s="317" t="s">
        <v>615</v>
      </c>
      <c r="J22" s="50">
        <f ca="1">ROUND(M22*M23/10000,0)</f>
        <v>0</v>
      </c>
      <c r="K22" s="746" t="s">
        <v>616</v>
      </c>
      <c r="L22" s="717" t="s">
        <v>617</v>
      </c>
      <c r="M22" s="587">
        <f>'数据-取费表'!B52</f>
        <v>0</v>
      </c>
      <c r="N22" s="1674"/>
      <c r="O22" s="1674"/>
      <c r="P22" s="1674"/>
      <c r="Q22" s="1674"/>
      <c r="R22" s="1674"/>
      <c r="S22" s="1674"/>
      <c r="T22" s="1674"/>
      <c r="U22" s="1674"/>
      <c r="V22" s="1674"/>
      <c r="W22" s="1674"/>
      <c r="X22" s="1674"/>
      <c r="Y22" s="1674"/>
    </row>
    <row r="23" spans="1:25" s="1675" customFormat="1" ht="18" customHeight="1">
      <c r="A23" s="736" t="s">
        <v>1403</v>
      </c>
      <c r="B23" s="717" t="s">
        <v>618</v>
      </c>
      <c r="C23" s="49" t="s">
        <v>0</v>
      </c>
      <c r="D23" s="744" t="s">
        <v>619</v>
      </c>
      <c r="E23" s="717" t="s">
        <v>620</v>
      </c>
      <c r="F23" s="742">
        <f>'数据-取费表'!B38</f>
        <v>0</v>
      </c>
      <c r="G23" s="1324"/>
      <c r="H23" s="1523"/>
      <c r="I23" s="1514"/>
      <c r="J23" s="65"/>
      <c r="K23" s="748"/>
      <c r="L23" s="717" t="s">
        <v>621</v>
      </c>
      <c r="M23" s="718">
        <f ca="1">INDIRECT("'数据-取费表'!r"&amp;$G$1)</f>
        <v>0</v>
      </c>
      <c r="N23" s="1674"/>
      <c r="O23" s="1674"/>
      <c r="P23" s="1674"/>
      <c r="Q23" s="1674"/>
      <c r="R23" s="1674"/>
      <c r="S23" s="1674"/>
      <c r="T23" s="1674"/>
      <c r="U23" s="1674"/>
      <c r="V23" s="1674"/>
      <c r="W23" s="1674"/>
      <c r="X23" s="1674"/>
      <c r="Y23" s="1674"/>
    </row>
    <row r="24" spans="1:25" ht="18" customHeight="1">
      <c r="A24" s="736" t="s">
        <v>1404</v>
      </c>
      <c r="B24" s="717" t="s">
        <v>622</v>
      </c>
      <c r="C24" s="49"/>
      <c r="D24" s="2044" t="str">
        <f>IF(F25&lt;=1,"单利计息。","复利计息。")&amp;"建造成本、管理费用、销售费用产生的利息。"</f>
        <v>单利计息。建造成本、管理费用、销售费用产生的利息。</v>
      </c>
      <c r="E24" s="913"/>
      <c r="F24" s="52"/>
      <c r="G24" s="1143"/>
      <c r="H24" s="1521" t="s">
        <v>1586</v>
      </c>
      <c r="I24" s="717" t="s">
        <v>623</v>
      </c>
      <c r="J24" s="49">
        <f ca="1">ROUND(J16*M24,0)</f>
        <v>0</v>
      </c>
      <c r="K24" s="905" t="s">
        <v>624</v>
      </c>
      <c r="L24" s="717" t="s">
        <v>597</v>
      </c>
      <c r="M24" s="749">
        <f ca="1">INDIRECT("'数据-取费表'!Ak"&amp;$G$1)</f>
        <v>0</v>
      </c>
    </row>
    <row r="25" spans="1:25" s="1675" customFormat="1" ht="18" customHeight="1">
      <c r="A25" s="736" t="s">
        <v>1400</v>
      </c>
      <c r="B25" s="717" t="s">
        <v>1781</v>
      </c>
      <c r="C25" s="49">
        <f ca="1">ROUND(IF('数据-取费表'!B22&lt;=1,(C21+C22)*F26*F25/2,(C21+C22)*(POWER((1+F26),F25/2)-1)),0)</f>
        <v>0</v>
      </c>
      <c r="D25" s="2043" t="str">
        <f>IF(F25&lt;=1,"(建造成本+管理费用)×利率×(建设周期÷2)","(建造成本+管理费用)×((1+利率)^(建设周期÷2)-1)")</f>
        <v>(建造成本+管理费用)×利率×(建设周期÷2)</v>
      </c>
      <c r="E25" s="717" t="s">
        <v>625</v>
      </c>
      <c r="F25" s="587">
        <f>'数据-取费表'!B20</f>
        <v>0</v>
      </c>
      <c r="G25" s="1324"/>
      <c r="H25" s="736" t="s">
        <v>1403</v>
      </c>
      <c r="I25" s="717" t="s">
        <v>626</v>
      </c>
      <c r="J25" s="49">
        <f ca="1">ROUND(J15*M25,0)</f>
        <v>0</v>
      </c>
      <c r="K25" s="905" t="s">
        <v>627</v>
      </c>
      <c r="L25" s="717" t="s">
        <v>597</v>
      </c>
      <c r="M25" s="750">
        <f ca="1">INDIRECT("'数据-取费表'!Al"&amp;$G$1)</f>
        <v>0</v>
      </c>
      <c r="N25" s="1674"/>
      <c r="O25" s="1674"/>
      <c r="P25" s="1674"/>
      <c r="Q25" s="1674"/>
      <c r="R25" s="1674"/>
      <c r="S25" s="1674"/>
      <c r="T25" s="1674"/>
      <c r="U25" s="1674"/>
      <c r="V25" s="1674"/>
      <c r="W25" s="1674"/>
      <c r="X25" s="1674"/>
      <c r="Y25" s="1674"/>
    </row>
    <row r="26" spans="1:25" s="1675" customFormat="1" ht="18" customHeight="1">
      <c r="A26" s="736" t="s">
        <v>1378</v>
      </c>
      <c r="B26" s="717" t="s">
        <v>628</v>
      </c>
      <c r="C26" s="49">
        <f ca="1">ROUND(IF('数据-取费表'!B22&lt;=1,F23*F26*F25/2,F23*(POWER((1+F26),F25/2)-1)),4)</f>
        <v>0</v>
      </c>
      <c r="D26" s="2043" t="str">
        <f>IF(F25&lt;=1,"销售费用×利率×(建设周期÷2)","销售费用×((1+利率)^(建设周期÷2)-1)")</f>
        <v>销售费用×利率×(建设周期÷2)</v>
      </c>
      <c r="E26" s="717" t="s">
        <v>629</v>
      </c>
      <c r="F26" s="751">
        <f ca="1">'数据-取费表'!B40</f>
        <v>4.7500000000000001E-2</v>
      </c>
      <c r="G26" s="1324"/>
      <c r="H26" s="736" t="s">
        <v>1404</v>
      </c>
      <c r="I26" s="717" t="s">
        <v>613</v>
      </c>
      <c r="J26" s="49">
        <f ca="1">ROUND(J7*M26,0)</f>
        <v>0</v>
      </c>
      <c r="K26" s="905" t="s">
        <v>630</v>
      </c>
      <c r="L26" s="717" t="s">
        <v>597</v>
      </c>
      <c r="M26" s="727">
        <f ca="1">INDIRECT("'数据-取费表'!Am"&amp;$G$1)</f>
        <v>0</v>
      </c>
      <c r="N26" s="1674"/>
      <c r="O26" s="1674"/>
      <c r="P26" s="1674"/>
      <c r="Q26" s="1674"/>
      <c r="R26" s="1674"/>
      <c r="S26" s="1674"/>
      <c r="T26" s="1674"/>
      <c r="U26" s="1674"/>
      <c r="V26" s="1674"/>
      <c r="W26" s="1674"/>
      <c r="X26" s="1674"/>
      <c r="Y26" s="1674"/>
    </row>
    <row r="27" spans="1:25" ht="18" customHeight="1">
      <c r="A27" s="736" t="s">
        <v>1406</v>
      </c>
      <c r="B27" s="717" t="s">
        <v>631</v>
      </c>
      <c r="C27" s="49"/>
      <c r="D27" s="241" t="s">
        <v>632</v>
      </c>
      <c r="E27" s="913"/>
      <c r="F27" s="52"/>
      <c r="G27" s="1143"/>
      <c r="H27" s="730" t="s">
        <v>1357</v>
      </c>
      <c r="I27" s="2297" t="s">
        <v>2096</v>
      </c>
      <c r="J27" s="732">
        <f ca="1">J7-J18</f>
        <v>0</v>
      </c>
      <c r="K27" s="904" t="s">
        <v>647</v>
      </c>
      <c r="L27" s="902"/>
      <c r="M27" s="752"/>
    </row>
    <row r="28" spans="1:25" ht="18" customHeight="1">
      <c r="A28" s="736" t="s">
        <v>1400</v>
      </c>
      <c r="B28" s="717" t="s">
        <v>1782</v>
      </c>
      <c r="C28" s="49">
        <f ca="1">ROUND((C21+C22)*F28,0)</f>
        <v>0</v>
      </c>
      <c r="D28" s="744" t="s">
        <v>648</v>
      </c>
      <c r="E28" s="728" t="s">
        <v>649</v>
      </c>
      <c r="F28" s="727">
        <f ca="1">INDIRECT("'数据-取费表'!q"&amp;$G$1)</f>
        <v>0</v>
      </c>
      <c r="G28" s="1143"/>
      <c r="H28" s="714" t="s">
        <v>1366</v>
      </c>
      <c r="I28" s="715" t="s">
        <v>650</v>
      </c>
      <c r="J28" s="716">
        <f ca="1">IF(J7&lt;&gt;0,ROUND(J27*(1-((1+M30)/(1+M28))^M29)/(M28-M30),0),0)</f>
        <v>0</v>
      </c>
      <c r="K28" s="746" t="s">
        <v>651</v>
      </c>
      <c r="L28" s="717" t="s">
        <v>652</v>
      </c>
      <c r="M28" s="727">
        <f ca="1">INDIRECT("'数据-取费表'!I"&amp;$G$1)</f>
        <v>0</v>
      </c>
    </row>
    <row r="29" spans="1:25" ht="18" customHeight="1">
      <c r="A29" s="736" t="s">
        <v>1378</v>
      </c>
      <c r="B29" s="717" t="s">
        <v>633</v>
      </c>
      <c r="C29" s="49">
        <f ca="1">ROUND(F23*F28,4)</f>
        <v>0</v>
      </c>
      <c r="D29" s="744" t="s">
        <v>653</v>
      </c>
      <c r="E29" s="739"/>
      <c r="F29" s="740"/>
      <c r="G29" s="1143"/>
      <c r="H29" s="719"/>
      <c r="I29" s="720"/>
      <c r="J29" s="721"/>
      <c r="K29" s="753" t="s">
        <v>654</v>
      </c>
      <c r="L29" s="717" t="s">
        <v>655</v>
      </c>
      <c r="M29" s="754">
        <f ca="1">INDIRECT("'数据-取费表'!ag"&amp;$G$1)</f>
        <v>0</v>
      </c>
    </row>
    <row r="30" spans="1:25" s="1675" customFormat="1" ht="18" customHeight="1">
      <c r="A30" s="736" t="s">
        <v>1407</v>
      </c>
      <c r="B30" s="717" t="s">
        <v>634</v>
      </c>
      <c r="C30" s="49">
        <f>ROUND(F30/(1+'数据-取费表'!C42),4)</f>
        <v>0</v>
      </c>
      <c r="D30" s="744" t="s">
        <v>656</v>
      </c>
      <c r="E30" s="717" t="s">
        <v>597</v>
      </c>
      <c r="F30" s="742">
        <f>'数据-取费表'!B41</f>
        <v>0</v>
      </c>
      <c r="G30" s="1324"/>
      <c r="H30" s="723"/>
      <c r="I30" s="724"/>
      <c r="J30" s="725"/>
      <c r="K30" s="748"/>
      <c r="L30" s="717" t="s">
        <v>657</v>
      </c>
      <c r="M30" s="727">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5" t="s">
        <v>1408</v>
      </c>
      <c r="B31" s="2016" t="s">
        <v>2097</v>
      </c>
      <c r="C31" s="2019">
        <f ca="1">ROUND((C21+C22+C25+C28)/(1-F23-C26-C29-C30),0)</f>
        <v>0</v>
      </c>
      <c r="D31" s="2020"/>
      <c r="E31" s="2021"/>
      <c r="F31" s="2022"/>
      <c r="G31" s="1324"/>
      <c r="H31" s="755" t="s">
        <v>1397</v>
      </c>
      <c r="I31" s="2298" t="s">
        <v>2098</v>
      </c>
      <c r="J31" s="757">
        <f ca="1">ROUND(J28/(1+F45)^F46,0)</f>
        <v>0</v>
      </c>
      <c r="K31" s="758" t="s">
        <v>635</v>
      </c>
      <c r="L31" s="759"/>
      <c r="M31" s="760">
        <f ca="1">INDIRECT("'数据-取费表'!k"&amp;$G$1)</f>
        <v>0</v>
      </c>
      <c r="N31" s="1674"/>
      <c r="O31" s="1674"/>
      <c r="P31" s="1674"/>
      <c r="Q31" s="1674"/>
      <c r="R31" s="1674"/>
      <c r="S31" s="1674"/>
      <c r="T31" s="1674"/>
      <c r="U31" s="1674"/>
      <c r="V31" s="1674"/>
      <c r="W31" s="1674"/>
      <c r="X31" s="1674"/>
      <c r="Y31" s="1674"/>
    </row>
    <row r="32" spans="1:25" ht="18" customHeight="1" thickTop="1">
      <c r="A32" s="1519" t="s">
        <v>4</v>
      </c>
      <c r="B32" s="1517" t="s">
        <v>636</v>
      </c>
      <c r="C32" s="725">
        <f ca="1">ROUND(C33+C38+C39+C40,0)</f>
        <v>0</v>
      </c>
      <c r="D32" s="1513" t="s">
        <v>600</v>
      </c>
      <c r="E32" s="907"/>
      <c r="F32" s="1995"/>
      <c r="G32" s="1667"/>
      <c r="H32" s="1676"/>
      <c r="I32" s="1677"/>
      <c r="J32" s="1678"/>
      <c r="K32" s="1635"/>
      <c r="L32" s="1679"/>
      <c r="M32" s="1680"/>
    </row>
    <row r="33" spans="1:18" ht="18" customHeight="1">
      <c r="A33" s="736" t="s">
        <v>1401</v>
      </c>
      <c r="B33" s="717" t="s">
        <v>604</v>
      </c>
      <c r="C33" s="2554">
        <f ca="1">ROUND(IF(AND(项目基本情况!B11="自然人",项目基本情况!B10="北京市"),C8*F33/(1+'数据-取费表'!C42),C34+C35+C36),2)</f>
        <v>0</v>
      </c>
      <c r="D33" s="904" t="s">
        <v>605</v>
      </c>
      <c r="E33" s="905" t="s">
        <v>637</v>
      </c>
      <c r="F33" s="2553" t="str">
        <f>IF(项目基本情况!B11="企业","——",IF(M48="住宅",IF(F8*F9*F10/12/(1+'数据-取费表'!F30)&gt;100000,4%,2.5%),IF(F8*F9*F10/12/(1+'数据-取费表'!F30)&gt;100000,12%,7%)))</f>
        <v>——</v>
      </c>
      <c r="G33" s="1667"/>
      <c r="H33" s="2758" t="s">
        <v>2277</v>
      </c>
      <c r="I33" s="1677"/>
      <c r="J33" s="1678"/>
      <c r="K33" s="1635"/>
      <c r="L33" s="1679"/>
      <c r="M33" s="1680"/>
    </row>
    <row r="34" spans="1:18" ht="18" customHeight="1">
      <c r="A34" s="736" t="s">
        <v>1400</v>
      </c>
      <c r="B34" s="717" t="s">
        <v>608</v>
      </c>
      <c r="C34" s="49">
        <f ca="1">ROUND(C8*F34/(1+'数据-取费表'!C42),2)</f>
        <v>0</v>
      </c>
      <c r="D34" s="905" t="s">
        <v>609</v>
      </c>
      <c r="E34" s="717" t="s">
        <v>597</v>
      </c>
      <c r="F34" s="742">
        <f>'数据-取费表'!B41</f>
        <v>0</v>
      </c>
      <c r="G34" s="1667"/>
      <c r="H34" s="1681"/>
      <c r="I34" s="1682"/>
      <c r="J34" s="1683"/>
      <c r="K34" s="1684"/>
      <c r="L34" s="1685"/>
      <c r="M34" s="1686"/>
    </row>
    <row r="35" spans="1:18" ht="18" customHeight="1">
      <c r="A35" s="736" t="s">
        <v>1378</v>
      </c>
      <c r="B35" s="717" t="s">
        <v>612</v>
      </c>
      <c r="C35" s="49">
        <f ca="1">IF(D35="按租金收入计税",ROUND(C8*F35/(1+'数据-取费表'!C42),2),IF(D35="按房产原值计税",ROUND(C31*F35*0.7,2),INDIRECT("'数据-取费表'!Aj"&amp;$G$1)))</f>
        <v>0</v>
      </c>
      <c r="D35" s="743" t="s">
        <v>3241</v>
      </c>
      <c r="E35" s="717" t="s">
        <v>597</v>
      </c>
      <c r="F35" s="742">
        <f>IF(D35="按租金收入计税",'数据-取费表'!B51,'数据-取费表'!B50)</f>
        <v>0.12</v>
      </c>
      <c r="G35" s="1667"/>
      <c r="H35" s="1687"/>
      <c r="I35" s="1687"/>
      <c r="J35" s="1687"/>
      <c r="K35" s="1688"/>
      <c r="L35" s="1687"/>
      <c r="M35" s="1687"/>
    </row>
    <row r="36" spans="1:18" ht="18" customHeight="1">
      <c r="A36" s="745" t="s">
        <v>1405</v>
      </c>
      <c r="B36" s="315" t="s">
        <v>615</v>
      </c>
      <c r="C36" s="50">
        <f ca="1">ROUND(F36*F37/10000,2)</f>
        <v>0</v>
      </c>
      <c r="D36" s="746" t="s">
        <v>616</v>
      </c>
      <c r="E36" s="717" t="s">
        <v>617</v>
      </c>
      <c r="F36" s="587">
        <f>'数据-取费表'!B52</f>
        <v>0</v>
      </c>
      <c r="G36" s="1667"/>
      <c r="H36" s="1676"/>
      <c r="I36" s="3807"/>
      <c r="J36" s="1689"/>
      <c r="K36" s="1690"/>
      <c r="L36" s="1689"/>
      <c r="M36" s="1689"/>
    </row>
    <row r="37" spans="1:18" ht="18" customHeight="1">
      <c r="A37" s="747"/>
      <c r="B37" s="726"/>
      <c r="C37" s="65"/>
      <c r="D37" s="748"/>
      <c r="E37" s="717" t="s">
        <v>621</v>
      </c>
      <c r="F37" s="718">
        <f ca="1">INDIRECT("'数据-取费表'!r"&amp;$G$1)</f>
        <v>0</v>
      </c>
      <c r="G37" s="1667"/>
      <c r="H37" s="1676"/>
      <c r="I37" s="3807"/>
      <c r="J37" s="1687"/>
      <c r="K37" s="1688"/>
      <c r="L37" s="1687"/>
      <c r="M37" s="1687"/>
    </row>
    <row r="38" spans="1:18" ht="18" customHeight="1">
      <c r="A38" s="736" t="s">
        <v>1402</v>
      </c>
      <c r="B38" s="717" t="s">
        <v>623</v>
      </c>
      <c r="C38" s="49">
        <f ca="1">ROUND(C31*F38,2)</f>
        <v>0</v>
      </c>
      <c r="D38" s="905" t="s">
        <v>638</v>
      </c>
      <c r="E38" s="717" t="s">
        <v>597</v>
      </c>
      <c r="F38" s="749">
        <f ca="1">INDIRECT("'数据-取费表'!Ak"&amp;$G$1)</f>
        <v>0</v>
      </c>
      <c r="G38" s="1667"/>
      <c r="H38" s="1687"/>
      <c r="I38" s="2556"/>
      <c r="J38" s="1635"/>
      <c r="K38" s="1691"/>
      <c r="L38" s="1687"/>
      <c r="M38" s="1687"/>
    </row>
    <row r="39" spans="1:18" ht="18" customHeight="1">
      <c r="A39" s="736" t="s">
        <v>1403</v>
      </c>
      <c r="B39" s="717" t="s">
        <v>626</v>
      </c>
      <c r="C39" s="49">
        <f ca="1">ROUND(C15*F39,2)</f>
        <v>0</v>
      </c>
      <c r="D39" s="905" t="s">
        <v>627</v>
      </c>
      <c r="E39" s="717" t="s">
        <v>597</v>
      </c>
      <c r="F39" s="750">
        <f ca="1">INDIRECT("'数据-取费表'!Al"&amp;$G$1)</f>
        <v>0</v>
      </c>
      <c r="G39" s="1667"/>
      <c r="H39" s="1687"/>
      <c r="I39" s="2556"/>
      <c r="J39" s="1635"/>
      <c r="K39" s="1691"/>
      <c r="L39" s="1687"/>
      <c r="M39" s="1687"/>
    </row>
    <row r="40" spans="1:18" ht="18" customHeight="1" thickBot="1">
      <c r="A40" s="2035" t="s">
        <v>1404</v>
      </c>
      <c r="B40" s="2021" t="s">
        <v>613</v>
      </c>
      <c r="C40" s="2019">
        <f ca="1">ROUND(C7*F40,2)</f>
        <v>0</v>
      </c>
      <c r="D40" s="2020" t="s">
        <v>630</v>
      </c>
      <c r="E40" s="2021" t="s">
        <v>597</v>
      </c>
      <c r="F40" s="2017">
        <f ca="1">INDIRECT("'数据-取费表'!Am"&amp;$G$1)</f>
        <v>0</v>
      </c>
      <c r="G40" s="1667"/>
      <c r="H40" s="1687"/>
      <c r="I40" s="2556"/>
      <c r="J40" s="1635"/>
      <c r="K40" s="1692"/>
      <c r="L40" s="1687"/>
      <c r="M40" s="1687"/>
    </row>
    <row r="41" spans="1:18" ht="18" customHeight="1" thickTop="1">
      <c r="A41" s="1519">
        <v>4</v>
      </c>
      <c r="B41" s="1517" t="s">
        <v>639</v>
      </c>
      <c r="C41" s="1145"/>
      <c r="D41" s="1146"/>
      <c r="E41" s="1146"/>
      <c r="F41" s="1147"/>
      <c r="G41" s="1667"/>
      <c r="H41" s="1667"/>
      <c r="I41" s="1667"/>
      <c r="J41" s="1667"/>
      <c r="K41" s="1692"/>
      <c r="L41" s="1667"/>
      <c r="M41" s="1667"/>
    </row>
    <row r="42" spans="1:18" ht="18" customHeight="1">
      <c r="A42" s="736" t="s">
        <v>1401</v>
      </c>
      <c r="B42" s="767" t="s">
        <v>640</v>
      </c>
      <c r="C42" s="761">
        <f ca="1">C7-C32</f>
        <v>0</v>
      </c>
      <c r="D42" s="904" t="s">
        <v>641</v>
      </c>
      <c r="E42" s="902"/>
      <c r="F42" s="752"/>
      <c r="G42" s="1667"/>
      <c r="H42" s="1667"/>
      <c r="I42" s="1667"/>
      <c r="J42" s="1667"/>
      <c r="K42" s="1692"/>
      <c r="L42" s="1667"/>
      <c r="M42" s="1667"/>
    </row>
    <row r="43" spans="1:18" ht="18" customHeight="1">
      <c r="A43" s="736" t="s">
        <v>1402</v>
      </c>
      <c r="B43" s="767" t="s">
        <v>658</v>
      </c>
      <c r="C43" s="768">
        <f ca="1">ROUND(C15*F43,0)</f>
        <v>0</v>
      </c>
      <c r="D43" s="1148" t="s">
        <v>659</v>
      </c>
      <c r="E43" s="2359" t="s">
        <v>2216</v>
      </c>
      <c r="F43" s="2360">
        <f ca="1">INDIRECT("'数据-取费表'!j"&amp;$G$1)</f>
        <v>0</v>
      </c>
      <c r="G43" s="1667"/>
      <c r="H43" s="1667"/>
      <c r="I43" s="1667"/>
      <c r="J43" s="1667"/>
      <c r="K43" s="1692"/>
      <c r="L43" s="1667"/>
      <c r="M43" s="1667"/>
    </row>
    <row r="44" spans="1:18" ht="18" customHeight="1">
      <c r="A44" s="736" t="s">
        <v>1403</v>
      </c>
      <c r="B44" s="767" t="s">
        <v>660</v>
      </c>
      <c r="C44" s="1149">
        <f ca="1">C42-C43</f>
        <v>0</v>
      </c>
      <c r="D44" s="432" t="s">
        <v>661</v>
      </c>
      <c r="E44" s="433"/>
      <c r="F44" s="434"/>
      <c r="G44" s="1667"/>
      <c r="H44" s="1667"/>
      <c r="I44" s="1667"/>
      <c r="J44" s="1667"/>
      <c r="K44" s="1692"/>
      <c r="L44" s="1667"/>
      <c r="M44" s="1667"/>
    </row>
    <row r="45" spans="1:18" ht="18" customHeight="1">
      <c r="A45" s="736" t="s">
        <v>1404</v>
      </c>
      <c r="B45" s="1148" t="s">
        <v>662</v>
      </c>
      <c r="C45" s="716">
        <f ca="1">ROUND(-PV(F45,F46,C44,0),0)</f>
        <v>0</v>
      </c>
      <c r="D45" s="1150" t="s">
        <v>663</v>
      </c>
      <c r="E45" s="739" t="s">
        <v>664</v>
      </c>
      <c r="F45" s="762">
        <f ca="1">INDIRECT("'数据-取费表'!h"&amp;$G$1)</f>
        <v>0</v>
      </c>
      <c r="G45" s="1667"/>
      <c r="H45" s="1667"/>
      <c r="I45" s="1667"/>
      <c r="J45" s="1667"/>
      <c r="K45" s="1692"/>
      <c r="L45" s="1667"/>
      <c r="M45" s="1667"/>
    </row>
    <row r="46" spans="1:18" ht="18" customHeight="1" thickBot="1">
      <c r="A46" s="763"/>
      <c r="B46" s="1151"/>
      <c r="C46" s="1152"/>
      <c r="D46" s="1153"/>
      <c r="E46" s="2361" t="s">
        <v>2219</v>
      </c>
      <c r="F46" s="760">
        <f ca="1">IF(INDIRECT("'数据-取费表'!af"&amp;$G$1)=0,INDIRECT("'数据-取费表'!ae"&amp;$G$1),INDIRECT("'数据-取费表'!af"&amp;$G$1))</f>
        <v>0</v>
      </c>
      <c r="G46" s="1667"/>
      <c r="H46" s="1667"/>
      <c r="I46" s="1667"/>
      <c r="J46" s="1667"/>
      <c r="K46" s="1692"/>
      <c r="L46" s="1667"/>
      <c r="M46" s="1667"/>
    </row>
    <row r="47" spans="1:18" s="1671" customFormat="1" ht="18" customHeight="1" thickBot="1">
      <c r="A47" s="1693"/>
      <c r="D47" s="1694"/>
      <c r="E47" s="1694"/>
      <c r="F47" s="1694"/>
      <c r="I47" s="1938" t="s">
        <v>1694</v>
      </c>
      <c r="J47" s="1939"/>
      <c r="K47" s="1940"/>
      <c r="L47" s="2374" t="e">
        <f ca="1">IF(M48="住宅",0,IF(L49&gt;J52,L61,J61))</f>
        <v>#DIV/0!</v>
      </c>
      <c r="O47" s="1952" t="s">
        <v>1761</v>
      </c>
      <c r="P47" s="1143"/>
      <c r="Q47" s="1329"/>
      <c r="R47" s="1143"/>
    </row>
    <row r="48" spans="1:18" s="1671" customFormat="1" ht="18" customHeight="1" thickBot="1">
      <c r="A48" s="1693"/>
      <c r="C48" s="1696"/>
      <c r="D48" s="1694"/>
      <c r="E48" s="1694"/>
      <c r="F48" s="1697"/>
      <c r="G48" s="1698"/>
      <c r="I48" s="2366" t="s">
        <v>1695</v>
      </c>
      <c r="J48" s="1941"/>
      <c r="K48" s="2371" t="s">
        <v>1700</v>
      </c>
      <c r="L48" s="2375">
        <f ca="1">INDIRECT("'数据-取费表'!d"&amp;$G$1)</f>
        <v>0</v>
      </c>
      <c r="M48" s="2358" t="str">
        <f>IF(ISNUMBER(FIND("住宅",C1)),"住宅","非住宅")</f>
        <v>非住宅</v>
      </c>
      <c r="O48" s="1953" t="s">
        <v>1726</v>
      </c>
      <c r="P48" s="1954" t="s">
        <v>1727</v>
      </c>
      <c r="Q48" s="1955" t="s">
        <v>1728</v>
      </c>
      <c r="R48" s="1954" t="s">
        <v>1729</v>
      </c>
    </row>
    <row r="49" spans="1:18" s="1671" customFormat="1" ht="18" customHeight="1" thickBot="1">
      <c r="A49" s="1693"/>
      <c r="D49" s="1699"/>
      <c r="E49" s="1700"/>
      <c r="F49" s="1697"/>
      <c r="G49" s="1698"/>
      <c r="H49" s="1701"/>
      <c r="I49" s="2363" t="s">
        <v>1696</v>
      </c>
      <c r="J49" s="1942"/>
      <c r="K49" s="2372" t="s">
        <v>1702</v>
      </c>
      <c r="L49" s="1566">
        <f ca="1">INDIRECT("'数据-取费表'!f"&amp;$G$1)</f>
        <v>0</v>
      </c>
      <c r="O49" s="1956" t="s">
        <v>1730</v>
      </c>
      <c r="P49" s="1957" t="s">
        <v>1756</v>
      </c>
      <c r="Q49" s="1958">
        <f ca="1">C41+J31</f>
        <v>0</v>
      </c>
      <c r="R49" s="1957" t="s">
        <v>1731</v>
      </c>
    </row>
    <row r="50" spans="1:18" s="1671" customFormat="1" ht="18" customHeight="1" thickBot="1">
      <c r="A50" s="1693"/>
      <c r="D50" s="1702"/>
      <c r="E50" s="1702"/>
      <c r="F50" s="1694"/>
      <c r="H50" s="1701"/>
      <c r="I50" s="2363" t="s">
        <v>1697</v>
      </c>
      <c r="J50" s="1943"/>
      <c r="K50" s="2373" t="s">
        <v>1703</v>
      </c>
      <c r="L50" s="1565"/>
      <c r="O50" s="1956" t="s">
        <v>1732</v>
      </c>
      <c r="P50" s="1957" t="s">
        <v>1757</v>
      </c>
      <c r="Q50" s="1958" t="e">
        <f ca="1">J61</f>
        <v>#DIV/0!</v>
      </c>
      <c r="R50" s="1957" t="s">
        <v>1733</v>
      </c>
    </row>
    <row r="51" spans="1:18" s="1671" customFormat="1" ht="18" customHeight="1" thickBot="1">
      <c r="A51" s="1703"/>
      <c r="D51" s="1702"/>
      <c r="E51" s="1702"/>
      <c r="F51" s="1694"/>
      <c r="H51" s="1701"/>
      <c r="I51" s="2363" t="s">
        <v>1698</v>
      </c>
      <c r="J51" s="2370">
        <f>SUMPRODUCT((I64:I66=J48)*(J63:L63=J49)*(J64:L66))</f>
        <v>0</v>
      </c>
      <c r="K51" s="2373" t="s">
        <v>1704</v>
      </c>
      <c r="L51" s="1565"/>
      <c r="O51" s="1959" t="s">
        <v>1734</v>
      </c>
      <c r="P51" s="1957" t="s">
        <v>1758</v>
      </c>
      <c r="Q51" s="1958">
        <f ca="1">C31</f>
        <v>0</v>
      </c>
      <c r="R51" s="1957" t="s">
        <v>1731</v>
      </c>
    </row>
    <row r="52" spans="1:18" s="1671" customFormat="1" ht="18" customHeight="1" thickBot="1">
      <c r="A52" s="1703"/>
      <c r="F52" s="1694"/>
      <c r="I52" s="2367" t="s">
        <v>1699</v>
      </c>
      <c r="J52" s="1566">
        <f>IF(J50="",J51,J50+J51-YEAR('数据-取费表'!B3))</f>
        <v>0</v>
      </c>
      <c r="K52" s="2363" t="s">
        <v>1705</v>
      </c>
      <c r="L52" s="2376">
        <f ca="1">C45</f>
        <v>0</v>
      </c>
      <c r="O52" s="1959" t="s">
        <v>1735</v>
      </c>
      <c r="P52" s="1957" t="s">
        <v>1736</v>
      </c>
      <c r="Q52" s="1960" t="e">
        <f ca="1">J59</f>
        <v>#DIV/0!</v>
      </c>
      <c r="R52" s="1961"/>
    </row>
    <row r="53" spans="1:18" s="1671" customFormat="1" ht="18" customHeight="1" thickBot="1">
      <c r="A53" s="1703"/>
      <c r="F53" s="1694"/>
      <c r="I53" s="2368" t="s">
        <v>1772</v>
      </c>
      <c r="J53" s="1944"/>
      <c r="K53" s="2368" t="s">
        <v>1771</v>
      </c>
      <c r="L53" s="1944"/>
      <c r="O53" s="1959" t="s">
        <v>1737</v>
      </c>
      <c r="P53" s="1957" t="s">
        <v>1738</v>
      </c>
      <c r="Q53" s="1960">
        <f>J53</f>
        <v>0</v>
      </c>
      <c r="R53" s="1961"/>
    </row>
    <row r="54" spans="1:18" s="1671" customFormat="1" ht="29.25" thickBot="1">
      <c r="A54" s="1703"/>
      <c r="I54" s="2369" t="s">
        <v>2230</v>
      </c>
      <c r="J54" s="2415">
        <f ca="1">IF(M48="住宅",MAX(J52,L49-'数据-取费表'!B20),MIN(J52,L49-'数据-取费表'!B20))</f>
        <v>0</v>
      </c>
      <c r="K54" s="3812"/>
      <c r="L54" s="3813"/>
      <c r="O54" s="1959" t="s">
        <v>1739</v>
      </c>
      <c r="P54" s="1957" t="s">
        <v>1740</v>
      </c>
      <c r="Q54" s="1958">
        <f ca="1">J54</f>
        <v>0</v>
      </c>
      <c r="R54" s="1957" t="s">
        <v>1741</v>
      </c>
    </row>
    <row r="55" spans="1:18" s="1671" customFormat="1" ht="18" customHeight="1" thickBot="1">
      <c r="A55" s="1703"/>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6" t="s">
        <v>1742</v>
      </c>
      <c r="P55" s="1957" t="s">
        <v>1759</v>
      </c>
      <c r="Q55" s="1958" t="e">
        <f ca="1">Q49+Q50</f>
        <v>#DIV/0!</v>
      </c>
      <c r="R55" s="1961" t="s">
        <v>1743</v>
      </c>
    </row>
    <row r="56" spans="1:18" s="1671" customFormat="1" ht="16.5" thickBot="1">
      <c r="A56" s="1703"/>
      <c r="B56" s="1704"/>
      <c r="C56" s="1704"/>
      <c r="I56" s="2379" t="s">
        <v>1706</v>
      </c>
      <c r="J56" s="2352" t="e">
        <f ca="1">ROUND(IF(J48="钢混",J58/J51,1-(1-2%)*(J51-J58)/J51),3)</f>
        <v>#DIV/0!</v>
      </c>
      <c r="K56" s="2380" t="s">
        <v>1707</v>
      </c>
      <c r="L56" s="1945"/>
      <c r="O56" s="1962" t="s">
        <v>1762</v>
      </c>
      <c r="P56" s="1143"/>
      <c r="Q56" s="1329"/>
      <c r="R56" s="1143"/>
    </row>
    <row r="57" spans="1:18" s="1671" customFormat="1" ht="43.5" thickBot="1">
      <c r="A57" s="1703"/>
      <c r="B57" s="1704"/>
      <c r="C57" s="1704"/>
      <c r="I57" s="2381" t="s">
        <v>1708</v>
      </c>
      <c r="J57" s="2391"/>
      <c r="K57" s="2363" t="s">
        <v>1713</v>
      </c>
      <c r="L57" s="1566">
        <f ca="1">IF(L49&lt;J52,"——",L49-J52)</f>
        <v>0</v>
      </c>
      <c r="O57" s="1953" t="s">
        <v>1726</v>
      </c>
      <c r="P57" s="1954" t="s">
        <v>1727</v>
      </c>
      <c r="Q57" s="1955" t="s">
        <v>1728</v>
      </c>
      <c r="R57" s="1954" t="s">
        <v>1729</v>
      </c>
    </row>
    <row r="58" spans="1:18" s="1671" customFormat="1" ht="29.25" thickBot="1">
      <c r="A58" s="1703"/>
      <c r="B58" s="1704"/>
      <c r="C58" s="1704"/>
      <c r="I58" s="2382" t="s">
        <v>1709</v>
      </c>
      <c r="J58" s="2383">
        <f ca="1">IF(OR(M48="住宅",J52&lt;L49,J57="是"),"——",J52-L49)</f>
        <v>0</v>
      </c>
      <c r="K58" s="2363" t="s">
        <v>1714</v>
      </c>
      <c r="L58" s="1566">
        <f ca="1">IF(L49&lt;J52,"——",IF(L56="比较法",L50,IF(L56="基准地价",L51,L52)))</f>
        <v>0</v>
      </c>
      <c r="O58" s="1956" t="s">
        <v>1730</v>
      </c>
      <c r="P58" s="1957" t="s">
        <v>1756</v>
      </c>
      <c r="Q58" s="1958">
        <f ca="1">C41+J31</f>
        <v>0</v>
      </c>
      <c r="R58" s="1957" t="s">
        <v>1731</v>
      </c>
    </row>
    <row r="59" spans="1:18" s="1671" customFormat="1" ht="29.25" thickBot="1">
      <c r="A59" s="1703"/>
      <c r="B59" s="1704"/>
      <c r="C59" s="1704"/>
      <c r="I59" s="2382" t="s">
        <v>1710</v>
      </c>
      <c r="J59" s="2353" t="e">
        <f ca="1">IF(J56&lt;0.4,0.4,J56)</f>
        <v>#DIV/0!</v>
      </c>
      <c r="K59" s="2363" t="s">
        <v>1715</v>
      </c>
      <c r="L59" s="1566">
        <f ca="1">IF(ISERROR(POWER(1+L53,L48-L49)*(POWER(1+L53,L49)-1)/(POWER(1+L53,L48)-1)),0,POWER(1+L53,L48-L49)*(POWER(1+L53,L49)-1)/(POWER(1+L53,L48)-1))</f>
        <v>0</v>
      </c>
      <c r="O59" s="1956" t="s">
        <v>1732</v>
      </c>
      <c r="P59" s="1957" t="s">
        <v>1763</v>
      </c>
      <c r="Q59" s="1958" t="e">
        <f ca="1">L61</f>
        <v>#DIV/0!</v>
      </c>
      <c r="R59" s="1961" t="s">
        <v>1765</v>
      </c>
    </row>
    <row r="60" spans="1:18" s="1671" customFormat="1" ht="29.25" thickBot="1">
      <c r="A60" s="1703"/>
      <c r="B60" s="1704"/>
      <c r="C60" s="1704"/>
      <c r="I60" s="2382" t="s">
        <v>1711</v>
      </c>
      <c r="J60" s="2383" t="e">
        <f ca="1">IF(OR(M48="住宅",J52&lt;L49,J57="是"),"——",ROUND(C30*J59,0))</f>
        <v>#DIV/0!</v>
      </c>
      <c r="K60" s="2363" t="s">
        <v>1716</v>
      </c>
      <c r="L60" s="1566">
        <f ca="1">IF(ISERROR(POWER(1+L53,L48-J52)*(POWER(1+L53,J52)-1)/(POWER(1+L53,L48)-1)),0,POWER(1+L53,L48-J52)*(POWER(1+L53,J52)-1)/(POWER(1+L53,L48)-1))</f>
        <v>0</v>
      </c>
      <c r="O60" s="1959" t="s">
        <v>1734</v>
      </c>
      <c r="P60" s="1957" t="s">
        <v>1764</v>
      </c>
      <c r="Q60" s="1958">
        <f>IF(L56="比较法",L50,IF(L56="基准地价",L51,0))</f>
        <v>0</v>
      </c>
      <c r="R60" s="1957" t="s">
        <v>1731</v>
      </c>
    </row>
    <row r="61" spans="1:18" s="1671" customFormat="1" ht="15.75" thickBot="1">
      <c r="A61" s="1703"/>
      <c r="B61" s="1704"/>
      <c r="C61" s="1704"/>
      <c r="I61" s="2384" t="s">
        <v>1712</v>
      </c>
      <c r="J61" s="2385" t="e">
        <f ca="1">IF(OR(M48="住宅",J52&lt;L49,J57="是"),"0",ROUND(J60/(1+J53)^J54,0))</f>
        <v>#DIV/0!</v>
      </c>
      <c r="K61" s="2386" t="s">
        <v>1717</v>
      </c>
      <c r="L61" s="2385" t="e">
        <f ca="1">IF(OR(M48="住宅",L49&lt;J52),0,ROUND(L58*(L59/L60-1),0))</f>
        <v>#DIV/0!</v>
      </c>
      <c r="O61" s="1959" t="s">
        <v>1735</v>
      </c>
      <c r="P61" s="1957" t="s">
        <v>1744</v>
      </c>
      <c r="Q61" s="1960">
        <f>L53</f>
        <v>0</v>
      </c>
      <c r="R61" s="1961"/>
    </row>
    <row r="62" spans="1:18" s="1671" customFormat="1" ht="20.25" thickBot="1">
      <c r="A62" s="1703"/>
      <c r="B62" s="1704"/>
      <c r="C62" s="1704"/>
      <c r="K62" s="1695"/>
      <c r="O62" s="1959" t="s">
        <v>1737</v>
      </c>
      <c r="P62" s="1957" t="s">
        <v>1745</v>
      </c>
      <c r="Q62" s="1958">
        <f ca="1">L59</f>
        <v>0</v>
      </c>
      <c r="R62" s="1961" t="s">
        <v>1746</v>
      </c>
    </row>
    <row r="63" spans="1:18" s="1671" customFormat="1" ht="20.25" thickBot="1">
      <c r="A63" s="1703"/>
      <c r="B63" s="1704"/>
      <c r="C63" s="1704"/>
      <c r="I63" s="2387" t="s">
        <v>1718</v>
      </c>
      <c r="J63" s="2388" t="s">
        <v>1719</v>
      </c>
      <c r="K63" s="2388" t="s">
        <v>1720</v>
      </c>
      <c r="L63" s="2388" t="s">
        <v>1701</v>
      </c>
      <c r="M63" s="2389" t="s">
        <v>2199</v>
      </c>
      <c r="O63" s="1959" t="s">
        <v>1739</v>
      </c>
      <c r="P63" s="1957" t="s">
        <v>1747</v>
      </c>
      <c r="Q63" s="1958">
        <f ca="1">L60</f>
        <v>0</v>
      </c>
      <c r="R63" s="1961" t="s">
        <v>1748</v>
      </c>
    </row>
    <row r="64" spans="1:18" s="1671" customFormat="1" ht="15.75" thickBot="1">
      <c r="A64" s="1703"/>
      <c r="B64" s="1704"/>
      <c r="C64" s="1704"/>
      <c r="I64" s="2387" t="s">
        <v>1721</v>
      </c>
      <c r="J64" s="2388">
        <v>70</v>
      </c>
      <c r="K64" s="2388">
        <v>50</v>
      </c>
      <c r="L64" s="2388">
        <v>80</v>
      </c>
      <c r="M64" s="2390">
        <v>0.02</v>
      </c>
      <c r="O64" s="1956" t="s">
        <v>1742</v>
      </c>
      <c r="P64" s="1957" t="s">
        <v>1759</v>
      </c>
      <c r="Q64" s="1958" t="e">
        <f ca="1">Q58+Q59</f>
        <v>#DIV/0!</v>
      </c>
      <c r="R64" s="1961" t="s">
        <v>1743</v>
      </c>
    </row>
    <row r="65" spans="1:18" s="1671" customFormat="1" ht="16.5" thickBot="1">
      <c r="A65" s="1703"/>
      <c r="B65" s="1704"/>
      <c r="C65" s="1704"/>
      <c r="I65" s="2387" t="s">
        <v>1722</v>
      </c>
      <c r="J65" s="2388">
        <v>50</v>
      </c>
      <c r="K65" s="2388">
        <v>35</v>
      </c>
      <c r="L65" s="2388">
        <v>60</v>
      </c>
      <c r="M65" s="778">
        <v>0</v>
      </c>
      <c r="O65" s="1962" t="s">
        <v>1766</v>
      </c>
      <c r="P65" s="1143"/>
      <c r="Q65" s="1329"/>
      <c r="R65" s="1143"/>
    </row>
    <row r="66" spans="1:18" s="1671" customFormat="1" ht="15.75" thickBot="1">
      <c r="A66" s="1703"/>
      <c r="B66" s="1704"/>
      <c r="C66" s="1704"/>
      <c r="I66" s="2387" t="s">
        <v>1723</v>
      </c>
      <c r="J66" s="2388">
        <v>40</v>
      </c>
      <c r="K66" s="2388">
        <v>30</v>
      </c>
      <c r="L66" s="2388">
        <v>50</v>
      </c>
      <c r="M66" s="2390">
        <v>0.02</v>
      </c>
      <c r="O66" s="1953" t="s">
        <v>1726</v>
      </c>
      <c r="P66" s="1954" t="s">
        <v>1727</v>
      </c>
      <c r="Q66" s="1955" t="s">
        <v>1728</v>
      </c>
      <c r="R66" s="1954" t="s">
        <v>1729</v>
      </c>
    </row>
    <row r="67" spans="1:18" s="1671" customFormat="1" ht="15.75" thickBot="1">
      <c r="A67" s="1703"/>
      <c r="B67" s="1704"/>
      <c r="C67" s="1704"/>
      <c r="K67" s="1695"/>
      <c r="O67" s="1956" t="s">
        <v>1730</v>
      </c>
      <c r="P67" s="1957" t="s">
        <v>1756</v>
      </c>
      <c r="Q67" s="1958">
        <f ca="1">C41+J31</f>
        <v>0</v>
      </c>
      <c r="R67" s="1957" t="s">
        <v>1731</v>
      </c>
    </row>
    <row r="68" spans="1:18" s="1671" customFormat="1" ht="20.25" thickBot="1">
      <c r="A68" s="1703"/>
      <c r="B68" s="1704"/>
      <c r="C68" s="1704"/>
      <c r="K68" s="1695"/>
      <c r="O68" s="1956" t="s">
        <v>1732</v>
      </c>
      <c r="P68" s="1957" t="s">
        <v>1763</v>
      </c>
      <c r="Q68" s="1958" t="e">
        <f ca="1">L61</f>
        <v>#DIV/0!</v>
      </c>
      <c r="R68" s="1961" t="s">
        <v>1765</v>
      </c>
    </row>
    <row r="69" spans="1:18" s="1671" customFormat="1" ht="21.75" thickBot="1">
      <c r="A69" s="1703"/>
      <c r="B69" s="1704"/>
      <c r="C69" s="1704"/>
      <c r="K69" s="1695"/>
      <c r="O69" s="1959" t="s">
        <v>1734</v>
      </c>
      <c r="P69" s="1957" t="s">
        <v>1764</v>
      </c>
      <c r="Q69" s="1963">
        <f ca="1">L52</f>
        <v>0</v>
      </c>
      <c r="R69" s="1964" t="s">
        <v>1767</v>
      </c>
    </row>
    <row r="70" spans="1:18" s="1671" customFormat="1" ht="20.25" thickBot="1">
      <c r="A70" s="1703"/>
      <c r="B70" s="1704"/>
      <c r="C70" s="1704"/>
      <c r="K70" s="1695"/>
      <c r="O70" s="1959" t="s">
        <v>1735</v>
      </c>
      <c r="P70" s="1965" t="s">
        <v>1749</v>
      </c>
      <c r="Q70" s="1958">
        <f ca="1">ROUND(Q71-Q72*Q73,0)</f>
        <v>0</v>
      </c>
      <c r="R70" s="1961"/>
    </row>
    <row r="71" spans="1:18" s="1671" customFormat="1" ht="15.75" thickBot="1">
      <c r="A71" s="1703"/>
      <c r="B71" s="1704"/>
      <c r="C71" s="1704"/>
      <c r="K71" s="1695"/>
      <c r="O71" s="1959" t="s">
        <v>1750</v>
      </c>
      <c r="P71" s="1965" t="s">
        <v>1751</v>
      </c>
      <c r="Q71" s="1958">
        <f ca="1">C42</f>
        <v>0</v>
      </c>
      <c r="R71" s="1957" t="s">
        <v>1731</v>
      </c>
    </row>
    <row r="72" spans="1:18" s="1671" customFormat="1" ht="15.75" thickBot="1">
      <c r="A72" s="1703"/>
      <c r="B72" s="1704"/>
      <c r="C72" s="1704"/>
      <c r="K72" s="1695"/>
      <c r="O72" s="1959" t="s">
        <v>1752</v>
      </c>
      <c r="P72" s="1965" t="s">
        <v>1753</v>
      </c>
      <c r="Q72" s="1958">
        <f ca="1">C15</f>
        <v>0</v>
      </c>
      <c r="R72" s="1957" t="s">
        <v>1731</v>
      </c>
    </row>
    <row r="73" spans="1:18" s="1671" customFormat="1" ht="15.75" thickBot="1">
      <c r="A73" s="1703"/>
      <c r="B73" s="1704"/>
      <c r="C73" s="1704"/>
      <c r="K73" s="1695"/>
      <c r="O73" s="1959" t="s">
        <v>1754</v>
      </c>
      <c r="P73" s="1965" t="s">
        <v>1755</v>
      </c>
      <c r="Q73" s="1960">
        <f ca="1">F43</f>
        <v>0</v>
      </c>
      <c r="R73" s="1961"/>
    </row>
    <row r="74" spans="1:18" s="1671" customFormat="1" ht="15.75" thickBot="1">
      <c r="A74" s="1703"/>
      <c r="B74" s="1704"/>
      <c r="C74" s="1704"/>
      <c r="K74" s="1695"/>
      <c r="O74" s="1959" t="s">
        <v>1737</v>
      </c>
      <c r="P74" s="1957" t="s">
        <v>1744</v>
      </c>
      <c r="Q74" s="1960">
        <f>L53</f>
        <v>0</v>
      </c>
      <c r="R74" s="1961"/>
    </row>
    <row r="75" spans="1:18" s="1671" customFormat="1" ht="20.25" thickBot="1">
      <c r="A75" s="1703"/>
      <c r="B75" s="1704"/>
      <c r="C75" s="1704"/>
      <c r="K75" s="1695"/>
      <c r="O75" s="1959" t="s">
        <v>1739</v>
      </c>
      <c r="P75" s="1957" t="s">
        <v>1745</v>
      </c>
      <c r="Q75" s="1958">
        <f ca="1">L59</f>
        <v>0</v>
      </c>
      <c r="R75" s="1961" t="s">
        <v>1746</v>
      </c>
    </row>
    <row r="76" spans="1:18" s="1671" customFormat="1" ht="20.25" thickBot="1">
      <c r="A76" s="1703"/>
      <c r="B76" s="1704"/>
      <c r="C76" s="1704"/>
      <c r="K76" s="1695"/>
      <c r="O76" s="1959" t="s">
        <v>1768</v>
      </c>
      <c r="P76" s="1957" t="s">
        <v>1747</v>
      </c>
      <c r="Q76" s="1958">
        <f ca="1">L60</f>
        <v>0</v>
      </c>
      <c r="R76" s="1961" t="s">
        <v>1748</v>
      </c>
    </row>
    <row r="77" spans="1:18" s="1671" customFormat="1" ht="15.75" thickBot="1">
      <c r="A77" s="1703"/>
      <c r="B77" s="1704"/>
      <c r="C77" s="1704"/>
      <c r="K77" s="1695"/>
      <c r="O77" s="1956" t="s">
        <v>1742</v>
      </c>
      <c r="P77" s="1957" t="s">
        <v>1759</v>
      </c>
      <c r="Q77" s="1958" t="e">
        <f ca="1">Q67+Q68</f>
        <v>#DIV/0!</v>
      </c>
      <c r="R77" s="1961" t="s">
        <v>1743</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H49" sqref="H49"/>
    </sheetView>
  </sheetViews>
  <sheetFormatPr defaultColWidth="9" defaultRowHeight="15"/>
  <cols>
    <col min="1" max="1" width="9" style="1672" customWidth="1"/>
    <col min="2" max="2" width="20.625" style="1706" customWidth="1"/>
    <col min="3" max="3" width="11.875" style="1706" customWidth="1"/>
    <col min="4" max="4" width="40.5" style="1672" customWidth="1"/>
    <col min="5" max="5" width="15.625" style="1672" customWidth="1"/>
    <col min="6" max="6" width="10.625" style="1672" customWidth="1"/>
    <col min="7" max="7" width="4.875" style="1672" customWidth="1"/>
    <col min="8" max="8" width="8.5" style="1672" customWidth="1"/>
    <col min="9" max="9" width="21.125" style="1672" customWidth="1"/>
    <col min="10" max="10" width="12.125" style="1672" customWidth="1"/>
    <col min="11" max="11" width="40.125" style="1707" customWidth="1"/>
    <col min="12" max="12" width="18.375" style="1672" customWidth="1"/>
    <col min="13" max="13" width="13" style="1672" customWidth="1"/>
    <col min="14" max="14" width="9.5" style="1671" bestFit="1" customWidth="1"/>
    <col min="15" max="15" width="5.875" style="1671" customWidth="1"/>
    <col min="16" max="16" width="27.625" style="1671" customWidth="1"/>
    <col min="17" max="17" width="13.625" style="1704" customWidth="1"/>
    <col min="18" max="18" width="23.5" style="1671" customWidth="1"/>
    <col min="19" max="19" width="1.5" style="1671" customWidth="1"/>
    <col min="20" max="33" width="9" style="1671"/>
    <col min="34" max="16384" width="9" style="1672"/>
  </cols>
  <sheetData>
    <row r="1" spans="1:33" s="1666" customFormat="1" ht="21">
      <c r="A1" s="764" t="s">
        <v>1254</v>
      </c>
      <c r="B1" s="675"/>
      <c r="C1" s="706" t="s">
        <v>851</v>
      </c>
      <c r="D1" s="2362" t="s">
        <v>877</v>
      </c>
      <c r="E1" s="1946" t="s">
        <v>1725</v>
      </c>
      <c r="F1" s="1947" t="e">
        <f ca="1">J53</f>
        <v>#N/A</v>
      </c>
      <c r="G1" s="2759" t="e">
        <f>MATCH(C1,'数据-取费表'!A6:A16,0)+5</f>
        <v>#N/A</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3" t="s">
        <v>1255</v>
      </c>
      <c r="B2" s="708" t="e">
        <f ca="1">C40+J29+L46</f>
        <v>#N/A</v>
      </c>
      <c r="C2" s="2764"/>
      <c r="D2" s="2763"/>
      <c r="E2" s="2765"/>
      <c r="F2" s="2765"/>
      <c r="G2" s="2760"/>
      <c r="H2" s="1669"/>
      <c r="I2" s="1669"/>
      <c r="J2" s="1669"/>
      <c r="K2" s="1670"/>
      <c r="L2" s="1669"/>
      <c r="M2" s="1669"/>
    </row>
    <row r="3" spans="1:33" ht="18" customHeight="1" thickBot="1">
      <c r="A3" s="765" t="s">
        <v>1256</v>
      </c>
      <c r="B3" s="766">
        <f ca="1">IF(ISERROR(B2*10000/F43),0,ROUND(B2*10000/F43,0))</f>
        <v>0</v>
      </c>
      <c r="C3" s="2764"/>
      <c r="D3" s="2763"/>
      <c r="E3" s="2765"/>
      <c r="F3" s="2765"/>
      <c r="G3" s="2760"/>
      <c r="H3" s="709" t="s">
        <v>642</v>
      </c>
      <c r="I3" s="1155"/>
      <c r="J3" s="1155"/>
      <c r="K3" s="1323"/>
      <c r="L3" s="1155"/>
      <c r="M3" s="1155"/>
    </row>
    <row r="4" spans="1:33" ht="18" customHeight="1">
      <c r="A4" s="710" t="s">
        <v>1257</v>
      </c>
      <c r="B4" s="711" t="s">
        <v>1258</v>
      </c>
      <c r="C4" s="711" t="s">
        <v>1259</v>
      </c>
      <c r="D4" s="711" t="s">
        <v>581</v>
      </c>
      <c r="E4" s="712" t="s">
        <v>1260</v>
      </c>
      <c r="F4" s="713"/>
      <c r="G4" s="1667"/>
      <c r="H4" s="710" t="s">
        <v>1261</v>
      </c>
      <c r="I4" s="711" t="s">
        <v>1262</v>
      </c>
      <c r="J4" s="711" t="s">
        <v>1263</v>
      </c>
      <c r="K4" s="711" t="s">
        <v>1264</v>
      </c>
      <c r="L4" s="712" t="s">
        <v>1265</v>
      </c>
      <c r="M4" s="713"/>
    </row>
    <row r="5" spans="1:33" ht="18" customHeight="1">
      <c r="A5" s="714">
        <v>1</v>
      </c>
      <c r="B5" s="715" t="s">
        <v>1799</v>
      </c>
      <c r="C5" s="51" t="e">
        <f ca="1">C6+C10+C12</f>
        <v>#N/A</v>
      </c>
      <c r="D5" s="2000" t="s">
        <v>1802</v>
      </c>
      <c r="E5" s="1994"/>
      <c r="F5" s="1995"/>
      <c r="G5" s="1667"/>
      <c r="H5" s="714">
        <v>1</v>
      </c>
      <c r="I5" s="715" t="s">
        <v>1799</v>
      </c>
      <c r="J5" s="51" t="e">
        <f ca="1">J6+J10+J12</f>
        <v>#N/A</v>
      </c>
      <c r="K5" s="2000" t="s">
        <v>1802</v>
      </c>
      <c r="L5" s="1994"/>
      <c r="M5" s="1995"/>
    </row>
    <row r="6" spans="1:33" ht="18" customHeight="1">
      <c r="A6" s="1520" t="s">
        <v>1353</v>
      </c>
      <c r="B6" s="3808" t="s">
        <v>1804</v>
      </c>
      <c r="C6" s="716" t="e">
        <f ca="1">ROUND(F6*F8*F7*(1-F9)/10000,0)</f>
        <v>#N/A</v>
      </c>
      <c r="D6" s="2001" t="s">
        <v>1803</v>
      </c>
      <c r="E6" s="717" t="s">
        <v>1267</v>
      </c>
      <c r="F6" s="718" t="e">
        <f ca="1">INDIRECT("'数据-取费表'!u"&amp;$G$1)</f>
        <v>#N/A</v>
      </c>
      <c r="G6" s="1667"/>
      <c r="H6" s="2008" t="s">
        <v>1809</v>
      </c>
      <c r="I6" s="3808" t="s">
        <v>1804</v>
      </c>
      <c r="J6" s="716" t="e">
        <f ca="1">ROUND(M6*M8*M7*(1-M9)/10000,0)</f>
        <v>#N/A</v>
      </c>
      <c r="K6" s="315" t="s">
        <v>1266</v>
      </c>
      <c r="L6" s="717" t="s">
        <v>1267</v>
      </c>
      <c r="M6" s="718" t="e">
        <f ca="1">INDIRECT("'数据-取费表'!z"&amp;$G$1)</f>
        <v>#N/A</v>
      </c>
    </row>
    <row r="7" spans="1:33" ht="18" customHeight="1">
      <c r="A7" s="2004"/>
      <c r="B7" s="3809"/>
      <c r="C7" s="721"/>
      <c r="D7" s="722"/>
      <c r="E7" s="717" t="s">
        <v>1268</v>
      </c>
      <c r="F7" s="718" t="e">
        <f ca="1">IF(INDIRECT("'数据-取费表'!ah"&amp;$G$1)="",INDIRECT("'数据-取费表'!k"&amp;$G$1),INDIRECT("'数据-取费表'!ah"&amp;$G$1))</f>
        <v>#N/A</v>
      </c>
      <c r="G7" s="1667"/>
      <c r="H7" s="1993"/>
      <c r="I7" s="3809"/>
      <c r="J7" s="721"/>
      <c r="K7" s="722"/>
      <c r="L7" s="717" t="s">
        <v>1268</v>
      </c>
      <c r="M7" s="718" t="e">
        <f ca="1">F7</f>
        <v>#N/A</v>
      </c>
    </row>
    <row r="8" spans="1:33" ht="18" customHeight="1">
      <c r="A8" s="1997"/>
      <c r="B8" s="3810"/>
      <c r="C8" s="721"/>
      <c r="D8" s="722"/>
      <c r="E8" s="717" t="s">
        <v>1269</v>
      </c>
      <c r="F8" s="718" t="e">
        <f ca="1">INDIRECT("'数据-取费表'!ai"&amp;$G$1)</f>
        <v>#N/A</v>
      </c>
      <c r="G8" s="1667"/>
      <c r="H8" s="1993"/>
      <c r="I8" s="3810"/>
      <c r="J8" s="721"/>
      <c r="K8" s="722"/>
      <c r="L8" s="717" t="s">
        <v>1269</v>
      </c>
      <c r="M8" s="718" t="e">
        <f ca="1">INDIRECT("'数据-取费表'!ai"&amp;$G$1)</f>
        <v>#N/A</v>
      </c>
    </row>
    <row r="9" spans="1:33" ht="18" customHeight="1">
      <c r="A9" s="719"/>
      <c r="B9" s="3811"/>
      <c r="C9" s="721"/>
      <c r="D9" s="722"/>
      <c r="E9" s="717" t="s">
        <v>1270</v>
      </c>
      <c r="F9" s="727" t="e">
        <f ca="1">INDIRECT("'数据-取费表'!w"&amp;$G$1)</f>
        <v>#N/A</v>
      </c>
      <c r="G9" s="1667"/>
      <c r="H9" s="2009"/>
      <c r="I9" s="3810"/>
      <c r="J9" s="721"/>
      <c r="K9" s="722"/>
      <c r="L9" s="728" t="s">
        <v>1270</v>
      </c>
      <c r="M9" s="729" t="e">
        <f ca="1">INDIRECT("'数据-取费表'!ab"&amp;$G$1)</f>
        <v>#N/A</v>
      </c>
    </row>
    <row r="10" spans="1:33" ht="18" customHeight="1">
      <c r="A10" s="1520" t="s">
        <v>1807</v>
      </c>
      <c r="B10" s="1998" t="s">
        <v>1800</v>
      </c>
      <c r="C10" s="732">
        <f ca="1">ROUND(IF(F10="押一",C6/12*F11,IF(F10="押二",C6/12*2*F11,IF(F10="押三",C6/12*3*F11,C11*F11))),0)</f>
        <v>0</v>
      </c>
      <c r="D10" s="2005" t="s">
        <v>2226</v>
      </c>
      <c r="E10" s="2002" t="s">
        <v>1805</v>
      </c>
      <c r="F10" s="2075"/>
      <c r="G10" s="1667"/>
      <c r="H10" s="2036" t="s">
        <v>1810</v>
      </c>
      <c r="I10" s="2040" t="s">
        <v>1800</v>
      </c>
      <c r="J10" s="716">
        <f ca="1">ROUND(IF(M10="押一",J6/12*M11,IF(M10="押二",J6/12*2*M11,IF(M10="押三",J6/12*3*M11,J11*M11))),0)</f>
        <v>0</v>
      </c>
      <c r="K10" s="2005" t="s">
        <v>2226</v>
      </c>
      <c r="L10" s="2002" t="s">
        <v>1805</v>
      </c>
      <c r="M10" s="2075"/>
    </row>
    <row r="11" spans="1:33" ht="18" customHeight="1">
      <c r="A11" s="723"/>
      <c r="B11" s="1999" t="s">
        <v>1853</v>
      </c>
      <c r="C11" s="2003"/>
      <c r="D11" s="722"/>
      <c r="E11" s="2002" t="s">
        <v>1806</v>
      </c>
      <c r="F11" s="729">
        <f ca="1">'数据-取费表'!B39</f>
        <v>1.4999999999999999E-2</v>
      </c>
      <c r="G11" s="1667"/>
      <c r="H11" s="2037"/>
      <c r="I11" s="1999" t="s">
        <v>1853</v>
      </c>
      <c r="J11" s="2003"/>
      <c r="K11" s="287"/>
      <c r="L11" s="2002" t="s">
        <v>1806</v>
      </c>
      <c r="M11" s="1996">
        <f ca="1">'数据-取费表'!B39</f>
        <v>1.4999999999999999E-2</v>
      </c>
    </row>
    <row r="12" spans="1:33" ht="18" customHeight="1" thickBot="1">
      <c r="A12" s="2012" t="s">
        <v>1808</v>
      </c>
      <c r="B12" s="2013" t="s">
        <v>1801</v>
      </c>
      <c r="C12" s="2014"/>
      <c r="D12" s="2015"/>
      <c r="E12" s="2016"/>
      <c r="F12" s="2017"/>
      <c r="G12" s="1667"/>
      <c r="H12" s="2026" t="s">
        <v>1811</v>
      </c>
      <c r="I12" s="2038" t="s">
        <v>1801</v>
      </c>
      <c r="J12" s="2039"/>
      <c r="K12" s="2015"/>
      <c r="L12" s="2016"/>
      <c r="M12" s="2029"/>
    </row>
    <row r="13" spans="1:33" ht="18" customHeight="1" thickTop="1">
      <c r="A13" s="1519">
        <v>2</v>
      </c>
      <c r="B13" s="1517" t="s">
        <v>1271</v>
      </c>
      <c r="C13" s="725" t="e">
        <f ca="1">ROUND(C29*F13,0)</f>
        <v>#N/A</v>
      </c>
      <c r="D13" s="1524" t="s">
        <v>1652</v>
      </c>
      <c r="E13" s="1524" t="s">
        <v>1273</v>
      </c>
      <c r="F13" s="2011" t="e">
        <f ca="1">INDIRECT("'数据-取费表'!y"&amp;$G$1)</f>
        <v>#N/A</v>
      </c>
      <c r="G13" s="1667"/>
      <c r="H13" s="1519">
        <v>2</v>
      </c>
      <c r="I13" s="1517" t="s">
        <v>1271</v>
      </c>
      <c r="J13" s="1511" t="e">
        <f ca="1">ROUND(J14*J15,0)</f>
        <v>#N/A</v>
      </c>
      <c r="K13" s="1513" t="s">
        <v>1272</v>
      </c>
      <c r="L13" s="2027"/>
      <c r="M13" s="2028"/>
    </row>
    <row r="14" spans="1:33" ht="18" customHeight="1">
      <c r="A14" s="1367" t="s">
        <v>1409</v>
      </c>
      <c r="B14" s="717" t="s">
        <v>593</v>
      </c>
      <c r="C14" s="737" t="e">
        <f ca="1">INDIRECT("'数据-取费表'!m"&amp;$G$1)+INDIRECT("'数据-取费表'!t"&amp;$G$1)</f>
        <v>#N/A</v>
      </c>
      <c r="D14" s="904" t="s">
        <v>1274</v>
      </c>
      <c r="E14" s="903"/>
      <c r="F14" s="738"/>
      <c r="G14" s="1667"/>
      <c r="H14" s="1368" t="s">
        <v>1359</v>
      </c>
      <c r="I14" s="1824" t="s">
        <v>2100</v>
      </c>
      <c r="J14" s="49" t="e">
        <f ca="1">C29</f>
        <v>#N/A</v>
      </c>
      <c r="K14" s="22"/>
      <c r="L14" s="734"/>
      <c r="M14" s="735"/>
    </row>
    <row r="15" spans="1:33" s="1675" customFormat="1" ht="18" customHeight="1" thickBot="1">
      <c r="A15" s="1367" t="s">
        <v>1410</v>
      </c>
      <c r="B15" s="717" t="s">
        <v>595</v>
      </c>
      <c r="C15" s="49" t="e">
        <f ca="1">ROUND(C14*F15,0)</f>
        <v>#N/A</v>
      </c>
      <c r="D15" s="739" t="s">
        <v>1275</v>
      </c>
      <c r="E15" s="739" t="s">
        <v>1276</v>
      </c>
      <c r="F15" s="740">
        <f>'数据-取费表'!B33</f>
        <v>0</v>
      </c>
      <c r="G15" s="2761"/>
      <c r="H15" s="2026" t="s">
        <v>1414</v>
      </c>
      <c r="I15" s="2021" t="s">
        <v>1273</v>
      </c>
      <c r="J15" s="2030" t="e">
        <f ca="1">INDIRECT("'数据-取费表'!ad"&amp;$G$1)</f>
        <v>#N/A</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1411</v>
      </c>
      <c r="B16" s="717" t="s">
        <v>598</v>
      </c>
      <c r="C16" s="49" t="e">
        <f ca="1">ROUND(INDIRECT("'数据-取费表'!m"&amp;$G$1)*F16,0)</f>
        <v>#N/A</v>
      </c>
      <c r="D16" s="717" t="s">
        <v>1275</v>
      </c>
      <c r="E16" s="717" t="s">
        <v>1276</v>
      </c>
      <c r="F16" s="742" t="e">
        <f ca="1">IF(INDIRECT("'数据-取费表'!c"&amp;$G$1)="住宅",'数据-取费表'!B34,0)</f>
        <v>#N/A</v>
      </c>
      <c r="G16" s="1667"/>
      <c r="H16" s="1519" t="s">
        <v>1277</v>
      </c>
      <c r="I16" s="1517" t="s">
        <v>1278</v>
      </c>
      <c r="J16" s="725" t="e">
        <f ca="1">ROUND(J17+J22+J23+J24,0)</f>
        <v>#N/A</v>
      </c>
      <c r="K16" s="1513" t="s">
        <v>1279</v>
      </c>
      <c r="L16" s="907"/>
      <c r="M16" s="1995"/>
    </row>
    <row r="17" spans="1:33" s="1675" customFormat="1" ht="18" customHeight="1">
      <c r="A17" s="1367" t="s">
        <v>1412</v>
      </c>
      <c r="B17" s="717" t="s">
        <v>601</v>
      </c>
      <c r="C17" s="49" t="e">
        <f ca="1">ROUND(F17*(F43+INDIRECT("'数据-取费表'!S"&amp;$G$1))/10000,0)</f>
        <v>#N/A</v>
      </c>
      <c r="D17" s="717" t="s">
        <v>1280</v>
      </c>
      <c r="E17" s="717" t="s">
        <v>1281</v>
      </c>
      <c r="F17" s="52">
        <f>'数据-取费表'!B35</f>
        <v>0</v>
      </c>
      <c r="G17" s="2761"/>
      <c r="H17" s="1368" t="s">
        <v>1359</v>
      </c>
      <c r="I17" s="717" t="s">
        <v>604</v>
      </c>
      <c r="J17" s="2554" t="e">
        <f ca="1">ROUND(IF(AND(项目基本情况!B11="自然人",项目基本情况!B10="北京市"),J6*M17/(1+'数据-取费表'!C42),J18+J19+J20),2)</f>
        <v>#N/A</v>
      </c>
      <c r="K17" s="904" t="s">
        <v>1282</v>
      </c>
      <c r="L17" s="905" t="s">
        <v>1283</v>
      </c>
      <c r="M17" s="2553"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1413</v>
      </c>
      <c r="B18" s="717" t="s">
        <v>607</v>
      </c>
      <c r="C18" s="49" t="e">
        <f ca="1">ROUND(C14*F18,0)</f>
        <v>#N/A</v>
      </c>
      <c r="D18" s="717" t="s">
        <v>1275</v>
      </c>
      <c r="E18" s="717" t="s">
        <v>1276</v>
      </c>
      <c r="F18" s="742">
        <f>'数据-取费表'!B36</f>
        <v>0</v>
      </c>
      <c r="G18" s="2761"/>
      <c r="H18" s="1367" t="s">
        <v>1409</v>
      </c>
      <c r="I18" s="717" t="s">
        <v>1284</v>
      </c>
      <c r="J18" s="49" t="e">
        <f ca="1">ROUND(J6*M18/(1+'数据-取费表'!C42),2)</f>
        <v>#N/A</v>
      </c>
      <c r="K18" s="905" t="s">
        <v>1285</v>
      </c>
      <c r="L18" s="717" t="s">
        <v>1276</v>
      </c>
      <c r="M18" s="742">
        <f>'数据-取费表'!B41</f>
        <v>0</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8" t="s">
        <v>1359</v>
      </c>
      <c r="B19" s="717" t="s">
        <v>610</v>
      </c>
      <c r="C19" s="49" t="e">
        <f ca="1">SUM(C14:C18)</f>
        <v>#N/A</v>
      </c>
      <c r="D19" s="241" t="s">
        <v>1286</v>
      </c>
      <c r="E19" s="913"/>
      <c r="F19" s="52"/>
      <c r="G19" s="1667"/>
      <c r="H19" s="1367" t="s">
        <v>1410</v>
      </c>
      <c r="I19" s="717" t="s">
        <v>1287</v>
      </c>
      <c r="J19" s="49" t="e">
        <f ca="1">IF(K19="按租金收入计税",ROUND(J6*M19/(1+'数据-取费表'!C42),1),ROUND(C29*F33*0.7,2))</f>
        <v>#N/A</v>
      </c>
      <c r="K19" s="743" t="s">
        <v>3241</v>
      </c>
      <c r="L19" s="717" t="s">
        <v>1276</v>
      </c>
      <c r="M19" s="742">
        <f>IF(K19="按租金收入计税",'数据-取费表'!B51,'数据-取费表'!B50)</f>
        <v>0.12</v>
      </c>
    </row>
    <row r="20" spans="1:33" s="1675" customFormat="1" ht="18" customHeight="1">
      <c r="A20" s="1368" t="s">
        <v>1414</v>
      </c>
      <c r="B20" s="717" t="s">
        <v>613</v>
      </c>
      <c r="C20" s="49" t="e">
        <f ca="1">ROUND(C19*F20,0)</f>
        <v>#N/A</v>
      </c>
      <c r="D20" s="744" t="s">
        <v>1288</v>
      </c>
      <c r="E20" s="717" t="s">
        <v>1276</v>
      </c>
      <c r="F20" s="742">
        <f>'数据-取费表'!B37</f>
        <v>0</v>
      </c>
      <c r="G20" s="2761"/>
      <c r="H20" s="1370" t="s">
        <v>1405</v>
      </c>
      <c r="I20" s="315" t="s">
        <v>1289</v>
      </c>
      <c r="J20" s="50" t="e">
        <f ca="1">ROUND(M20*M21/10000,2)</f>
        <v>#N/A</v>
      </c>
      <c r="K20" s="746" t="s">
        <v>1290</v>
      </c>
      <c r="L20" s="717" t="s">
        <v>1291</v>
      </c>
      <c r="M20" s="587">
        <f>'数据-取费表'!B52</f>
        <v>0</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1415</v>
      </c>
      <c r="B21" s="717" t="s">
        <v>1292</v>
      </c>
      <c r="C21" s="49" t="s">
        <v>1293</v>
      </c>
      <c r="D21" s="744" t="s">
        <v>1653</v>
      </c>
      <c r="E21" s="717" t="s">
        <v>1294</v>
      </c>
      <c r="F21" s="742">
        <f>'数据-取费表'!B38</f>
        <v>0</v>
      </c>
      <c r="G21" s="2761"/>
      <c r="H21" s="2010"/>
      <c r="I21" s="726"/>
      <c r="J21" s="65"/>
      <c r="K21" s="748"/>
      <c r="L21" s="717" t="s">
        <v>1295</v>
      </c>
      <c r="M21" s="718" t="e">
        <f ca="1">INDIRECT("'数据-取费表'!r"&amp;$G$1)</f>
        <v>#N/A</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8" t="s">
        <v>1416</v>
      </c>
      <c r="B22" s="717" t="s">
        <v>1296</v>
      </c>
      <c r="C22" s="49"/>
      <c r="D22" s="2044" t="str">
        <f>IF(F23&lt;=1,"单利计息。","复利计息。")&amp;"建造成本、管理费用、销售费用产生的利息。"</f>
        <v>单利计息。建造成本、管理费用、销售费用产生的利息。</v>
      </c>
      <c r="E22" s="913"/>
      <c r="F22" s="52"/>
      <c r="G22" s="1667"/>
      <c r="H22" s="1368" t="s">
        <v>1414</v>
      </c>
      <c r="I22" s="717" t="s">
        <v>1297</v>
      </c>
      <c r="J22" s="49" t="e">
        <f ca="1">ROUND(J14*M22,2)</f>
        <v>#N/A</v>
      </c>
      <c r="K22" s="905" t="s">
        <v>1298</v>
      </c>
      <c r="L22" s="717" t="s">
        <v>1276</v>
      </c>
      <c r="M22" s="749" t="e">
        <f ca="1">INDIRECT("'数据-取费表'!Ak"&amp;$G$1)</f>
        <v>#N/A</v>
      </c>
    </row>
    <row r="23" spans="1:33" s="1675" customFormat="1" ht="18" customHeight="1">
      <c r="A23" s="1367" t="s">
        <v>1360</v>
      </c>
      <c r="B23" s="717" t="s">
        <v>1815</v>
      </c>
      <c r="C23" s="49" t="e">
        <f ca="1">ROUND(IF('数据-取费表'!B22&lt;=1,(C19+C20)*F24*F23/2,(C19+C20)*(POWER((1+F24),F23/2)-1)),0)</f>
        <v>#N/A</v>
      </c>
      <c r="D23" s="2043" t="str">
        <f>IF(F23&lt;=1,"(建造成本+管理费用)×利率×(建设周期÷2)","(建造成本+管理费用)×((1+利率)^(建设周期÷2)-1)")</f>
        <v>(建造成本+管理费用)×利率×(建设周期÷2)</v>
      </c>
      <c r="E23" s="717" t="s">
        <v>1299</v>
      </c>
      <c r="F23" s="587">
        <f>'数据-取费表'!B20</f>
        <v>0</v>
      </c>
      <c r="G23" s="2761"/>
      <c r="H23" s="1368" t="s">
        <v>1415</v>
      </c>
      <c r="I23" s="717" t="s">
        <v>626</v>
      </c>
      <c r="J23" s="49" t="e">
        <f ca="1">ROUND(J13*M23,2)</f>
        <v>#N/A</v>
      </c>
      <c r="K23" s="905" t="s">
        <v>1300</v>
      </c>
      <c r="L23" s="717" t="s">
        <v>1276</v>
      </c>
      <c r="M23" s="750" t="e">
        <f ca="1">INDIRECT("'数据-取费表'!Al"&amp;$G$1)</f>
        <v>#N/A</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1361</v>
      </c>
      <c r="B24" s="717" t="s">
        <v>1301</v>
      </c>
      <c r="C24" s="49">
        <f ca="1">ROUND(IF('数据-取费表'!B22&lt;=1,F21*F24*F23/2,F21*(POWER((1+F24),F23/2)-1)),4)</f>
        <v>0</v>
      </c>
      <c r="D24" s="2043" t="str">
        <f>IF(F23&lt;=1,"销售费用×利率×(建设周期÷2)","销售费用×((1+利率)^(建设周期÷2)-1)")</f>
        <v>销售费用×利率×(建设周期÷2)</v>
      </c>
      <c r="E24" s="717" t="s">
        <v>1302</v>
      </c>
      <c r="F24" s="751">
        <f ca="1">'数据-取费表'!B40</f>
        <v>4.7500000000000001E-2</v>
      </c>
      <c r="G24" s="2761"/>
      <c r="H24" s="2026" t="s">
        <v>1416</v>
      </c>
      <c r="I24" s="2021" t="s">
        <v>613</v>
      </c>
      <c r="J24" s="2019" t="e">
        <f ca="1">ROUND(J5*M24,2)</f>
        <v>#N/A</v>
      </c>
      <c r="K24" s="2020" t="s">
        <v>1303</v>
      </c>
      <c r="L24" s="2021" t="s">
        <v>1276</v>
      </c>
      <c r="M24" s="2017" t="e">
        <f ca="1">INDIRECT("'数据-取费表'!Am"&amp;$G$1)</f>
        <v>#N/A</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1369</v>
      </c>
      <c r="B25" s="717" t="s">
        <v>631</v>
      </c>
      <c r="C25" s="49"/>
      <c r="D25" s="241" t="s">
        <v>1304</v>
      </c>
      <c r="E25" s="913"/>
      <c r="F25" s="52"/>
      <c r="G25" s="1667"/>
      <c r="H25" s="1519" t="s">
        <v>1305</v>
      </c>
      <c r="I25" s="2296" t="s">
        <v>2096</v>
      </c>
      <c r="J25" s="725" t="e">
        <f ca="1">J5-J16</f>
        <v>#N/A</v>
      </c>
      <c r="K25" s="2023" t="s">
        <v>1306</v>
      </c>
      <c r="L25" s="2024"/>
      <c r="M25" s="2025"/>
    </row>
    <row r="26" spans="1:33" ht="18" customHeight="1">
      <c r="A26" s="1367" t="s">
        <v>1360</v>
      </c>
      <c r="B26" s="717" t="s">
        <v>1782</v>
      </c>
      <c r="C26" s="49" t="e">
        <f ca="1">ROUND((C19+C20)*F26,0)</f>
        <v>#N/A</v>
      </c>
      <c r="D26" s="744" t="s">
        <v>1307</v>
      </c>
      <c r="E26" s="728" t="s">
        <v>1308</v>
      </c>
      <c r="F26" s="727" t="e">
        <f ca="1">INDIRECT("'数据-取费表'!q"&amp;$G$1)</f>
        <v>#N/A</v>
      </c>
      <c r="G26" s="1667"/>
      <c r="H26" s="2006" t="s">
        <v>1309</v>
      </c>
      <c r="I26" s="1825" t="s">
        <v>2101</v>
      </c>
      <c r="J26" s="716" t="e">
        <f ca="1">IF(J5&lt;&gt;0,ROUND(J25*(1-((1+M28)/(1+M26))^M27)/(M26-M28),0),0)</f>
        <v>#N/A</v>
      </c>
      <c r="K26" s="746" t="s">
        <v>1310</v>
      </c>
      <c r="L26" s="717" t="s">
        <v>1770</v>
      </c>
      <c r="M26" s="727" t="e">
        <f ca="1">INDIRECT("'数据-取费表'!I"&amp;$G$1)</f>
        <v>#N/A</v>
      </c>
    </row>
    <row r="27" spans="1:33" ht="18" customHeight="1">
      <c r="A27" s="1367" t="s">
        <v>1361</v>
      </c>
      <c r="B27" s="717" t="s">
        <v>633</v>
      </c>
      <c r="C27" s="49" t="e">
        <f ca="1">ROUND(F21*F26,4)</f>
        <v>#N/A</v>
      </c>
      <c r="D27" s="744" t="s">
        <v>1311</v>
      </c>
      <c r="E27" s="739"/>
      <c r="F27" s="740"/>
      <c r="G27" s="1667"/>
      <c r="H27" s="2007"/>
      <c r="I27" s="720"/>
      <c r="J27" s="721"/>
      <c r="K27" s="753" t="s">
        <v>1312</v>
      </c>
      <c r="L27" s="717" t="s">
        <v>1313</v>
      </c>
      <c r="M27" s="754" t="e">
        <f ca="1">INDIRECT("'数据-取费表'!ag"&amp;$G$1)</f>
        <v>#N/A</v>
      </c>
    </row>
    <row r="28" spans="1:33" s="1675" customFormat="1" ht="18" customHeight="1">
      <c r="A28" s="1369" t="s">
        <v>1370</v>
      </c>
      <c r="B28" s="717" t="s">
        <v>634</v>
      </c>
      <c r="C28" s="49">
        <f>ROUND(F28/(1+'数据-取费表'!C42),4)</f>
        <v>0</v>
      </c>
      <c r="D28" s="744" t="s">
        <v>1654</v>
      </c>
      <c r="E28" s="717" t="s">
        <v>1314</v>
      </c>
      <c r="F28" s="742">
        <f>'数据-取费表'!B41</f>
        <v>0</v>
      </c>
      <c r="G28" s="2761"/>
      <c r="H28" s="1519"/>
      <c r="I28" s="724"/>
      <c r="J28" s="725"/>
      <c r="K28" s="748"/>
      <c r="L28" s="717" t="s">
        <v>1315</v>
      </c>
      <c r="M28" s="727" t="e">
        <f ca="1">INDIRECT("'数据-取费表'!aa"&amp;$G$1)</f>
        <v>#N/A</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1417</v>
      </c>
      <c r="B29" s="2016" t="s">
        <v>1655</v>
      </c>
      <c r="C29" s="2019" t="e">
        <f ca="1">ROUND((C19+C20+C23+C26)/(1-F21-C24-C27-C28),0)</f>
        <v>#N/A</v>
      </c>
      <c r="D29" s="2020"/>
      <c r="E29" s="2021"/>
      <c r="F29" s="2022"/>
      <c r="G29" s="2761"/>
      <c r="H29" s="755" t="s">
        <v>1316</v>
      </c>
      <c r="I29" s="756" t="s">
        <v>1317</v>
      </c>
      <c r="J29" s="757" t="e">
        <f ca="1">ROUND(J26/(1+F40)^F41,0)</f>
        <v>#N/A</v>
      </c>
      <c r="K29" s="758" t="s">
        <v>1318</v>
      </c>
      <c r="L29" s="759"/>
      <c r="M29" s="760" t="e">
        <f ca="1">INDIRECT("'数据-取费表'!k"&amp;$G$1)</f>
        <v>#N/A</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1418</v>
      </c>
      <c r="B30" s="1517" t="s">
        <v>1319</v>
      </c>
      <c r="C30" s="725" t="e">
        <f ca="1">ROUND(C31+C36+C37+C38,0)</f>
        <v>#N/A</v>
      </c>
      <c r="D30" s="1513" t="s">
        <v>1320</v>
      </c>
      <c r="E30" s="907"/>
      <c r="F30" s="1995"/>
      <c r="G30" s="1667"/>
      <c r="H30" s="1676"/>
      <c r="I30" s="1677"/>
      <c r="J30" s="1678"/>
      <c r="K30" s="1635"/>
      <c r="L30" s="1679"/>
      <c r="M30" s="1680"/>
    </row>
    <row r="31" spans="1:33" ht="18" customHeight="1">
      <c r="A31" s="1368" t="s">
        <v>1359</v>
      </c>
      <c r="B31" s="717" t="s">
        <v>604</v>
      </c>
      <c r="C31" s="2554" t="e">
        <f ca="1">ROUND(IF(AND(项目基本情况!B11="自然人",项目基本情况!B10="北京市"),C6*F31/(1+'数据-取费表'!C42),C32+C33+C34),2)</f>
        <v>#N/A</v>
      </c>
      <c r="D31" s="904" t="s">
        <v>1321</v>
      </c>
      <c r="E31" s="905" t="s">
        <v>1322</v>
      </c>
      <c r="F31" s="2553" t="str">
        <f>IF(项目基本情况!B11="企业","——",IF(M47="住宅",IF(F6*F7*F8/12/(1+'数据-取费表'!F30)&gt;100000,4%,2.5%),IF(F6*F7*F8/12/(1+'数据-取费表'!F30)&gt;100000,12%,7%)))</f>
        <v>——</v>
      </c>
      <c r="G31" s="1667"/>
      <c r="H31" s="2758" t="s">
        <v>2278</v>
      </c>
      <c r="I31" s="1677"/>
      <c r="J31" s="1678"/>
      <c r="K31" s="1635"/>
      <c r="L31" s="1679"/>
      <c r="M31" s="1680"/>
    </row>
    <row r="32" spans="1:33" ht="18" customHeight="1">
      <c r="A32" s="1367" t="s">
        <v>1360</v>
      </c>
      <c r="B32" s="717" t="s">
        <v>1323</v>
      </c>
      <c r="C32" s="49" t="e">
        <f ca="1">ROUND(C6*F32/(1+'数据-取费表'!C42),2)</f>
        <v>#N/A</v>
      </c>
      <c r="D32" s="905" t="s">
        <v>1324</v>
      </c>
      <c r="E32" s="717" t="s">
        <v>1325</v>
      </c>
      <c r="F32" s="742">
        <f>'数据-取费表'!B41</f>
        <v>0</v>
      </c>
      <c r="G32" s="1667"/>
      <c r="H32" s="1681"/>
      <c r="I32" s="1682"/>
      <c r="J32" s="1683"/>
      <c r="K32" s="1684"/>
      <c r="L32" s="1685"/>
      <c r="M32" s="1686"/>
    </row>
    <row r="33" spans="1:18" ht="18" customHeight="1">
      <c r="A33" s="1367" t="s">
        <v>1361</v>
      </c>
      <c r="B33" s="717" t="s">
        <v>1326</v>
      </c>
      <c r="C33" s="49" t="e">
        <f ca="1">IF(D33="按租金收入计税",ROUND(C6*F33/(1+'数据-取费表'!C42),2),IF(D33="按房产原值计税",ROUND(C29*F33*0.7,2),INDIRECT("'数据-取费表'!Aj"&amp;$G$1)))</f>
        <v>#N/A</v>
      </c>
      <c r="D33" s="743" t="s">
        <v>3241</v>
      </c>
      <c r="E33" s="717" t="s">
        <v>1325</v>
      </c>
      <c r="F33" s="742">
        <f>IF(D33="按租金收入计税",'数据-取费表'!B51,'数据-取费表'!B50)</f>
        <v>0.12</v>
      </c>
      <c r="G33" s="1667"/>
      <c r="H33" s="1687"/>
      <c r="I33" s="1687"/>
      <c r="J33" s="1687"/>
      <c r="K33" s="1688"/>
      <c r="L33" s="1687"/>
      <c r="M33" s="1687"/>
    </row>
    <row r="34" spans="1:18" ht="18" customHeight="1">
      <c r="A34" s="1370" t="s">
        <v>1362</v>
      </c>
      <c r="B34" s="315" t="s">
        <v>1327</v>
      </c>
      <c r="C34" s="50" t="e">
        <f ca="1">ROUND(F34*F35/10000,2)</f>
        <v>#N/A</v>
      </c>
      <c r="D34" s="746" t="s">
        <v>1328</v>
      </c>
      <c r="E34" s="717" t="s">
        <v>1329</v>
      </c>
      <c r="F34" s="587">
        <f>'数据-取费表'!B52</f>
        <v>0</v>
      </c>
      <c r="G34" s="1667"/>
      <c r="H34" s="1676"/>
      <c r="I34" s="767" t="s">
        <v>1342</v>
      </c>
      <c r="J34" s="768"/>
      <c r="K34" s="1690"/>
      <c r="L34" s="1689"/>
      <c r="M34" s="1689"/>
    </row>
    <row r="35" spans="1:18" ht="18" customHeight="1">
      <c r="A35" s="747"/>
      <c r="B35" s="726"/>
      <c r="C35" s="65"/>
      <c r="D35" s="748"/>
      <c r="E35" s="717" t="s">
        <v>1330</v>
      </c>
      <c r="F35" s="718" t="e">
        <f ca="1">INDIRECT("'数据-取费表'!r"&amp;$G$1)</f>
        <v>#N/A</v>
      </c>
      <c r="G35" s="1667"/>
      <c r="H35" s="1676"/>
      <c r="I35" s="769" t="s">
        <v>1343</v>
      </c>
      <c r="J35" s="770" t="e">
        <f ca="1">ROUND(C13*J36,0)</f>
        <v>#N/A</v>
      </c>
      <c r="K35" s="1688"/>
      <c r="L35" s="1687"/>
      <c r="M35" s="1687"/>
    </row>
    <row r="36" spans="1:18" ht="18" customHeight="1">
      <c r="A36" s="1368" t="s">
        <v>1414</v>
      </c>
      <c r="B36" s="717" t="s">
        <v>1331</v>
      </c>
      <c r="C36" s="49" t="e">
        <f ca="1">ROUND(C29*F36,2)</f>
        <v>#N/A</v>
      </c>
      <c r="D36" s="905" t="s">
        <v>1332</v>
      </c>
      <c r="E36" s="717" t="s">
        <v>1325</v>
      </c>
      <c r="F36" s="749" t="e">
        <f ca="1">INDIRECT("'数据-取费表'!Ak"&amp;$G$1)</f>
        <v>#N/A</v>
      </c>
      <c r="G36" s="1667"/>
      <c r="H36" s="1687"/>
      <c r="I36" s="771" t="s">
        <v>1344</v>
      </c>
      <c r="J36" s="772" t="e">
        <f ca="1">INDIRECT("'数据-取费表'!j"&amp;$G$1)</f>
        <v>#N/A</v>
      </c>
      <c r="K36" s="1691"/>
      <c r="L36" s="1687"/>
      <c r="M36" s="1687"/>
    </row>
    <row r="37" spans="1:18" ht="18" customHeight="1">
      <c r="A37" s="1368" t="s">
        <v>1415</v>
      </c>
      <c r="B37" s="717" t="s">
        <v>626</v>
      </c>
      <c r="C37" s="49" t="e">
        <f ca="1">ROUND(C13*F37,2)</f>
        <v>#N/A</v>
      </c>
      <c r="D37" s="905" t="s">
        <v>1333</v>
      </c>
      <c r="E37" s="717" t="s">
        <v>1325</v>
      </c>
      <c r="F37" s="750" t="e">
        <f ca="1">INDIRECT("'数据-取费表'!Al"&amp;$G$1)</f>
        <v>#N/A</v>
      </c>
      <c r="G37" s="1667"/>
      <c r="H37" s="1687"/>
      <c r="I37" s="773" t="s">
        <v>1345</v>
      </c>
      <c r="J37" s="774"/>
      <c r="K37" s="1691"/>
      <c r="L37" s="1687"/>
      <c r="M37" s="1687"/>
    </row>
    <row r="38" spans="1:18" ht="18" customHeight="1" thickBot="1">
      <c r="A38" s="2026" t="s">
        <v>1416</v>
      </c>
      <c r="B38" s="2021" t="s">
        <v>613</v>
      </c>
      <c r="C38" s="2019" t="e">
        <f ca="1">ROUND(C5*F38,2)</f>
        <v>#N/A</v>
      </c>
      <c r="D38" s="2020" t="s">
        <v>1334</v>
      </c>
      <c r="E38" s="2021" t="s">
        <v>1325</v>
      </c>
      <c r="F38" s="2017" t="e">
        <f ca="1">INDIRECT("'数据-取费表'!Am"&amp;$G$1)</f>
        <v>#N/A</v>
      </c>
      <c r="G38" s="1667"/>
      <c r="H38" s="1687"/>
      <c r="I38" s="775" t="s">
        <v>1346</v>
      </c>
      <c r="J38" s="776"/>
      <c r="K38" s="1692"/>
      <c r="L38" s="1687"/>
      <c r="M38" s="1687"/>
    </row>
    <row r="39" spans="1:18" ht="24.6" customHeight="1" thickTop="1">
      <c r="A39" s="1519" t="s">
        <v>1419</v>
      </c>
      <c r="B39" s="2296" t="s">
        <v>2096</v>
      </c>
      <c r="C39" s="725" t="e">
        <f ca="1">C5-C30</f>
        <v>#N/A</v>
      </c>
      <c r="D39" s="2023" t="s">
        <v>1335</v>
      </c>
      <c r="E39" s="2024"/>
      <c r="F39" s="2025"/>
      <c r="G39" s="1667"/>
      <c r="H39" s="1687"/>
      <c r="I39" s="769" t="s">
        <v>1347</v>
      </c>
      <c r="J39" s="777" t="e">
        <f ca="1">ROUND(J35/C39,3)</f>
        <v>#N/A</v>
      </c>
      <c r="K39" s="1692"/>
      <c r="L39" s="1687"/>
      <c r="M39" s="1687"/>
    </row>
    <row r="40" spans="1:18" ht="18" customHeight="1">
      <c r="A40" s="714" t="s">
        <v>1420</v>
      </c>
      <c r="B40" s="1825" t="s">
        <v>1656</v>
      </c>
      <c r="C40" s="716" t="e">
        <f ca="1">ROUND(C39*(1-((1+F42)/(1+F40))^F41)/(F40-F42),0)</f>
        <v>#N/A</v>
      </c>
      <c r="D40" s="746" t="s">
        <v>1336</v>
      </c>
      <c r="E40" s="717" t="s">
        <v>1770</v>
      </c>
      <c r="F40" s="727" t="e">
        <f ca="1">INDIRECT("'数据-取费表'!I"&amp;$G$1)</f>
        <v>#N/A</v>
      </c>
      <c r="G40" s="1667"/>
      <c r="H40" s="1667"/>
      <c r="I40" s="769" t="s">
        <v>1348</v>
      </c>
      <c r="J40" s="777" t="e">
        <f ca="1">1-J39</f>
        <v>#N/A</v>
      </c>
      <c r="K40" s="1692"/>
      <c r="L40" s="1667"/>
      <c r="M40" s="1667"/>
    </row>
    <row r="41" spans="1:18" ht="18" customHeight="1">
      <c r="A41" s="719"/>
      <c r="B41" s="720"/>
      <c r="C41" s="721"/>
      <c r="D41" s="753" t="s">
        <v>1337</v>
      </c>
      <c r="E41" s="717" t="s">
        <v>2218</v>
      </c>
      <c r="F41" s="754" t="e">
        <f ca="1">IF(INDIRECT("'数据-取费表'!af"&amp;$G$1)=0,INDIRECT("'数据-取费表'!ae"&amp;$G$1),INDIRECT("'数据-取费表'!af"&amp;$G$1))</f>
        <v>#N/A</v>
      </c>
      <c r="G41" s="1667"/>
      <c r="H41" s="1635"/>
      <c r="I41" s="775" t="s">
        <v>1349</v>
      </c>
      <c r="J41" s="778"/>
      <c r="K41" s="1691"/>
      <c r="L41" s="1635"/>
      <c r="M41" s="1635"/>
    </row>
    <row r="42" spans="1:18" ht="18" customHeight="1">
      <c r="A42" s="723"/>
      <c r="B42" s="724"/>
      <c r="C42" s="725"/>
      <c r="D42" s="748"/>
      <c r="E42" s="717" t="s">
        <v>1338</v>
      </c>
      <c r="F42" s="727" t="e">
        <f ca="1">INDIRECT("'数据-取费表'!v"&amp;$G$1)</f>
        <v>#N/A</v>
      </c>
      <c r="G42" s="1667"/>
      <c r="H42" s="1635"/>
      <c r="I42" s="779" t="s">
        <v>1350</v>
      </c>
      <c r="J42" s="777" t="e">
        <f ca="1">ROUND(C13/C40,3)</f>
        <v>#N/A</v>
      </c>
      <c r="K42" s="1691"/>
      <c r="L42" s="1635"/>
      <c r="M42" s="1635"/>
    </row>
    <row r="43" spans="1:18" ht="18" customHeight="1" thickBot="1">
      <c r="A43" s="755" t="s">
        <v>1316</v>
      </c>
      <c r="B43" s="756" t="s">
        <v>1339</v>
      </c>
      <c r="C43" s="757" t="e">
        <f ca="1">ROUND(C40*10000/F43,0)</f>
        <v>#N/A</v>
      </c>
      <c r="D43" s="758" t="s">
        <v>1340</v>
      </c>
      <c r="E43" s="759" t="s">
        <v>1341</v>
      </c>
      <c r="F43" s="760" t="e">
        <f ca="1">INDIRECT("'数据-取费表'!k"&amp;$G$1)</f>
        <v>#N/A</v>
      </c>
      <c r="G43" s="1667"/>
      <c r="H43" s="1635"/>
      <c r="I43" s="779" t="s">
        <v>1351</v>
      </c>
      <c r="J43" s="780" t="e">
        <f ca="1">1-J42</f>
        <v>#N/A</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1650</v>
      </c>
      <c r="B46" s="1694"/>
      <c r="C46" s="1145" t="e">
        <f ca="1">C67-C40</f>
        <v>#N/A</v>
      </c>
      <c r="D46" s="2762"/>
      <c r="E46" s="2762"/>
      <c r="F46" s="2762"/>
      <c r="I46" s="1938" t="s">
        <v>1694</v>
      </c>
      <c r="J46" s="1939"/>
      <c r="K46" s="1940"/>
      <c r="L46" s="2374">
        <f>IF(OR(M47="住宅",D1="土地（套用方法）"),0,IF(L48&gt;J51,L60,J60))</f>
        <v>0</v>
      </c>
      <c r="M46" s="2763"/>
      <c r="O46" s="1952" t="s">
        <v>1761</v>
      </c>
      <c r="P46" s="1143"/>
      <c r="Q46" s="1329"/>
      <c r="R46" s="1143"/>
    </row>
    <row r="47" spans="1:18" s="1671" customFormat="1" ht="18" customHeight="1" thickBot="1">
      <c r="A47" s="3381">
        <v>1</v>
      </c>
      <c r="B47" s="3382" t="s">
        <v>583</v>
      </c>
      <c r="C47" s="3383" t="e">
        <f ca="1">C48+C52+C54</f>
        <v>#N/A</v>
      </c>
      <c r="D47" s="3384"/>
      <c r="E47" s="3384"/>
      <c r="F47" s="3385"/>
      <c r="I47" s="2366" t="s">
        <v>1695</v>
      </c>
      <c r="J47" s="1941"/>
      <c r="K47" s="2371" t="s">
        <v>1700</v>
      </c>
      <c r="L47" s="2375" t="e">
        <f ca="1">INDIRECT("'数据-取费表'!d"&amp;$G$1)</f>
        <v>#N/A</v>
      </c>
      <c r="M47" s="1329" t="str">
        <f>IF(ISNUMBER(FIND("住宅",C1)),"住宅","非住宅")</f>
        <v>住宅</v>
      </c>
      <c r="O47" s="1953" t="s">
        <v>1726</v>
      </c>
      <c r="P47" s="1954" t="s">
        <v>1727</v>
      </c>
      <c r="Q47" s="1955" t="s">
        <v>1728</v>
      </c>
      <c r="R47" s="1954" t="s">
        <v>1729</v>
      </c>
    </row>
    <row r="48" spans="1:18" s="1671" customFormat="1" ht="18" customHeight="1" thickBot="1">
      <c r="A48" s="2083" t="s">
        <v>1817</v>
      </c>
      <c r="B48" s="2084" t="s">
        <v>1818</v>
      </c>
      <c r="C48" s="1934" t="e">
        <f ca="1">ROUND(F48*F50*F49*(1-F51)/10000,0)</f>
        <v>#N/A</v>
      </c>
      <c r="D48" s="1935" t="s">
        <v>584</v>
      </c>
      <c r="E48" s="1936" t="s">
        <v>1651</v>
      </c>
      <c r="F48" s="1937" t="e">
        <f ca="1">M6</f>
        <v>#N/A</v>
      </c>
      <c r="G48" s="1698"/>
      <c r="I48" s="2363" t="s">
        <v>1696</v>
      </c>
      <c r="J48" s="1942"/>
      <c r="K48" s="2372" t="s">
        <v>1702</v>
      </c>
      <c r="L48" s="1566" t="e">
        <f ca="1">INDIRECT("'数据-取费表'!f"&amp;$G$1)</f>
        <v>#N/A</v>
      </c>
      <c r="M48" s="2763"/>
      <c r="O48" s="1956" t="s">
        <v>1730</v>
      </c>
      <c r="P48" s="1957" t="s">
        <v>1756</v>
      </c>
      <c r="Q48" s="1958" t="e">
        <f ca="1">C40+J29</f>
        <v>#N/A</v>
      </c>
      <c r="R48" s="1957" t="s">
        <v>1731</v>
      </c>
    </row>
    <row r="49" spans="1:18" s="1671" customFormat="1" ht="18" customHeight="1" thickBot="1">
      <c r="A49" s="719"/>
      <c r="B49" s="720"/>
      <c r="C49" s="721"/>
      <c r="D49" s="722"/>
      <c r="E49" s="717" t="s">
        <v>1268</v>
      </c>
      <c r="F49" s="718" t="e">
        <f ca="1">F7</f>
        <v>#N/A</v>
      </c>
      <c r="G49" s="1698"/>
      <c r="H49" s="1701"/>
      <c r="I49" s="2363" t="s">
        <v>1697</v>
      </c>
      <c r="J49" s="1943"/>
      <c r="K49" s="2373" t="s">
        <v>1703</v>
      </c>
      <c r="L49" s="1565"/>
      <c r="M49" s="2763"/>
      <c r="O49" s="1956" t="s">
        <v>1732</v>
      </c>
      <c r="P49" s="1957" t="s">
        <v>1757</v>
      </c>
      <c r="Q49" s="1958" t="e">
        <f ca="1">J60</f>
        <v>#N/A</v>
      </c>
      <c r="R49" s="1957" t="s">
        <v>1733</v>
      </c>
    </row>
    <row r="50" spans="1:18" s="1671" customFormat="1" ht="18" customHeight="1" thickBot="1">
      <c r="A50" s="719"/>
      <c r="B50" s="720"/>
      <c r="C50" s="721"/>
      <c r="D50" s="722"/>
      <c r="E50" s="717" t="s">
        <v>1269</v>
      </c>
      <c r="F50" s="718" t="e">
        <f ca="1">F8</f>
        <v>#N/A</v>
      </c>
      <c r="H50" s="1701"/>
      <c r="I50" s="2363" t="s">
        <v>1698</v>
      </c>
      <c r="J50" s="2370">
        <f>SUMPRODUCT((I63:I65=J47)*(J62:L62=J48)*(J63:L65))</f>
        <v>0</v>
      </c>
      <c r="K50" s="2373" t="s">
        <v>1704</v>
      </c>
      <c r="L50" s="1565"/>
      <c r="M50" s="2763"/>
      <c r="O50" s="1959" t="s">
        <v>1734</v>
      </c>
      <c r="P50" s="1957" t="s">
        <v>1758</v>
      </c>
      <c r="Q50" s="1958" t="e">
        <f ca="1">C29</f>
        <v>#N/A</v>
      </c>
      <c r="R50" s="1957" t="s">
        <v>1731</v>
      </c>
    </row>
    <row r="51" spans="1:18" s="1671" customFormat="1" ht="18" customHeight="1" thickBot="1">
      <c r="A51" s="719"/>
      <c r="B51" s="720"/>
      <c r="C51" s="721"/>
      <c r="D51" s="722"/>
      <c r="E51" s="717" t="s">
        <v>588</v>
      </c>
      <c r="F51" s="1933"/>
      <c r="H51" s="1701"/>
      <c r="I51" s="2367" t="s">
        <v>1699</v>
      </c>
      <c r="J51" s="1566">
        <f>IF(J49="",J50,J49+J50-YEAR('数据-取费表'!B2))</f>
        <v>0</v>
      </c>
      <c r="K51" s="2363" t="s">
        <v>1705</v>
      </c>
      <c r="L51" s="2376" t="e">
        <f ca="1">ROUND(-PV(INDIRECT("'数据-取费表'!h"&amp;$G$1),J51,(C39-C13*J36),0),0)</f>
        <v>#N/A</v>
      </c>
      <c r="M51" s="2763"/>
      <c r="O51" s="1959" t="s">
        <v>1735</v>
      </c>
      <c r="P51" s="1957" t="s">
        <v>1736</v>
      </c>
      <c r="Q51" s="1960" t="e">
        <f ca="1">J58</f>
        <v>#N/A</v>
      </c>
      <c r="R51" s="1961"/>
    </row>
    <row r="52" spans="1:18" s="1671" customFormat="1" ht="18" customHeight="1" thickBot="1">
      <c r="A52" s="714" t="s">
        <v>1816</v>
      </c>
      <c r="B52" s="1998" t="s">
        <v>1800</v>
      </c>
      <c r="C52" s="732">
        <f ca="1">ROUND(IF(F52="押一",C48/12*F11,IF(F52="押二",C48/12*2*F11,IF(F52="押三",C48/12*3*F11,C53*F11))),0)</f>
        <v>0</v>
      </c>
      <c r="D52" s="2005" t="s">
        <v>2227</v>
      </c>
      <c r="E52" s="2002" t="s">
        <v>1805</v>
      </c>
      <c r="F52" s="2075"/>
      <c r="I52" s="2368" t="s">
        <v>1772</v>
      </c>
      <c r="J52" s="1944"/>
      <c r="K52" s="2368" t="s">
        <v>1771</v>
      </c>
      <c r="L52" s="1944"/>
      <c r="M52" s="2763"/>
      <c r="O52" s="1959" t="s">
        <v>1737</v>
      </c>
      <c r="P52" s="1957" t="s">
        <v>1738</v>
      </c>
      <c r="Q52" s="1960">
        <f>J52</f>
        <v>0</v>
      </c>
      <c r="R52" s="1961"/>
    </row>
    <row r="53" spans="1:18" s="1671" customFormat="1" ht="39.75" customHeight="1" thickBot="1">
      <c r="A53" s="719"/>
      <c r="B53" s="1999" t="s">
        <v>1853</v>
      </c>
      <c r="C53" s="2003"/>
      <c r="D53" s="2005"/>
      <c r="E53" s="2002"/>
      <c r="F53" s="733"/>
      <c r="I53" s="2369" t="s">
        <v>2230</v>
      </c>
      <c r="J53" s="2415" t="e">
        <f ca="1">IF(M47="住宅",IF(D1="——",MAX(J51,L48),MAX(J51,L48-'数据-取费表'!B20)),IF(D1="——",MIN(J51,L48),MIN(J51,L48-'数据-取费表'!B20)))</f>
        <v>#N/A</v>
      </c>
      <c r="K53" s="3814" t="s">
        <v>2220</v>
      </c>
      <c r="L53" s="3815"/>
      <c r="M53" s="2763"/>
      <c r="O53" s="1959" t="s">
        <v>1739</v>
      </c>
      <c r="P53" s="1957" t="s">
        <v>1740</v>
      </c>
      <c r="Q53" s="1958" t="e">
        <f ca="1">J53</f>
        <v>#N/A</v>
      </c>
      <c r="R53" s="1957" t="s">
        <v>1741</v>
      </c>
    </row>
    <row r="54" spans="1:18" s="1671" customFormat="1" ht="18" customHeight="1" thickBot="1">
      <c r="A54" s="2012" t="s">
        <v>1808</v>
      </c>
      <c r="B54" s="2013" t="s">
        <v>1801</v>
      </c>
      <c r="C54" s="2014"/>
      <c r="D54" s="2005"/>
      <c r="E54" s="2002"/>
      <c r="F54" s="733"/>
      <c r="I54" s="167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5"/>
      <c r="M54" s="2763"/>
      <c r="O54" s="1956" t="s">
        <v>1742</v>
      </c>
      <c r="P54" s="1957" t="s">
        <v>1759</v>
      </c>
      <c r="Q54" s="1958" t="e">
        <f ca="1">Q48+Q49</f>
        <v>#N/A</v>
      </c>
      <c r="R54" s="1961" t="s">
        <v>1743</v>
      </c>
    </row>
    <row r="55" spans="1:18" s="1671" customFormat="1" ht="18" customHeight="1" thickTop="1" thickBot="1">
      <c r="A55" s="730">
        <v>2</v>
      </c>
      <c r="B55" s="731" t="s">
        <v>592</v>
      </c>
      <c r="C55" s="732" t="e">
        <f ca="1">C13</f>
        <v>#N/A</v>
      </c>
      <c r="D55" s="728"/>
      <c r="E55" s="728"/>
      <c r="F55" s="733"/>
      <c r="I55" s="2379" t="s">
        <v>1706</v>
      </c>
      <c r="J55" s="2352" t="e">
        <f ca="1">ROUND(IF(J47="钢混",J57/J50,1-(1-2%)*(J50-J57)/J50),3)</f>
        <v>#N/A</v>
      </c>
      <c r="K55" s="2380" t="s">
        <v>1707</v>
      </c>
      <c r="L55" s="1945"/>
      <c r="M55" s="2763"/>
      <c r="O55" s="1962" t="s">
        <v>1762</v>
      </c>
      <c r="P55" s="1143"/>
      <c r="Q55" s="1329"/>
      <c r="R55" s="1143"/>
    </row>
    <row r="56" spans="1:18" s="1671" customFormat="1" ht="42.75" customHeight="1" thickBot="1">
      <c r="A56" s="1369"/>
      <c r="B56" s="1824" t="s">
        <v>1657</v>
      </c>
      <c r="C56" s="49" t="e">
        <f ca="1">C29</f>
        <v>#N/A</v>
      </c>
      <c r="D56" s="905"/>
      <c r="E56" s="717"/>
      <c r="F56" s="742"/>
      <c r="I56" s="2381" t="s">
        <v>1708</v>
      </c>
      <c r="J56" s="2391"/>
      <c r="K56" s="2363" t="s">
        <v>1713</v>
      </c>
      <c r="L56" s="1566" t="e">
        <f ca="1">IF(L48&lt;J51,"——",L48-J51)</f>
        <v>#N/A</v>
      </c>
      <c r="M56" s="2763"/>
      <c r="O56" s="1953" t="s">
        <v>1726</v>
      </c>
      <c r="P56" s="1954" t="s">
        <v>1727</v>
      </c>
      <c r="Q56" s="1955" t="s">
        <v>1728</v>
      </c>
      <c r="R56" s="1954" t="s">
        <v>1729</v>
      </c>
    </row>
    <row r="57" spans="1:18" s="1671" customFormat="1" ht="28.5" customHeight="1" thickBot="1">
      <c r="A57" s="730" t="s">
        <v>1277</v>
      </c>
      <c r="B57" s="731" t="s">
        <v>599</v>
      </c>
      <c r="C57" s="732" t="e">
        <f ca="1">ROUND(C58+C63+C64+C65,0)</f>
        <v>#N/A</v>
      </c>
      <c r="D57" s="22" t="s">
        <v>1279</v>
      </c>
      <c r="E57" s="913"/>
      <c r="F57" s="52"/>
      <c r="I57" s="2382" t="s">
        <v>1709</v>
      </c>
      <c r="J57" s="2383" t="e">
        <f ca="1">IF(OR(M47="住宅",J51&lt;L48,J56="是"),"——",J51-L48)</f>
        <v>#N/A</v>
      </c>
      <c r="K57" s="2363" t="s">
        <v>1714</v>
      </c>
      <c r="L57" s="1566" t="e">
        <f ca="1">IF(L48&lt;J51,"——",IF(L55="比较法",L49,IF(L55="基准地价",L50,L51)))</f>
        <v>#N/A</v>
      </c>
      <c r="M57" s="2763"/>
      <c r="O57" s="1956" t="s">
        <v>1730</v>
      </c>
      <c r="P57" s="1957" t="s">
        <v>1760</v>
      </c>
      <c r="Q57" s="1958" t="e">
        <f ca="1">C40+J29</f>
        <v>#N/A</v>
      </c>
      <c r="R57" s="1957" t="s">
        <v>1731</v>
      </c>
    </row>
    <row r="58" spans="1:18" s="1671" customFormat="1" ht="28.5" customHeight="1" thickBot="1">
      <c r="A58" s="1368" t="s">
        <v>1353</v>
      </c>
      <c r="B58" s="717" t="s">
        <v>604</v>
      </c>
      <c r="C58" s="2554" t="e">
        <f ca="1">ROUND(IF(AND(项目基本情况!B11="自然人",项目基本情况!B10="北京市"),C48*F58/(1+'数据-取费表'!C42),C59+C60+C61),2)</f>
        <v>#N/A</v>
      </c>
      <c r="D58" s="904" t="s">
        <v>605</v>
      </c>
      <c r="E58" s="905" t="s">
        <v>637</v>
      </c>
      <c r="F58" s="2553" t="str">
        <f>IF(项目基本情况!B11="企业","——",IF('数据-取费表'!B10="住宅",IF(F48*F49*F50/12/(1+'数据-取费表'!F30)&gt;100000,4%,2.5%),IF(F48*F49*F50/12/(1+'数据-取费表'!F30)&gt;100000,12%,7%)))</f>
        <v>——</v>
      </c>
      <c r="I58" s="2382" t="s">
        <v>1710</v>
      </c>
      <c r="J58" s="2353" t="e">
        <f ca="1">IF(J55&lt;0.4,0.4,J55)</f>
        <v>#N/A</v>
      </c>
      <c r="K58" s="2363" t="s">
        <v>1715</v>
      </c>
      <c r="L58" s="1566" t="e">
        <f ca="1">ROUND(POWER(1+L52,L47-L48)*(POWER(1+L52,L48)-1)/(POWER(1+L52,L47)-1),4)</f>
        <v>#N/A</v>
      </c>
      <c r="M58" s="2763"/>
      <c r="O58" s="1956" t="s">
        <v>1732</v>
      </c>
      <c r="P58" s="1957" t="s">
        <v>1763</v>
      </c>
      <c r="Q58" s="1958" t="e">
        <f ca="1">L60</f>
        <v>#N/A</v>
      </c>
      <c r="R58" s="1961" t="s">
        <v>1765</v>
      </c>
    </row>
    <row r="59" spans="1:18" s="1671" customFormat="1" ht="28.5" customHeight="1" thickBot="1">
      <c r="A59" s="1367" t="s">
        <v>1360</v>
      </c>
      <c r="B59" s="717" t="s">
        <v>608</v>
      </c>
      <c r="C59" s="49" t="e">
        <f ca="1">ROUND(C47*F59/1.05,2)</f>
        <v>#N/A</v>
      </c>
      <c r="D59" s="905" t="s">
        <v>1285</v>
      </c>
      <c r="E59" s="717" t="s">
        <v>1276</v>
      </c>
      <c r="F59" s="742">
        <f t="shared" ref="F59:F65" si="0">F32</f>
        <v>0</v>
      </c>
      <c r="I59" s="2382" t="s">
        <v>1711</v>
      </c>
      <c r="J59" s="2383" t="e">
        <f ca="1">IF(OR(M47="住宅",J51&lt;L48,J56="是"),"——",ROUND(C29*J58,0))</f>
        <v>#N/A</v>
      </c>
      <c r="K59" s="2363" t="str">
        <f>IF(D1="——","建筑物剩余耐用年限下的土地年期修正系数Kn","建设期及建筑物耐用年限下的土地年期修正系数Kn")</f>
        <v>建筑物剩余耐用年限下的土地年期修正系数Kn</v>
      </c>
      <c r="L59" s="1566" t="e">
        <f ca="1">ROUND(IF(D1="土地（套用方法）",POWER(1+L52,L47-(J51+'数据-取费表'!B20))*(POWER(1+L52,(J51+'数据-取费表'!B20))-1)/(POWER(1+L52,L47)-1),POWER(1+L52,L47-J51)*(POWER(1+L52,J51)-1)/(POWER(1+L52,L47)-1)),4)</f>
        <v>#N/A</v>
      </c>
      <c r="M59" s="2763"/>
      <c r="O59" s="1959" t="s">
        <v>1734</v>
      </c>
      <c r="P59" s="1957" t="s">
        <v>1764</v>
      </c>
      <c r="Q59" s="1958">
        <f>IF(L55="比较法",L49,IF(L55="基准地价",L50,0))</f>
        <v>0</v>
      </c>
      <c r="R59" s="1957" t="s">
        <v>1731</v>
      </c>
    </row>
    <row r="60" spans="1:18" s="1671" customFormat="1" ht="18" customHeight="1" thickBot="1">
      <c r="A60" s="1367" t="s">
        <v>1361</v>
      </c>
      <c r="B60" s="717" t="s">
        <v>1287</v>
      </c>
      <c r="C60" s="49" t="e">
        <f ca="1">IF(D60="按租金收入计税",ROUND(C48*F60/(1+'数据-取费表'!C42),2),IF(D60="按房产原值计税",ROUND(C56*F60*0.7,2),INDIRECT("'数据-取费表'!Aj"&amp;$G$1)))</f>
        <v>#N/A</v>
      </c>
      <c r="D60" s="905" t="str">
        <f>D33</f>
        <v>按租金收入计税</v>
      </c>
      <c r="E60" s="717" t="s">
        <v>1276</v>
      </c>
      <c r="F60" s="742">
        <f t="shared" si="0"/>
        <v>0.12</v>
      </c>
      <c r="I60" s="2384" t="s">
        <v>1712</v>
      </c>
      <c r="J60" s="2385" t="e">
        <f ca="1">IF(OR(M47="住宅",J51&lt;L48,J56="是"),"0",ROUND(J59/(1+J52)^J53,0))</f>
        <v>#N/A</v>
      </c>
      <c r="K60" s="2386" t="s">
        <v>1717</v>
      </c>
      <c r="L60" s="2385" t="e">
        <f ca="1">IF(OR(M47="住宅",L48&lt;J51),0,ROUND(L57*(L58/L59-1),0))</f>
        <v>#N/A</v>
      </c>
      <c r="M60" s="2763"/>
      <c r="O60" s="1959" t="s">
        <v>1735</v>
      </c>
      <c r="P60" s="1957" t="s">
        <v>1744</v>
      </c>
      <c r="Q60" s="1960">
        <f>L52</f>
        <v>0</v>
      </c>
      <c r="R60" s="1961"/>
    </row>
    <row r="61" spans="1:18" s="1671" customFormat="1" ht="18" customHeight="1" thickBot="1">
      <c r="A61" s="1370" t="s">
        <v>1362</v>
      </c>
      <c r="B61" s="315" t="s">
        <v>615</v>
      </c>
      <c r="C61" s="50" t="e">
        <f ca="1">ROUND(F61*F62/10000,2)</f>
        <v>#N/A</v>
      </c>
      <c r="D61" s="746" t="s">
        <v>616</v>
      </c>
      <c r="E61" s="717" t="s">
        <v>617</v>
      </c>
      <c r="F61" s="587">
        <f t="shared" si="0"/>
        <v>0</v>
      </c>
      <c r="K61" s="1695"/>
      <c r="O61" s="1959" t="s">
        <v>1737</v>
      </c>
      <c r="P61" s="1957" t="s">
        <v>1745</v>
      </c>
      <c r="Q61" s="1958" t="e">
        <f ca="1">L58</f>
        <v>#N/A</v>
      </c>
      <c r="R61" s="1961" t="s">
        <v>1746</v>
      </c>
    </row>
    <row r="62" spans="1:18" s="1671" customFormat="1" ht="15.75" thickBot="1">
      <c r="A62" s="747"/>
      <c r="B62" s="726"/>
      <c r="C62" s="65"/>
      <c r="D62" s="748"/>
      <c r="E62" s="717" t="s">
        <v>621</v>
      </c>
      <c r="F62" s="718" t="e">
        <f t="shared" ca="1" si="0"/>
        <v>#N/A</v>
      </c>
      <c r="I62" s="2387" t="s">
        <v>1718</v>
      </c>
      <c r="J62" s="2388" t="s">
        <v>1719</v>
      </c>
      <c r="K62" s="2388" t="s">
        <v>1720</v>
      </c>
      <c r="L62" s="2388" t="s">
        <v>1701</v>
      </c>
      <c r="M62" s="2389" t="s">
        <v>2199</v>
      </c>
      <c r="O62" s="1959" t="s">
        <v>1739</v>
      </c>
      <c r="P62" s="1957" t="str">
        <f>K59</f>
        <v>建筑物剩余耐用年限下的土地年期修正系数Kn</v>
      </c>
      <c r="Q62" s="1958" t="e">
        <f ca="1">L59</f>
        <v>#N/A</v>
      </c>
      <c r="R62" s="1961" t="s">
        <v>1748</v>
      </c>
    </row>
    <row r="63" spans="1:18" s="1671" customFormat="1" ht="15.75" thickBot="1">
      <c r="A63" s="1368" t="s">
        <v>1414</v>
      </c>
      <c r="B63" s="717" t="s">
        <v>623</v>
      </c>
      <c r="C63" s="49" t="e">
        <f ca="1">ROUND(C56*F63,2)</f>
        <v>#N/A</v>
      </c>
      <c r="D63" s="905" t="s">
        <v>1332</v>
      </c>
      <c r="E63" s="717" t="s">
        <v>1276</v>
      </c>
      <c r="F63" s="749" t="e">
        <f t="shared" ca="1" si="0"/>
        <v>#N/A</v>
      </c>
      <c r="I63" s="2387" t="s">
        <v>1721</v>
      </c>
      <c r="J63" s="2388">
        <v>70</v>
      </c>
      <c r="K63" s="2388">
        <v>50</v>
      </c>
      <c r="L63" s="2388">
        <v>80</v>
      </c>
      <c r="M63" s="2390">
        <v>0.02</v>
      </c>
      <c r="O63" s="1956" t="s">
        <v>1742</v>
      </c>
      <c r="P63" s="1957" t="s">
        <v>1759</v>
      </c>
      <c r="Q63" s="1958" t="e">
        <f ca="1">Q57+Q58</f>
        <v>#N/A</v>
      </c>
      <c r="R63" s="1961" t="s">
        <v>1743</v>
      </c>
    </row>
    <row r="64" spans="1:18" s="1671" customFormat="1" ht="16.5" thickBot="1">
      <c r="A64" s="1368" t="s">
        <v>1415</v>
      </c>
      <c r="B64" s="717" t="s">
        <v>626</v>
      </c>
      <c r="C64" s="49" t="e">
        <f ca="1">ROUND(C55*F64,2)</f>
        <v>#N/A</v>
      </c>
      <c r="D64" s="905" t="s">
        <v>627</v>
      </c>
      <c r="E64" s="717" t="s">
        <v>1276</v>
      </c>
      <c r="F64" s="750" t="e">
        <f t="shared" ca="1" si="0"/>
        <v>#N/A</v>
      </c>
      <c r="I64" s="2387" t="s">
        <v>1722</v>
      </c>
      <c r="J64" s="2388">
        <v>50</v>
      </c>
      <c r="K64" s="2388">
        <v>35</v>
      </c>
      <c r="L64" s="2388">
        <v>60</v>
      </c>
      <c r="M64" s="778">
        <v>0</v>
      </c>
      <c r="O64" s="1962" t="s">
        <v>1766</v>
      </c>
      <c r="P64" s="1143"/>
      <c r="Q64" s="1329"/>
      <c r="R64" s="1143"/>
    </row>
    <row r="65" spans="1:18" s="1671" customFormat="1" ht="15.75" thickBot="1">
      <c r="A65" s="1368" t="s">
        <v>1416</v>
      </c>
      <c r="B65" s="717" t="s">
        <v>613</v>
      </c>
      <c r="C65" s="49" t="e">
        <f ca="1">ROUND(C47*F65,2)</f>
        <v>#N/A</v>
      </c>
      <c r="D65" s="905" t="s">
        <v>630</v>
      </c>
      <c r="E65" s="717" t="s">
        <v>1276</v>
      </c>
      <c r="F65" s="727" t="e">
        <f t="shared" ca="1" si="0"/>
        <v>#N/A</v>
      </c>
      <c r="I65" s="2387" t="s">
        <v>1723</v>
      </c>
      <c r="J65" s="2388">
        <v>40</v>
      </c>
      <c r="K65" s="2388">
        <v>30</v>
      </c>
      <c r="L65" s="2388">
        <v>50</v>
      </c>
      <c r="M65" s="2390">
        <v>0.02</v>
      </c>
      <c r="O65" s="1953" t="s">
        <v>1726</v>
      </c>
      <c r="P65" s="1954" t="s">
        <v>1727</v>
      </c>
      <c r="Q65" s="1955" t="s">
        <v>1728</v>
      </c>
      <c r="R65" s="1954" t="s">
        <v>1729</v>
      </c>
    </row>
    <row r="66" spans="1:18" s="1671" customFormat="1" ht="24.75" thickBot="1">
      <c r="A66" s="730" t="s">
        <v>1305</v>
      </c>
      <c r="B66" s="2297" t="s">
        <v>2096</v>
      </c>
      <c r="C66" s="732" t="e">
        <f ca="1">C47-C57</f>
        <v>#N/A</v>
      </c>
      <c r="D66" s="904" t="s">
        <v>647</v>
      </c>
      <c r="E66" s="902"/>
      <c r="F66" s="752"/>
      <c r="K66" s="1695"/>
      <c r="O66" s="1956" t="s">
        <v>1730</v>
      </c>
      <c r="P66" s="1957" t="s">
        <v>1760</v>
      </c>
      <c r="Q66" s="1958" t="e">
        <f ca="1">C40+J29</f>
        <v>#N/A</v>
      </c>
      <c r="R66" s="1957" t="s">
        <v>1731</v>
      </c>
    </row>
    <row r="67" spans="1:18" s="1671" customFormat="1" ht="20.25" thickBot="1">
      <c r="A67" s="714" t="s">
        <v>1309</v>
      </c>
      <c r="B67" s="1825" t="s">
        <v>1656</v>
      </c>
      <c r="C67" s="716" t="e">
        <f ca="1">ROUND(C66*(1-((1+F69)/(1+F67))^F68)/(F67-F69),0)</f>
        <v>#N/A</v>
      </c>
      <c r="D67" s="746" t="s">
        <v>651</v>
      </c>
      <c r="E67" s="717" t="s">
        <v>652</v>
      </c>
      <c r="F67" s="727" t="e">
        <f ca="1">F40</f>
        <v>#N/A</v>
      </c>
      <c r="K67" s="1695"/>
      <c r="O67" s="1956" t="s">
        <v>1732</v>
      </c>
      <c r="P67" s="1957" t="s">
        <v>1763</v>
      </c>
      <c r="Q67" s="1958" t="e">
        <f ca="1">L60</f>
        <v>#N/A</v>
      </c>
      <c r="R67" s="1961" t="s">
        <v>1765</v>
      </c>
    </row>
    <row r="68" spans="1:18" ht="21.75" thickBot="1">
      <c r="A68" s="719"/>
      <c r="B68" s="720"/>
      <c r="C68" s="721"/>
      <c r="D68" s="753" t="s">
        <v>1337</v>
      </c>
      <c r="E68" s="717" t="s">
        <v>1313</v>
      </c>
      <c r="F68" s="754" t="e">
        <f ca="1">F41</f>
        <v>#N/A</v>
      </c>
      <c r="O68" s="1959" t="s">
        <v>1734</v>
      </c>
      <c r="P68" s="1957" t="s">
        <v>1764</v>
      </c>
      <c r="Q68" s="1963" t="e">
        <f ca="1">L51</f>
        <v>#N/A</v>
      </c>
      <c r="R68" s="1964" t="s">
        <v>1767</v>
      </c>
    </row>
    <row r="69" spans="1:18" ht="20.25" thickBot="1">
      <c r="A69" s="723"/>
      <c r="B69" s="724"/>
      <c r="C69" s="725"/>
      <c r="D69" s="748"/>
      <c r="E69" s="717" t="s">
        <v>657</v>
      </c>
      <c r="F69" s="1933"/>
      <c r="O69" s="1959" t="s">
        <v>1735</v>
      </c>
      <c r="P69" s="1965" t="s">
        <v>1749</v>
      </c>
      <c r="Q69" s="1958" t="e">
        <f ca="1">ROUND(Q70-Q71*Q72,0)</f>
        <v>#N/A</v>
      </c>
      <c r="R69" s="1961"/>
    </row>
    <row r="70" spans="1:18" ht="15.75" thickBot="1">
      <c r="A70" s="755" t="s">
        <v>1316</v>
      </c>
      <c r="B70" s="756" t="s">
        <v>1339</v>
      </c>
      <c r="C70" s="757" t="e">
        <f ca="1">ROUND(C67*10000/F70,0)</f>
        <v>#N/A</v>
      </c>
      <c r="D70" s="758" t="s">
        <v>1340</v>
      </c>
      <c r="E70" s="759" t="s">
        <v>1341</v>
      </c>
      <c r="F70" s="760" t="e">
        <f ca="1">F43</f>
        <v>#N/A</v>
      </c>
      <c r="O70" s="1959" t="s">
        <v>1750</v>
      </c>
      <c r="P70" s="1965" t="s">
        <v>1751</v>
      </c>
      <c r="Q70" s="1958" t="e">
        <f ca="1">C39</f>
        <v>#N/A</v>
      </c>
      <c r="R70" s="1957" t="s">
        <v>1731</v>
      </c>
    </row>
    <row r="71" spans="1:18" ht="15.75" thickBot="1">
      <c r="O71" s="1959" t="s">
        <v>1752</v>
      </c>
      <c r="P71" s="1965" t="s">
        <v>1753</v>
      </c>
      <c r="Q71" s="1958" t="e">
        <f ca="1">C13</f>
        <v>#N/A</v>
      </c>
      <c r="R71" s="1957" t="s">
        <v>1731</v>
      </c>
    </row>
    <row r="72" spans="1:18" ht="15.75" thickBot="1">
      <c r="O72" s="1959" t="s">
        <v>1754</v>
      </c>
      <c r="P72" s="1965" t="s">
        <v>1755</v>
      </c>
      <c r="Q72" s="1960" t="e">
        <f ca="1">J36</f>
        <v>#N/A</v>
      </c>
      <c r="R72" s="1961"/>
    </row>
    <row r="73" spans="1:18" ht="15.75" thickBot="1">
      <c r="O73" s="1959" t="s">
        <v>1737</v>
      </c>
      <c r="P73" s="1957" t="s">
        <v>1744</v>
      </c>
      <c r="Q73" s="1960">
        <f>L52</f>
        <v>0</v>
      </c>
      <c r="R73" s="1961"/>
    </row>
    <row r="74" spans="1:18" ht="20.25" thickBot="1">
      <c r="O74" s="1959" t="s">
        <v>1739</v>
      </c>
      <c r="P74" s="1957" t="s">
        <v>1745</v>
      </c>
      <c r="Q74" s="1958" t="e">
        <f ca="1">L58</f>
        <v>#N/A</v>
      </c>
      <c r="R74" s="1961" t="s">
        <v>1746</v>
      </c>
    </row>
    <row r="75" spans="1:18" ht="15.75" thickBot="1">
      <c r="O75" s="1959" t="s">
        <v>1768</v>
      </c>
      <c r="P75" s="1957" t="str">
        <f>K59</f>
        <v>建筑物剩余耐用年限下的土地年期修正系数Kn</v>
      </c>
      <c r="Q75" s="1958" t="e">
        <f ca="1">L59</f>
        <v>#N/A</v>
      </c>
      <c r="R75" s="1961" t="s">
        <v>1748</v>
      </c>
    </row>
    <row r="76" spans="1:18" ht="15.75" thickBot="1">
      <c r="O76" s="1956" t="s">
        <v>1742</v>
      </c>
      <c r="P76" s="1957" t="s">
        <v>1759</v>
      </c>
      <c r="Q76" s="1958" t="e">
        <f ca="1">Q66+Q67</f>
        <v>#N/A</v>
      </c>
      <c r="R76" s="1961" t="s">
        <v>1743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8" priority="4">
      <formula>$F$10="自定义"</formula>
    </cfRule>
  </conditionalFormatting>
  <conditionalFormatting sqref="C53">
    <cfRule type="expression" dxfId="107" priority="1">
      <formula>$F$52="自定义"</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J11">
    <cfRule type="expression" dxfId="104" priority="2">
      <formula>$M$10="自定义"</formula>
    </cfRule>
  </conditionalFormatting>
  <conditionalFormatting sqref="K55">
    <cfRule type="expression" dxfId="103" priority="7">
      <formula>$L$48&gt;$J$51</formula>
    </cfRule>
  </conditionalFormatting>
  <conditionalFormatting sqref="K60">
    <cfRule type="expression" dxfId="102"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W44"/>
  <sheetViews>
    <sheetView zoomScale="80" zoomScaleNormal="80" workbookViewId="0">
      <selection activeCell="H49" sqref="H49"/>
    </sheetView>
  </sheetViews>
  <sheetFormatPr defaultColWidth="8.875" defaultRowHeight="13.35" customHeight="1"/>
  <cols>
    <col min="1" max="1" width="9.5" style="2826" customWidth="1"/>
    <col min="2" max="2" width="8.875" style="2826"/>
    <col min="3" max="5" width="12.875" style="2826" customWidth="1"/>
    <col min="6" max="6" width="47.5" style="2826" customWidth="1"/>
    <col min="7" max="7" width="13" style="2820" customWidth="1"/>
    <col min="8" max="8" width="8.875" style="2820"/>
    <col min="9" max="9" width="8.875" style="2821"/>
    <col min="10" max="10" width="5.625" style="2981" customWidth="1"/>
    <col min="11" max="11" width="11.625" style="2981" customWidth="1"/>
    <col min="12" max="13" width="10.62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625" style="2826" customWidth="1"/>
    <col min="267" max="267" width="11.625" style="2826" customWidth="1"/>
    <col min="268" max="269" width="10.62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625" style="2826" customWidth="1"/>
    <col min="523" max="523" width="11.625" style="2826" customWidth="1"/>
    <col min="524" max="525" width="10.62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625" style="2826" customWidth="1"/>
    <col min="779" max="779" width="11.625" style="2826" customWidth="1"/>
    <col min="780" max="781" width="10.62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625" style="2826" customWidth="1"/>
    <col min="1035" max="1035" width="11.625" style="2826" customWidth="1"/>
    <col min="1036" max="1037" width="10.62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625" style="2826" customWidth="1"/>
    <col min="1291" max="1291" width="11.625" style="2826" customWidth="1"/>
    <col min="1292" max="1293" width="10.62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625" style="2826" customWidth="1"/>
    <col min="1547" max="1547" width="11.625" style="2826" customWidth="1"/>
    <col min="1548" max="1549" width="10.62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625" style="2826" customWidth="1"/>
    <col min="1803" max="1803" width="11.625" style="2826" customWidth="1"/>
    <col min="1804" max="1805" width="10.62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625" style="2826" customWidth="1"/>
    <col min="2059" max="2059" width="11.625" style="2826" customWidth="1"/>
    <col min="2060" max="2061" width="10.62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625" style="2826" customWidth="1"/>
    <col min="2315" max="2315" width="11.625" style="2826" customWidth="1"/>
    <col min="2316" max="2317" width="10.62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625" style="2826" customWidth="1"/>
    <col min="2571" max="2571" width="11.625" style="2826" customWidth="1"/>
    <col min="2572" max="2573" width="10.62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625" style="2826" customWidth="1"/>
    <col min="2827" max="2827" width="11.625" style="2826" customWidth="1"/>
    <col min="2828" max="2829" width="10.62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625" style="2826" customWidth="1"/>
    <col min="3083" max="3083" width="11.625" style="2826" customWidth="1"/>
    <col min="3084" max="3085" width="10.62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625" style="2826" customWidth="1"/>
    <col min="3339" max="3339" width="11.625" style="2826" customWidth="1"/>
    <col min="3340" max="3341" width="10.62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625" style="2826" customWidth="1"/>
    <col min="3595" max="3595" width="11.625" style="2826" customWidth="1"/>
    <col min="3596" max="3597" width="10.62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625" style="2826" customWidth="1"/>
    <col min="3851" max="3851" width="11.625" style="2826" customWidth="1"/>
    <col min="3852" max="3853" width="10.62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625" style="2826" customWidth="1"/>
    <col min="4107" max="4107" width="11.625" style="2826" customWidth="1"/>
    <col min="4108" max="4109" width="10.62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625" style="2826" customWidth="1"/>
    <col min="4363" max="4363" width="11.625" style="2826" customWidth="1"/>
    <col min="4364" max="4365" width="10.62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625" style="2826" customWidth="1"/>
    <col min="4619" max="4619" width="11.625" style="2826" customWidth="1"/>
    <col min="4620" max="4621" width="10.62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625" style="2826" customWidth="1"/>
    <col min="4875" max="4875" width="11.625" style="2826" customWidth="1"/>
    <col min="4876" max="4877" width="10.62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625" style="2826" customWidth="1"/>
    <col min="5131" max="5131" width="11.625" style="2826" customWidth="1"/>
    <col min="5132" max="5133" width="10.62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625" style="2826" customWidth="1"/>
    <col min="5387" max="5387" width="11.625" style="2826" customWidth="1"/>
    <col min="5388" max="5389" width="10.62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625" style="2826" customWidth="1"/>
    <col min="5643" max="5643" width="11.625" style="2826" customWidth="1"/>
    <col min="5644" max="5645" width="10.62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625" style="2826" customWidth="1"/>
    <col min="5899" max="5899" width="11.625" style="2826" customWidth="1"/>
    <col min="5900" max="5901" width="10.62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625" style="2826" customWidth="1"/>
    <col min="6155" max="6155" width="11.625" style="2826" customWidth="1"/>
    <col min="6156" max="6157" width="10.62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625" style="2826" customWidth="1"/>
    <col min="6411" max="6411" width="11.625" style="2826" customWidth="1"/>
    <col min="6412" max="6413" width="10.62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625" style="2826" customWidth="1"/>
    <col min="6667" max="6667" width="11.625" style="2826" customWidth="1"/>
    <col min="6668" max="6669" width="10.62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625" style="2826" customWidth="1"/>
    <col min="6923" max="6923" width="11.625" style="2826" customWidth="1"/>
    <col min="6924" max="6925" width="10.62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625" style="2826" customWidth="1"/>
    <col min="7179" max="7179" width="11.625" style="2826" customWidth="1"/>
    <col min="7180" max="7181" width="10.62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625" style="2826" customWidth="1"/>
    <col min="7435" max="7435" width="11.625" style="2826" customWidth="1"/>
    <col min="7436" max="7437" width="10.62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625" style="2826" customWidth="1"/>
    <col min="7691" max="7691" width="11.625" style="2826" customWidth="1"/>
    <col min="7692" max="7693" width="10.62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625" style="2826" customWidth="1"/>
    <col min="7947" max="7947" width="11.625" style="2826" customWidth="1"/>
    <col min="7948" max="7949" width="10.62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625" style="2826" customWidth="1"/>
    <col min="8203" max="8203" width="11.625" style="2826" customWidth="1"/>
    <col min="8204" max="8205" width="10.62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625" style="2826" customWidth="1"/>
    <col min="8459" max="8459" width="11.625" style="2826" customWidth="1"/>
    <col min="8460" max="8461" width="10.62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625" style="2826" customWidth="1"/>
    <col min="8715" max="8715" width="11.625" style="2826" customWidth="1"/>
    <col min="8716" max="8717" width="10.62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625" style="2826" customWidth="1"/>
    <col min="8971" max="8971" width="11.625" style="2826" customWidth="1"/>
    <col min="8972" max="8973" width="10.62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625" style="2826" customWidth="1"/>
    <col min="9227" max="9227" width="11.625" style="2826" customWidth="1"/>
    <col min="9228" max="9229" width="10.62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625" style="2826" customWidth="1"/>
    <col min="9483" max="9483" width="11.625" style="2826" customWidth="1"/>
    <col min="9484" max="9485" width="10.62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625" style="2826" customWidth="1"/>
    <col min="9739" max="9739" width="11.625" style="2826" customWidth="1"/>
    <col min="9740" max="9741" width="10.62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625" style="2826" customWidth="1"/>
    <col min="9995" max="9995" width="11.625" style="2826" customWidth="1"/>
    <col min="9996" max="9997" width="10.62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625" style="2826" customWidth="1"/>
    <col min="10251" max="10251" width="11.625" style="2826" customWidth="1"/>
    <col min="10252" max="10253" width="10.62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625" style="2826" customWidth="1"/>
    <col min="10507" max="10507" width="11.625" style="2826" customWidth="1"/>
    <col min="10508" max="10509" width="10.62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625" style="2826" customWidth="1"/>
    <col min="10763" max="10763" width="11.625" style="2826" customWidth="1"/>
    <col min="10764" max="10765" width="10.62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625" style="2826" customWidth="1"/>
    <col min="11019" max="11019" width="11.625" style="2826" customWidth="1"/>
    <col min="11020" max="11021" width="10.62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625" style="2826" customWidth="1"/>
    <col min="11275" max="11275" width="11.625" style="2826" customWidth="1"/>
    <col min="11276" max="11277" width="10.62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625" style="2826" customWidth="1"/>
    <col min="11531" max="11531" width="11.625" style="2826" customWidth="1"/>
    <col min="11532" max="11533" width="10.62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625" style="2826" customWidth="1"/>
    <col min="11787" max="11787" width="11.625" style="2826" customWidth="1"/>
    <col min="11788" max="11789" width="10.62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625" style="2826" customWidth="1"/>
    <col min="12043" max="12043" width="11.625" style="2826" customWidth="1"/>
    <col min="12044" max="12045" width="10.62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625" style="2826" customWidth="1"/>
    <col min="12299" max="12299" width="11.625" style="2826" customWidth="1"/>
    <col min="12300" max="12301" width="10.62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625" style="2826" customWidth="1"/>
    <col min="12555" max="12555" width="11.625" style="2826" customWidth="1"/>
    <col min="12556" max="12557" width="10.62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625" style="2826" customWidth="1"/>
    <col min="12811" max="12811" width="11.625" style="2826" customWidth="1"/>
    <col min="12812" max="12813" width="10.62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625" style="2826" customWidth="1"/>
    <col min="13067" max="13067" width="11.625" style="2826" customWidth="1"/>
    <col min="13068" max="13069" width="10.62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625" style="2826" customWidth="1"/>
    <col min="13323" max="13323" width="11.625" style="2826" customWidth="1"/>
    <col min="13324" max="13325" width="10.62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625" style="2826" customWidth="1"/>
    <col min="13579" max="13579" width="11.625" style="2826" customWidth="1"/>
    <col min="13580" max="13581" width="10.62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625" style="2826" customWidth="1"/>
    <col min="13835" max="13835" width="11.625" style="2826" customWidth="1"/>
    <col min="13836" max="13837" width="10.62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625" style="2826" customWidth="1"/>
    <col min="14091" max="14091" width="11.625" style="2826" customWidth="1"/>
    <col min="14092" max="14093" width="10.62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625" style="2826" customWidth="1"/>
    <col min="14347" max="14347" width="11.625" style="2826" customWidth="1"/>
    <col min="14348" max="14349" width="10.62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625" style="2826" customWidth="1"/>
    <col min="14603" max="14603" width="11.625" style="2826" customWidth="1"/>
    <col min="14604" max="14605" width="10.62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625" style="2826" customWidth="1"/>
    <col min="14859" max="14859" width="11.625" style="2826" customWidth="1"/>
    <col min="14860" max="14861" width="10.62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625" style="2826" customWidth="1"/>
    <col min="15115" max="15115" width="11.625" style="2826" customWidth="1"/>
    <col min="15116" max="15117" width="10.62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625" style="2826" customWidth="1"/>
    <col min="15371" max="15371" width="11.625" style="2826" customWidth="1"/>
    <col min="15372" max="15373" width="10.62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625" style="2826" customWidth="1"/>
    <col min="15627" max="15627" width="11.625" style="2826" customWidth="1"/>
    <col min="15628" max="15629" width="10.62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625" style="2826" customWidth="1"/>
    <col min="15883" max="15883" width="11.625" style="2826" customWidth="1"/>
    <col min="15884" max="15885" width="10.62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625" style="2826" customWidth="1"/>
    <col min="16139" max="16139" width="11.625" style="2826" customWidth="1"/>
    <col min="16140" max="16141" width="10.62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2437</v>
      </c>
      <c r="B1" s="2816"/>
      <c r="C1" s="2829"/>
      <c r="D1" s="2829"/>
      <c r="E1" s="2817"/>
      <c r="F1" s="2818"/>
      <c r="G1" s="2819"/>
      <c r="J1" s="2822" t="s">
        <v>2294</v>
      </c>
      <c r="K1" s="2823"/>
      <c r="L1" s="2823"/>
      <c r="M1" s="2823"/>
      <c r="N1" s="2823"/>
      <c r="O1" s="2823"/>
      <c r="P1" s="2823"/>
      <c r="Q1" s="2823"/>
      <c r="R1" s="2824"/>
      <c r="S1" s="2825"/>
      <c r="T1" s="2825"/>
      <c r="U1" s="2825"/>
    </row>
    <row r="2" spans="1:22" s="2838" customFormat="1" ht="13.35" customHeight="1">
      <c r="A2" s="2827" t="s">
        <v>2295</v>
      </c>
      <c r="B2" s="2828" t="e">
        <f>C40</f>
        <v>#DIV/0!</v>
      </c>
      <c r="C2" s="2829" t="s">
        <v>2296</v>
      </c>
      <c r="D2" s="2829"/>
      <c r="E2" s="2830"/>
      <c r="F2" s="2831"/>
      <c r="G2" s="2832"/>
      <c r="H2" s="2833"/>
      <c r="I2" s="2834"/>
      <c r="J2" s="3822" t="s">
        <v>2297</v>
      </c>
      <c r="K2" s="3823"/>
      <c r="L2" s="2835" t="s">
        <v>2298</v>
      </c>
      <c r="M2" s="2835" t="s">
        <v>2299</v>
      </c>
      <c r="N2" s="2835" t="s">
        <v>2300</v>
      </c>
      <c r="O2" s="2835" t="s">
        <v>2301</v>
      </c>
      <c r="P2" s="2835" t="s">
        <v>2302</v>
      </c>
      <c r="Q2" s="2836" t="s">
        <v>2303</v>
      </c>
      <c r="R2" s="2837" t="s">
        <v>2304</v>
      </c>
      <c r="S2" s="2825"/>
      <c r="T2" s="2825"/>
      <c r="U2" s="2825"/>
      <c r="V2" s="2834"/>
    </row>
    <row r="3" spans="1:22" s="2838" customFormat="1" ht="13.35" customHeight="1">
      <c r="A3" s="2839" t="s">
        <v>2305</v>
      </c>
      <c r="B3" s="2840" t="e">
        <f>ROUND(B2*10000/B4,0)</f>
        <v>#DIV/0!</v>
      </c>
      <c r="C3" s="2829" t="s">
        <v>2306</v>
      </c>
      <c r="D3" s="2829"/>
      <c r="E3" s="2830"/>
      <c r="F3" s="2831"/>
      <c r="G3" s="2832"/>
      <c r="H3" s="2833"/>
      <c r="I3" s="2834"/>
      <c r="J3" s="3824" t="s">
        <v>2307</v>
      </c>
      <c r="K3" s="3825"/>
      <c r="L3" s="2841"/>
      <c r="M3" s="2841"/>
      <c r="N3" s="2841"/>
      <c r="O3" s="2841"/>
      <c r="P3" s="2841"/>
      <c r="Q3" s="2842"/>
      <c r="R3" s="2843">
        <f>SUM(L3:Q3)</f>
        <v>0</v>
      </c>
      <c r="S3" s="2825"/>
      <c r="T3" s="2825"/>
      <c r="U3" s="2825"/>
      <c r="V3" s="2834"/>
    </row>
    <row r="4" spans="1:22" s="2838" customFormat="1" ht="13.35" customHeight="1">
      <c r="A4" s="2844" t="s">
        <v>2308</v>
      </c>
      <c r="B4" s="2845"/>
      <c r="C4" s="2829"/>
      <c r="D4" s="2829"/>
      <c r="E4" s="2830"/>
      <c r="F4" s="2831"/>
      <c r="G4" s="2832"/>
      <c r="H4" s="2833"/>
      <c r="I4" s="2834"/>
      <c r="J4" s="3824" t="s">
        <v>2309</v>
      </c>
      <c r="K4" s="3825"/>
      <c r="L4" s="2846"/>
      <c r="M4" s="2846"/>
      <c r="N4" s="2846"/>
      <c r="O4" s="2846"/>
      <c r="P4" s="2846"/>
      <c r="Q4" s="2847"/>
      <c r="R4" s="2848">
        <f>SUM(L4:Q4)</f>
        <v>0</v>
      </c>
      <c r="S4" s="2825"/>
      <c r="T4" s="2825"/>
      <c r="U4" s="2825"/>
      <c r="V4" s="2834"/>
    </row>
    <row r="5" spans="1:22" s="2838" customFormat="1" ht="13.35" customHeight="1" thickBot="1">
      <c r="A5" s="2849" t="s">
        <v>2310</v>
      </c>
      <c r="B5" s="2850"/>
      <c r="C5" s="2829"/>
      <c r="D5" s="2851"/>
      <c r="E5" s="2831"/>
      <c r="F5" s="2831"/>
      <c r="G5" s="2832"/>
      <c r="H5" s="2833"/>
      <c r="I5" s="2834"/>
      <c r="J5" s="2852" t="s">
        <v>2311</v>
      </c>
      <c r="K5" s="2853"/>
      <c r="L5" s="2853"/>
      <c r="M5" s="2854"/>
      <c r="N5" s="2854"/>
      <c r="O5" s="2854"/>
      <c r="P5" s="2854"/>
      <c r="Q5" s="2854"/>
      <c r="R5" s="2837">
        <f>SUM(R14,R19,R24,R25,R27,R28)</f>
        <v>0</v>
      </c>
      <c r="S5" s="2825"/>
      <c r="T5" s="2825" t="s">
        <v>2312</v>
      </c>
      <c r="U5" s="2825" t="e">
        <f>ROUND(R5*10000/365/R3,1)</f>
        <v>#DIV/0!</v>
      </c>
      <c r="V5" s="2834"/>
    </row>
    <row r="6" spans="1:22" s="2838" customFormat="1" ht="13.35" customHeight="1" thickBot="1">
      <c r="A6" s="3830" t="s">
        <v>2313</v>
      </c>
      <c r="B6" s="3831"/>
      <c r="C6" s="3832"/>
      <c r="D6" s="2855"/>
      <c r="E6" s="2856"/>
      <c r="F6" s="2857"/>
      <c r="G6" s="2858"/>
      <c r="H6" s="2833"/>
      <c r="I6" s="2834"/>
      <c r="J6" s="3816">
        <v>1</v>
      </c>
      <c r="K6" s="3817" t="s">
        <v>2314</v>
      </c>
      <c r="L6" s="2859" t="s">
        <v>2315</v>
      </c>
      <c r="M6" s="2860" t="s">
        <v>2316</v>
      </c>
      <c r="N6" s="2860" t="s">
        <v>2317</v>
      </c>
      <c r="O6" s="2860" t="s">
        <v>2318</v>
      </c>
      <c r="P6" s="2860" t="s">
        <v>2319</v>
      </c>
      <c r="Q6" s="2860" t="s">
        <v>2320</v>
      </c>
      <c r="R6" s="2843" t="s">
        <v>2321</v>
      </c>
      <c r="S6" s="2825"/>
      <c r="T6" s="2825" t="s">
        <v>2322</v>
      </c>
      <c r="U6" s="2825"/>
      <c r="V6" s="2834"/>
    </row>
    <row r="7" spans="1:22" s="2838" customFormat="1" ht="13.35" customHeight="1">
      <c r="A7" s="2861" t="s">
        <v>2323</v>
      </c>
      <c r="B7" s="2862"/>
      <c r="C7" s="2863"/>
      <c r="D7" s="2864">
        <f>SUM(D9,D10,D11,D17,0)</f>
        <v>0</v>
      </c>
      <c r="E7" s="2865" t="e">
        <f>E9+E10+E11+E17</f>
        <v>#DIV/0!</v>
      </c>
      <c r="F7" s="2866"/>
      <c r="G7" s="2867"/>
      <c r="H7" s="2833"/>
      <c r="I7" s="2834"/>
      <c r="J7" s="3816"/>
      <c r="K7" s="3818"/>
      <c r="L7" s="2868" t="s">
        <v>2324</v>
      </c>
      <c r="M7" s="2869"/>
      <c r="N7" s="2845"/>
      <c r="O7" s="2870"/>
      <c r="P7" s="2870"/>
      <c r="Q7" s="2871">
        <v>365</v>
      </c>
      <c r="R7" s="2872">
        <f>ROUND(M7*N7*O7*P7*Q7/10000,0)</f>
        <v>0</v>
      </c>
      <c r="S7" s="2825"/>
      <c r="T7" s="2825" t="s">
        <v>2325</v>
      </c>
      <c r="U7" s="2825"/>
      <c r="V7" s="2834"/>
    </row>
    <row r="8" spans="1:22" s="2838" customFormat="1" ht="13.35" customHeight="1">
      <c r="A8" s="2873" t="s">
        <v>2326</v>
      </c>
      <c r="B8" s="3833" t="s">
        <v>2327</v>
      </c>
      <c r="C8" s="3834"/>
      <c r="D8" s="2874" t="s">
        <v>2328</v>
      </c>
      <c r="E8" s="2875" t="s">
        <v>2329</v>
      </c>
      <c r="F8" s="2876" t="s">
        <v>2330</v>
      </c>
      <c r="G8" s="2877"/>
      <c r="H8" s="2833"/>
      <c r="I8" s="2834"/>
      <c r="J8" s="3816"/>
      <c r="K8" s="3818"/>
      <c r="L8" s="2868" t="s">
        <v>2331</v>
      </c>
      <c r="M8" s="2869"/>
      <c r="N8" s="2845"/>
      <c r="O8" s="2870"/>
      <c r="P8" s="2870"/>
      <c r="Q8" s="2871">
        <v>365</v>
      </c>
      <c r="R8" s="2872">
        <f t="shared" ref="R8:R13" si="0">ROUND(M8*N8*O8*P8*Q8/10000,0)</f>
        <v>0</v>
      </c>
      <c r="S8" s="2825"/>
      <c r="T8" s="2825" t="s">
        <v>2332</v>
      </c>
      <c r="U8" s="2825"/>
      <c r="V8" s="2834"/>
    </row>
    <row r="9" spans="1:22" s="2838" customFormat="1" ht="13.35" customHeight="1">
      <c r="A9" s="2873">
        <v>1</v>
      </c>
      <c r="B9" s="3833" t="s">
        <v>2333</v>
      </c>
      <c r="C9" s="3834"/>
      <c r="D9" s="2874">
        <f>ROUND(D6*E9,0)</f>
        <v>0</v>
      </c>
      <c r="E9" s="2878"/>
      <c r="F9" s="2879" t="s">
        <v>2334</v>
      </c>
      <c r="G9" s="2858"/>
      <c r="H9" s="2833"/>
      <c r="I9" s="2834"/>
      <c r="J9" s="3816"/>
      <c r="K9" s="3818"/>
      <c r="L9" s="2868" t="s">
        <v>2335</v>
      </c>
      <c r="M9" s="2869"/>
      <c r="N9" s="2845"/>
      <c r="O9" s="2870"/>
      <c r="P9" s="2870"/>
      <c r="Q9" s="2871">
        <v>365</v>
      </c>
      <c r="R9" s="2872">
        <f t="shared" si="0"/>
        <v>0</v>
      </c>
      <c r="S9" s="2825"/>
      <c r="T9" s="2825"/>
      <c r="U9" s="2825"/>
      <c r="V9" s="2834"/>
    </row>
    <row r="10" spans="1:22" s="2838" customFormat="1" ht="13.35" customHeight="1">
      <c r="A10" s="2873">
        <v>2</v>
      </c>
      <c r="B10" s="3833" t="s">
        <v>2336</v>
      </c>
      <c r="C10" s="3834"/>
      <c r="D10" s="2874">
        <f>ROUND(D6*E10,0)</f>
        <v>0</v>
      </c>
      <c r="E10" s="2878"/>
      <c r="F10" s="2879" t="s">
        <v>2337</v>
      </c>
      <c r="G10" s="2858"/>
      <c r="H10" s="2833"/>
      <c r="I10" s="2834"/>
      <c r="J10" s="3816"/>
      <c r="K10" s="3818"/>
      <c r="L10" s="2868" t="s">
        <v>2338</v>
      </c>
      <c r="M10" s="2869"/>
      <c r="N10" s="2845"/>
      <c r="O10" s="2870"/>
      <c r="P10" s="2870"/>
      <c r="Q10" s="2871">
        <v>365</v>
      </c>
      <c r="R10" s="2872">
        <f t="shared" si="0"/>
        <v>0</v>
      </c>
      <c r="S10" s="2825"/>
      <c r="T10" s="2825"/>
      <c r="U10" s="2825"/>
      <c r="V10" s="2834"/>
    </row>
    <row r="11" spans="1:22" s="2838" customFormat="1" ht="13.35" customHeight="1">
      <c r="A11" s="2873">
        <v>3</v>
      </c>
      <c r="B11" s="3833" t="s">
        <v>2339</v>
      </c>
      <c r="C11" s="3834"/>
      <c r="D11" s="2874">
        <f>D12+D14+D15+D16</f>
        <v>0</v>
      </c>
      <c r="E11" s="2880" t="e">
        <f>D11/D6</f>
        <v>#DIV/0!</v>
      </c>
      <c r="F11" s="2876"/>
      <c r="G11" s="2877"/>
      <c r="H11" s="2833"/>
      <c r="I11" s="2834"/>
      <c r="J11" s="3816"/>
      <c r="K11" s="3818"/>
      <c r="L11" s="2868" t="s">
        <v>2340</v>
      </c>
      <c r="M11" s="2869"/>
      <c r="N11" s="2845"/>
      <c r="O11" s="2870"/>
      <c r="P11" s="2870"/>
      <c r="Q11" s="2871">
        <v>365</v>
      </c>
      <c r="R11" s="2872">
        <f t="shared" si="0"/>
        <v>0</v>
      </c>
      <c r="S11" s="2825"/>
      <c r="T11" s="2825"/>
      <c r="U11" s="2825"/>
      <c r="V11" s="2834"/>
    </row>
    <row r="12" spans="1:22" s="2838" customFormat="1" ht="13.35" customHeight="1">
      <c r="A12" s="2881" t="s">
        <v>2341</v>
      </c>
      <c r="B12" s="3826" t="s">
        <v>2342</v>
      </c>
      <c r="C12" s="3827"/>
      <c r="D12" s="2882">
        <f>ROUND(D13*1.2%*(1-30%),0)</f>
        <v>0</v>
      </c>
      <c r="E12" s="2883">
        <v>1.2E-2</v>
      </c>
      <c r="F12" s="2876" t="s">
        <v>2343</v>
      </c>
      <c r="G12" s="2877"/>
      <c r="H12" s="2833"/>
      <c r="I12" s="2834"/>
      <c r="J12" s="3816"/>
      <c r="K12" s="3818"/>
      <c r="L12" s="2868" t="s">
        <v>2344</v>
      </c>
      <c r="M12" s="2869"/>
      <c r="N12" s="2845"/>
      <c r="O12" s="2870"/>
      <c r="P12" s="2870"/>
      <c r="Q12" s="2871">
        <v>365</v>
      </c>
      <c r="R12" s="2872">
        <f t="shared" si="0"/>
        <v>0</v>
      </c>
      <c r="S12" s="2825"/>
      <c r="T12" s="2825"/>
      <c r="U12" s="2825"/>
      <c r="V12" s="2834"/>
    </row>
    <row r="13" spans="1:22" s="2838" customFormat="1" ht="13.35" customHeight="1">
      <c r="A13" s="2881"/>
      <c r="B13" s="2884"/>
      <c r="C13" s="2885" t="s">
        <v>2345</v>
      </c>
      <c r="D13" s="2886"/>
      <c r="E13" s="2887"/>
      <c r="F13" s="2876"/>
      <c r="G13" s="2877"/>
      <c r="H13" s="2833"/>
      <c r="I13" s="2834"/>
      <c r="J13" s="3816"/>
      <c r="K13" s="3818"/>
      <c r="L13" s="2868" t="s">
        <v>2346</v>
      </c>
      <c r="M13" s="2869"/>
      <c r="N13" s="2845"/>
      <c r="O13" s="2870"/>
      <c r="P13" s="2870"/>
      <c r="Q13" s="2871">
        <v>365</v>
      </c>
      <c r="R13" s="2872">
        <f t="shared" si="0"/>
        <v>0</v>
      </c>
      <c r="S13" s="2825"/>
      <c r="T13" s="2825"/>
      <c r="U13" s="2825"/>
      <c r="V13" s="2834"/>
    </row>
    <row r="14" spans="1:22" s="2838" customFormat="1" ht="13.35" customHeight="1">
      <c r="A14" s="2881" t="s">
        <v>2347</v>
      </c>
      <c r="B14" s="3826" t="s">
        <v>2348</v>
      </c>
      <c r="C14" s="3827"/>
      <c r="D14" s="2882">
        <f>ROUND(E14*B5/10000,0)</f>
        <v>0</v>
      </c>
      <c r="E14" s="2871"/>
      <c r="F14" s="2876" t="s">
        <v>2349</v>
      </c>
      <c r="G14" s="2877"/>
      <c r="H14" s="2833"/>
      <c r="I14" s="2834"/>
      <c r="J14" s="3816"/>
      <c r="K14" s="3819"/>
      <c r="L14" s="2888" t="s">
        <v>2350</v>
      </c>
      <c r="M14" s="2889">
        <f>SUM(M7:M13)</f>
        <v>0</v>
      </c>
      <c r="N14" s="2889" t="e">
        <f>ROUND((N7*M7+N8*M8+N9*M9+N10*M10+N11*M11+N12*M12+N13*M13)/M14,0)</f>
        <v>#DIV/0!</v>
      </c>
      <c r="O14" s="2890"/>
      <c r="P14" s="2890"/>
      <c r="Q14" s="2891"/>
      <c r="R14" s="2837">
        <f>SUM(R7:R13)</f>
        <v>0</v>
      </c>
      <c r="S14" s="2825"/>
      <c r="T14" s="2825"/>
      <c r="U14" s="2825"/>
      <c r="V14" s="2834"/>
    </row>
    <row r="15" spans="1:22" s="2838" customFormat="1" ht="13.35" customHeight="1">
      <c r="A15" s="2881" t="s">
        <v>2351</v>
      </c>
      <c r="B15" s="3826" t="s">
        <v>2352</v>
      </c>
      <c r="C15" s="3827"/>
      <c r="D15" s="2882">
        <f>ROUND(D6*E15,0)</f>
        <v>0</v>
      </c>
      <c r="E15" s="2883">
        <v>5.5E-2</v>
      </c>
      <c r="F15" s="2876" t="s">
        <v>2353</v>
      </c>
      <c r="G15" s="2858"/>
      <c r="H15" s="2833"/>
      <c r="I15" s="2834"/>
      <c r="J15" s="3816">
        <v>2</v>
      </c>
      <c r="K15" s="3817" t="s">
        <v>2354</v>
      </c>
      <c r="L15" s="2868" t="s">
        <v>2355</v>
      </c>
      <c r="M15" s="2869" t="s">
        <v>2356</v>
      </c>
      <c r="N15" s="2869" t="s">
        <v>2357</v>
      </c>
      <c r="O15" s="2870" t="s">
        <v>2358</v>
      </c>
      <c r="P15" s="2870" t="s">
        <v>2359</v>
      </c>
      <c r="Q15" s="2845" t="s">
        <v>2360</v>
      </c>
      <c r="R15" s="2892" t="s">
        <v>2361</v>
      </c>
      <c r="S15" s="2825"/>
      <c r="T15" s="2825"/>
      <c r="U15" s="2825"/>
      <c r="V15" s="2834"/>
    </row>
    <row r="16" spans="1:22" s="2838" customFormat="1" ht="13.35" customHeight="1">
      <c r="A16" s="2881" t="s">
        <v>2362</v>
      </c>
      <c r="B16" s="3826" t="s">
        <v>2363</v>
      </c>
      <c r="C16" s="3827"/>
      <c r="D16" s="2893">
        <f>D6*E16</f>
        <v>0</v>
      </c>
      <c r="E16" s="2894"/>
      <c r="F16" s="2879" t="s">
        <v>2364</v>
      </c>
      <c r="G16" s="2858"/>
      <c r="H16" s="2833"/>
      <c r="I16" s="2834"/>
      <c r="J16" s="3816"/>
      <c r="K16" s="3818"/>
      <c r="L16" s="2868" t="s">
        <v>2365</v>
      </c>
      <c r="M16" s="2869"/>
      <c r="N16" s="2869"/>
      <c r="O16" s="2870"/>
      <c r="P16" s="2871">
        <v>365</v>
      </c>
      <c r="Q16" s="2845"/>
      <c r="R16" s="2892">
        <f>ROUND(M16*N16*O16*P16/10000,0)</f>
        <v>0</v>
      </c>
      <c r="S16" s="2825"/>
      <c r="T16" s="2825"/>
      <c r="U16" s="2825"/>
      <c r="V16" s="2834"/>
    </row>
    <row r="17" spans="1:22" s="2838" customFormat="1" ht="13.35" customHeight="1" thickBot="1">
      <c r="A17" s="2895">
        <v>4</v>
      </c>
      <c r="B17" s="3828" t="s">
        <v>2366</v>
      </c>
      <c r="C17" s="3829"/>
      <c r="D17" s="2896">
        <f>ROUND(D6*E17,0)</f>
        <v>0</v>
      </c>
      <c r="E17" s="2897"/>
      <c r="F17" s="2898" t="s">
        <v>2367</v>
      </c>
      <c r="G17" s="2858"/>
      <c r="H17" s="2833"/>
      <c r="I17" s="2834"/>
      <c r="J17" s="3816"/>
      <c r="K17" s="3818"/>
      <c r="L17" s="2868" t="s">
        <v>2368</v>
      </c>
      <c r="M17" s="2869"/>
      <c r="N17" s="2869"/>
      <c r="O17" s="2870"/>
      <c r="P17" s="2871">
        <v>365</v>
      </c>
      <c r="Q17" s="2845"/>
      <c r="R17" s="2892">
        <f>ROUND(M17*N17*O17*P17/10000,0)</f>
        <v>0</v>
      </c>
      <c r="S17" s="2825"/>
      <c r="T17" s="2825"/>
      <c r="U17" s="2825"/>
      <c r="V17" s="2834"/>
    </row>
    <row r="18" spans="1:22" s="2838" customFormat="1" ht="13.35" customHeight="1" thickBot="1">
      <c r="A18" s="2861" t="s">
        <v>2369</v>
      </c>
      <c r="B18" s="2862"/>
      <c r="C18" s="2862"/>
      <c r="D18" s="2899">
        <f>ROUND(D6*E18,0)</f>
        <v>0</v>
      </c>
      <c r="E18" s="2900"/>
      <c r="F18" s="2901" t="s">
        <v>2370</v>
      </c>
      <c r="G18" s="2858"/>
      <c r="H18" s="2833"/>
      <c r="I18" s="2834"/>
      <c r="J18" s="3816"/>
      <c r="K18" s="3818"/>
      <c r="L18" s="2868" t="s">
        <v>2371</v>
      </c>
      <c r="M18" s="2869"/>
      <c r="N18" s="2869"/>
      <c r="O18" s="2870"/>
      <c r="P18" s="2871">
        <v>365</v>
      </c>
      <c r="Q18" s="2845"/>
      <c r="R18" s="2892">
        <f>ROUND(M18*N18*O18*P18/10000,0)</f>
        <v>0</v>
      </c>
      <c r="S18" s="2825"/>
      <c r="T18" s="2825"/>
      <c r="U18" s="2825"/>
      <c r="V18" s="2834"/>
    </row>
    <row r="19" spans="1:22" s="2838" customFormat="1" ht="13.35" customHeight="1" thickBot="1">
      <c r="A19" s="2902" t="s">
        <v>2372</v>
      </c>
      <c r="B19" s="2856"/>
      <c r="C19" s="2856"/>
      <c r="D19" s="2856"/>
      <c r="E19" s="2856"/>
      <c r="F19" s="2857"/>
      <c r="G19" s="2877"/>
      <c r="H19" s="2833"/>
      <c r="I19" s="2834"/>
      <c r="J19" s="3816"/>
      <c r="K19" s="3819"/>
      <c r="L19" s="2888" t="s">
        <v>2350</v>
      </c>
      <c r="M19" s="2889"/>
      <c r="N19" s="2889">
        <f>SUM(N16:N18)</f>
        <v>0</v>
      </c>
      <c r="O19" s="2890"/>
      <c r="P19" s="2903" t="s">
        <v>2438</v>
      </c>
      <c r="Q19" s="2870"/>
      <c r="R19" s="2904">
        <f>ROUND(IF(P19="按比例",R14*Q19,SUM(R16:R18)),0)</f>
        <v>0</v>
      </c>
      <c r="S19" s="2825"/>
      <c r="T19" s="2825"/>
      <c r="U19" s="2825"/>
      <c r="V19" s="2834"/>
    </row>
    <row r="20" spans="1:22" s="2838" customFormat="1" ht="13.35" customHeight="1">
      <c r="A20" s="2861"/>
      <c r="B20" s="2862"/>
      <c r="C20" s="2862"/>
      <c r="D20" s="2862"/>
      <c r="E20" s="2862"/>
      <c r="F20" s="2905"/>
      <c r="G20" s="2877"/>
      <c r="H20" s="2833"/>
      <c r="I20" s="2834"/>
      <c r="J20" s="3816">
        <v>3</v>
      </c>
      <c r="K20" s="3817" t="s">
        <v>2373</v>
      </c>
      <c r="L20" s="2868" t="s">
        <v>2374</v>
      </c>
      <c r="M20" s="2869" t="s">
        <v>2375</v>
      </c>
      <c r="N20" s="2906" t="s">
        <v>2376</v>
      </c>
      <c r="O20" s="2870" t="s">
        <v>2377</v>
      </c>
      <c r="P20" s="2871" t="s">
        <v>2378</v>
      </c>
      <c r="Q20" s="2845" t="s">
        <v>2379</v>
      </c>
      <c r="R20" s="2892" t="s">
        <v>2321</v>
      </c>
      <c r="S20" s="2825"/>
      <c r="T20" s="2825"/>
      <c r="U20" s="2825"/>
      <c r="V20" s="2834"/>
    </row>
    <row r="21" spans="1:22" s="2838" customFormat="1" ht="13.35" customHeight="1">
      <c r="A21" s="2861"/>
      <c r="B21" s="2862"/>
      <c r="C21" s="2907" t="s">
        <v>2380</v>
      </c>
      <c r="D21" s="2908" t="s">
        <v>2381</v>
      </c>
      <c r="E21" s="2909" t="s">
        <v>2382</v>
      </c>
      <c r="F21" s="2905"/>
      <c r="G21" s="2877"/>
      <c r="H21" s="2833"/>
      <c r="I21" s="2834"/>
      <c r="J21" s="3816"/>
      <c r="K21" s="3818"/>
      <c r="L21" s="2868" t="s">
        <v>2383</v>
      </c>
      <c r="M21" s="2869"/>
      <c r="N21" s="2869"/>
      <c r="O21" s="2870"/>
      <c r="P21" s="2871">
        <v>365</v>
      </c>
      <c r="Q21" s="2845"/>
      <c r="R21" s="2910">
        <f>ROUND(M21*N21*O21*P21/10000,0)</f>
        <v>0</v>
      </c>
      <c r="S21" s="2825"/>
      <c r="T21" s="2825"/>
      <c r="U21" s="2825"/>
      <c r="V21" s="2834"/>
    </row>
    <row r="22" spans="1:22" s="2838" customFormat="1" ht="13.35" customHeight="1">
      <c r="A22" s="2861"/>
      <c r="B22" s="2862"/>
      <c r="C22" s="2911" t="s">
        <v>2384</v>
      </c>
      <c r="D22" s="2912" t="s">
        <v>2385</v>
      </c>
      <c r="E22" s="2913" t="s">
        <v>2386</v>
      </c>
      <c r="F22" s="2905"/>
      <c r="G22" s="2825"/>
      <c r="H22" s="2833"/>
      <c r="I22" s="2834"/>
      <c r="J22" s="3816"/>
      <c r="K22" s="3818"/>
      <c r="L22" s="2868" t="s">
        <v>2387</v>
      </c>
      <c r="M22" s="2869"/>
      <c r="N22" s="2869"/>
      <c r="O22" s="2870"/>
      <c r="P22" s="2871">
        <v>365</v>
      </c>
      <c r="Q22" s="2845"/>
      <c r="R22" s="2910">
        <f>ROUND(M22*N22*O22*P22/10000,0)</f>
        <v>0</v>
      </c>
      <c r="S22" s="2825"/>
      <c r="T22" s="2825"/>
      <c r="U22" s="2825"/>
      <c r="V22" s="2834"/>
    </row>
    <row r="23" spans="1:22" s="2838" customFormat="1" ht="13.35" customHeight="1">
      <c r="A23" s="2914">
        <v>1</v>
      </c>
      <c r="B23" s="2915" t="s">
        <v>2388</v>
      </c>
      <c r="C23" s="2916">
        <f>D6</f>
        <v>0</v>
      </c>
      <c r="D23" s="2917">
        <f>C23*(1+D24)</f>
        <v>0</v>
      </c>
      <c r="E23" s="2918">
        <f>D23*(1+E24)</f>
        <v>0</v>
      </c>
      <c r="F23" s="2919"/>
      <c r="G23" s="2920"/>
      <c r="H23" s="2833"/>
      <c r="I23" s="2834"/>
      <c r="J23" s="3816"/>
      <c r="K23" s="3818"/>
      <c r="L23" s="2868" t="s">
        <v>2389</v>
      </c>
      <c r="M23" s="2869"/>
      <c r="N23" s="2869"/>
      <c r="O23" s="2870"/>
      <c r="P23" s="2871">
        <v>365</v>
      </c>
      <c r="Q23" s="2845"/>
      <c r="R23" s="2910">
        <f>ROUND(M23*N23*O23*P23/10000,0)</f>
        <v>0</v>
      </c>
      <c r="S23" s="2825"/>
      <c r="T23" s="2825"/>
      <c r="U23" s="2825"/>
      <c r="V23" s="2834"/>
    </row>
    <row r="24" spans="1:22" s="2838" customFormat="1" ht="13.35" customHeight="1">
      <c r="A24" s="2921"/>
      <c r="B24" s="2922" t="s">
        <v>2390</v>
      </c>
      <c r="C24" s="2923"/>
      <c r="D24" s="2924"/>
      <c r="E24" s="2925"/>
      <c r="F24" s="2926"/>
      <c r="G24" s="2920"/>
      <c r="H24" s="2833"/>
      <c r="I24" s="2834"/>
      <c r="J24" s="3816"/>
      <c r="K24" s="3819"/>
      <c r="L24" s="2888" t="s">
        <v>2350</v>
      </c>
      <c r="M24" s="2889">
        <f>SUM(M21:M23)</f>
        <v>0</v>
      </c>
      <c r="N24" s="2889"/>
      <c r="O24" s="2890"/>
      <c r="P24" s="2903" t="s">
        <v>2438</v>
      </c>
      <c r="Q24" s="2870"/>
      <c r="R24" s="2904">
        <f>ROUND(IF(P24="按比例",R14*Q24,SUM(R21:R23)),0)</f>
        <v>0</v>
      </c>
      <c r="S24" s="2825"/>
      <c r="T24" s="2825"/>
      <c r="U24" s="2825"/>
      <c r="V24" s="2834"/>
    </row>
    <row r="25" spans="1:22" s="2933" customFormat="1" ht="13.35" customHeight="1">
      <c r="A25" s="2921"/>
      <c r="B25" s="2922"/>
      <c r="C25" s="2923"/>
      <c r="D25" s="2924"/>
      <c r="E25" s="2925"/>
      <c r="F25" s="2926"/>
      <c r="G25" s="2825"/>
      <c r="H25" s="2833"/>
      <c r="I25" s="2834"/>
      <c r="J25" s="2927">
        <v>4</v>
      </c>
      <c r="K25" s="2928" t="s">
        <v>2391</v>
      </c>
      <c r="L25" s="2929"/>
      <c r="M25" s="2929"/>
      <c r="N25" s="2929"/>
      <c r="O25" s="2929"/>
      <c r="P25" s="2930"/>
      <c r="Q25" s="2931"/>
      <c r="R25" s="2904">
        <f>ROUND(R14*Q25,0)</f>
        <v>0</v>
      </c>
      <c r="S25" s="2825"/>
      <c r="T25" s="2825"/>
      <c r="U25" s="2825"/>
      <c r="V25" s="2932"/>
    </row>
    <row r="26" spans="1:22" s="2933" customFormat="1" ht="13.35" customHeight="1">
      <c r="A26" s="2914">
        <v>2</v>
      </c>
      <c r="B26" s="2915" t="s">
        <v>2392</v>
      </c>
      <c r="C26" s="2916">
        <f>D7</f>
        <v>0</v>
      </c>
      <c r="D26" s="2917">
        <f>D23*D27</f>
        <v>0</v>
      </c>
      <c r="E26" s="2918">
        <f>E23*E27</f>
        <v>0</v>
      </c>
      <c r="F26" s="2919"/>
      <c r="G26" s="2920"/>
      <c r="H26" s="2833"/>
      <c r="I26" s="2834"/>
      <c r="J26" s="3820">
        <v>5</v>
      </c>
      <c r="K26" s="2934" t="s">
        <v>2393</v>
      </c>
      <c r="L26" s="2935"/>
      <c r="M26" s="2936"/>
      <c r="N26" s="2937" t="s">
        <v>2394</v>
      </c>
      <c r="O26" s="2937" t="s">
        <v>2395</v>
      </c>
      <c r="P26" s="2938" t="s">
        <v>2396</v>
      </c>
      <c r="Q26" s="2938" t="s">
        <v>2397</v>
      </c>
      <c r="R26" s="2843" t="s">
        <v>2398</v>
      </c>
      <c r="S26" s="2877"/>
      <c r="T26" s="2877"/>
      <c r="U26" s="2877"/>
      <c r="V26" s="2932"/>
    </row>
    <row r="27" spans="1:22" s="2838" customFormat="1" ht="13.35" customHeight="1">
      <c r="A27" s="2921"/>
      <c r="B27" s="2922" t="s">
        <v>2399</v>
      </c>
      <c r="C27" s="2939" t="e">
        <f>E7</f>
        <v>#DIV/0!</v>
      </c>
      <c r="D27" s="2924"/>
      <c r="E27" s="2925"/>
      <c r="F27" s="2926"/>
      <c r="G27" s="2920"/>
      <c r="H27" s="2940"/>
      <c r="I27" s="2932"/>
      <c r="J27" s="3821"/>
      <c r="K27" s="2941"/>
      <c r="L27" s="2942"/>
      <c r="M27" s="2943"/>
      <c r="N27" s="2944"/>
      <c r="O27" s="2944"/>
      <c r="P27" s="2944"/>
      <c r="Q27" s="2945"/>
      <c r="R27" s="2904">
        <f>ROUND(O27*N27*P27*(1-Q27)/10000,0)</f>
        <v>0</v>
      </c>
      <c r="S27" s="2825"/>
      <c r="T27" s="2825"/>
      <c r="U27" s="2825"/>
      <c r="V27" s="2834"/>
    </row>
    <row r="28" spans="1:22" s="2933" customFormat="1" ht="13.35" customHeight="1" thickBot="1">
      <c r="A28" s="2921"/>
      <c r="B28" s="2922"/>
      <c r="C28" s="2939"/>
      <c r="D28" s="2924"/>
      <c r="E28" s="2925" t="s">
        <v>2400</v>
      </c>
      <c r="F28" s="2926"/>
      <c r="G28" s="2825"/>
      <c r="H28" s="2940"/>
      <c r="I28" s="2932"/>
      <c r="J28" s="2946">
        <v>6</v>
      </c>
      <c r="K28" s="2947" t="s">
        <v>2401</v>
      </c>
      <c r="L28" s="2948" t="s">
        <v>2402</v>
      </c>
      <c r="M28" s="2949"/>
      <c r="N28" s="2948" t="s">
        <v>2403</v>
      </c>
      <c r="O28" s="2950"/>
      <c r="P28" s="2948" t="s">
        <v>2404</v>
      </c>
      <c r="Q28" s="2951">
        <v>1.4999999999999999E-2</v>
      </c>
      <c r="R28" s="2952"/>
      <c r="S28" s="2825"/>
      <c r="T28" s="2825"/>
      <c r="U28" s="2825"/>
      <c r="V28" s="2932"/>
    </row>
    <row r="29" spans="1:22" s="2933" customFormat="1" ht="13.35" customHeight="1">
      <c r="A29" s="2914">
        <v>3</v>
      </c>
      <c r="B29" s="2915" t="s">
        <v>2405</v>
      </c>
      <c r="C29" s="2916">
        <f>C23*C30</f>
        <v>0</v>
      </c>
      <c r="D29" s="2917">
        <f>D23*C30</f>
        <v>0</v>
      </c>
      <c r="E29" s="2918">
        <f>E23*C30</f>
        <v>0</v>
      </c>
      <c r="F29" s="2919"/>
      <c r="G29" s="2920"/>
      <c r="H29" s="2833"/>
      <c r="I29" s="2834"/>
      <c r="J29" s="2825"/>
      <c r="K29" s="2825"/>
      <c r="L29" s="2825"/>
      <c r="M29" s="2825"/>
      <c r="N29" s="2825"/>
      <c r="O29" s="2825"/>
      <c r="P29" s="2825"/>
      <c r="Q29" s="2825"/>
      <c r="R29" s="2825"/>
      <c r="S29" s="2825"/>
      <c r="T29" s="2825"/>
      <c r="U29" s="2825"/>
      <c r="V29" s="2932"/>
    </row>
    <row r="30" spans="1:22" s="2838" customFormat="1" ht="13.35" customHeight="1" thickBot="1">
      <c r="A30" s="2921"/>
      <c r="B30" s="2922" t="s">
        <v>2406</v>
      </c>
      <c r="C30" s="2939">
        <f>E18</f>
        <v>0</v>
      </c>
      <c r="D30" s="2953"/>
      <c r="E30" s="2887"/>
      <c r="F30" s="2926"/>
      <c r="G30" s="2920"/>
      <c r="H30" s="2940"/>
      <c r="I30" s="2932"/>
      <c r="J30" s="2825"/>
      <c r="K30" s="2825"/>
      <c r="L30" s="2825"/>
      <c r="M30" s="2825"/>
      <c r="N30" s="2825"/>
      <c r="O30" s="2825"/>
      <c r="P30" s="2825"/>
      <c r="Q30" s="2825"/>
      <c r="R30" s="2825"/>
      <c r="S30" s="2825"/>
      <c r="T30" s="2825"/>
      <c r="U30" s="2825"/>
      <c r="V30" s="2834"/>
    </row>
    <row r="31" spans="1:22" s="2933" customFormat="1" ht="13.35" customHeight="1">
      <c r="A31" s="2921"/>
      <c r="B31" s="2922"/>
      <c r="C31" s="2954"/>
      <c r="D31" s="2953"/>
      <c r="E31" s="2887"/>
      <c r="F31" s="2926"/>
      <c r="G31" s="2825"/>
      <c r="H31" s="2940"/>
      <c r="I31" s="2932"/>
      <c r="J31" s="2822" t="s">
        <v>2407</v>
      </c>
      <c r="K31" s="2823"/>
      <c r="L31" s="2823"/>
      <c r="M31" s="2823"/>
      <c r="N31" s="2823"/>
      <c r="O31" s="2823"/>
      <c r="P31" s="2823"/>
      <c r="Q31" s="2823"/>
      <c r="R31" s="2824"/>
      <c r="S31" s="2825"/>
      <c r="T31" s="2825"/>
      <c r="U31" s="2825"/>
      <c r="V31" s="2932"/>
    </row>
    <row r="32" spans="1:22" s="2933" customFormat="1" ht="13.35" customHeight="1">
      <c r="A32" s="2914">
        <v>4</v>
      </c>
      <c r="B32" s="2915" t="s">
        <v>2408</v>
      </c>
      <c r="C32" s="2916">
        <f>C23-C26-C29</f>
        <v>0</v>
      </c>
      <c r="D32" s="2917">
        <f>D23-D26-D29</f>
        <v>0</v>
      </c>
      <c r="E32" s="2918">
        <f>E23-E26-E29</f>
        <v>0</v>
      </c>
      <c r="F32" s="2919"/>
      <c r="G32" s="2825"/>
      <c r="H32" s="2833"/>
      <c r="I32" s="2834"/>
      <c r="J32" s="3822" t="s">
        <v>2409</v>
      </c>
      <c r="K32" s="3823"/>
      <c r="L32" s="2835" t="s">
        <v>2410</v>
      </c>
      <c r="M32" s="2835" t="s">
        <v>2299</v>
      </c>
      <c r="N32" s="2835" t="s">
        <v>2300</v>
      </c>
      <c r="O32" s="2835" t="s">
        <v>2301</v>
      </c>
      <c r="P32" s="2835" t="s">
        <v>2302</v>
      </c>
      <c r="Q32" s="2836" t="s">
        <v>2411</v>
      </c>
      <c r="R32" s="2955" t="s">
        <v>2412</v>
      </c>
      <c r="S32" s="2825"/>
      <c r="T32" s="2825"/>
      <c r="U32" s="2825"/>
      <c r="V32" s="2932"/>
    </row>
    <row r="33" spans="1:23" s="2838" customFormat="1" ht="13.35" customHeight="1">
      <c r="A33" s="2914"/>
      <c r="B33" s="2915"/>
      <c r="C33" s="2916"/>
      <c r="D33" s="2956"/>
      <c r="E33" s="2957"/>
      <c r="F33" s="2919"/>
      <c r="G33" s="2825"/>
      <c r="H33" s="2940"/>
      <c r="I33" s="2932"/>
      <c r="J33" s="3824" t="s">
        <v>2413</v>
      </c>
      <c r="K33" s="3825"/>
      <c r="L33" s="2841"/>
      <c r="M33" s="2841"/>
      <c r="N33" s="2841"/>
      <c r="O33" s="2841"/>
      <c r="P33" s="2841"/>
      <c r="Q33" s="2842"/>
      <c r="R33" s="2958">
        <f>SUM(L33:Q33)</f>
        <v>0</v>
      </c>
      <c r="S33" s="2825"/>
      <c r="T33" s="2825"/>
      <c r="U33" s="2825"/>
      <c r="V33" s="2834"/>
    </row>
    <row r="34" spans="1:23" s="2838" customFormat="1" ht="13.35" customHeight="1">
      <c r="A34" s="2914">
        <v>5</v>
      </c>
      <c r="B34" s="2915" t="s">
        <v>2414</v>
      </c>
      <c r="C34" s="2959"/>
      <c r="D34" s="2960"/>
      <c r="E34" s="2961"/>
      <c r="F34" s="2919"/>
      <c r="G34" s="2825"/>
      <c r="H34" s="2940"/>
      <c r="I34" s="2932"/>
      <c r="J34" s="3824" t="s">
        <v>2415</v>
      </c>
      <c r="K34" s="3825"/>
      <c r="L34" s="2846"/>
      <c r="M34" s="2846"/>
      <c r="N34" s="2846"/>
      <c r="O34" s="2846"/>
      <c r="P34" s="2846"/>
      <c r="Q34" s="2847"/>
      <c r="R34" s="2962">
        <f>SUM(L34:Q34)</f>
        <v>0</v>
      </c>
      <c r="S34" s="2825"/>
      <c r="T34" s="2825"/>
      <c r="U34" s="2825" t="e">
        <f>ROUND(R35*10000/365/R33,1)</f>
        <v>#DIV/0!</v>
      </c>
      <c r="V34" s="2834"/>
    </row>
    <row r="35" spans="1:23" s="2838" customFormat="1" ht="13.35" customHeight="1">
      <c r="A35" s="2914">
        <v>6</v>
      </c>
      <c r="B35" s="2915" t="s">
        <v>2416</v>
      </c>
      <c r="C35" s="2963"/>
      <c r="D35" s="2964"/>
      <c r="E35" s="2965"/>
      <c r="F35" s="2919"/>
      <c r="G35" s="2966"/>
      <c r="H35" s="2833"/>
      <c r="I35" s="2932"/>
      <c r="J35" s="2852" t="s">
        <v>2417</v>
      </c>
      <c r="K35" s="2853"/>
      <c r="L35" s="2853"/>
      <c r="M35" s="2854"/>
      <c r="N35" s="2854"/>
      <c r="O35" s="2854"/>
      <c r="P35" s="2854"/>
      <c r="Q35" s="2854"/>
      <c r="R35" s="2967">
        <f>R40+R41+R43</f>
        <v>0</v>
      </c>
      <c r="S35" s="2825"/>
      <c r="T35" s="2825" t="s">
        <v>2418</v>
      </c>
      <c r="U35" s="2825"/>
      <c r="V35" s="2834"/>
    </row>
    <row r="36" spans="1:23" s="2838" customFormat="1" ht="13.35" customHeight="1" thickBot="1">
      <c r="A36" s="2914">
        <v>7</v>
      </c>
      <c r="B36" s="2968" t="s">
        <v>2419</v>
      </c>
      <c r="C36" s="2969"/>
      <c r="D36" s="2970"/>
      <c r="E36" s="2971"/>
      <c r="F36" s="2972">
        <f>C36+D36+E36</f>
        <v>0</v>
      </c>
      <c r="G36" s="2825"/>
      <c r="H36" s="2833"/>
      <c r="I36" s="2834"/>
      <c r="J36" s="3816">
        <v>1</v>
      </c>
      <c r="K36" s="3817" t="s">
        <v>2420</v>
      </c>
      <c r="L36" s="2859"/>
      <c r="M36" s="2860"/>
      <c r="N36" s="2860"/>
      <c r="O36" s="2860"/>
      <c r="P36" s="2860"/>
      <c r="Q36" s="2860"/>
      <c r="R36" s="2843" t="s">
        <v>2321</v>
      </c>
      <c r="S36" s="2825"/>
      <c r="T36" s="2825" t="s">
        <v>2322</v>
      </c>
      <c r="U36" s="2825"/>
      <c r="V36" s="2834"/>
    </row>
    <row r="37" spans="1:23" s="2838" customFormat="1" ht="13.35" customHeight="1">
      <c r="A37" s="2914"/>
      <c r="B37" s="2915"/>
      <c r="C37" s="2915"/>
      <c r="D37" s="2915"/>
      <c r="E37" s="2915"/>
      <c r="F37" s="2919"/>
      <c r="G37" s="2825"/>
      <c r="H37" s="2833"/>
      <c r="I37" s="2834"/>
      <c r="J37" s="3816"/>
      <c r="K37" s="3818"/>
      <c r="L37" s="2868"/>
      <c r="M37" s="2869"/>
      <c r="N37" s="2845"/>
      <c r="O37" s="2870"/>
      <c r="P37" s="2870"/>
      <c r="Q37" s="2871"/>
      <c r="R37" s="2872"/>
      <c r="S37" s="2825"/>
      <c r="T37" s="2825" t="s">
        <v>2325</v>
      </c>
      <c r="U37" s="2825"/>
      <c r="V37" s="2834"/>
    </row>
    <row r="38" spans="1:23" s="2838" customFormat="1" ht="13.35" customHeight="1">
      <c r="A38" s="2914">
        <v>8</v>
      </c>
      <c r="B38" s="2915"/>
      <c r="C38" s="2874" t="e">
        <f>ROUND(C32*(1-((1+C35)/(1+C34))^C36)/(C34-C35),0)</f>
        <v>#DIV/0!</v>
      </c>
      <c r="D38" s="2874">
        <f>IF(D23=0,0,ROUND(D32*(1-((1+D35)/(1+D34))^D36)/(D34-D35),0))</f>
        <v>0</v>
      </c>
      <c r="E38" s="2874">
        <f>IF(E23=0,0,ROUND(E32*(1-((1+E35)/(1+E34))^E36)/(E34-E35),0))</f>
        <v>0</v>
      </c>
      <c r="F38" s="2919"/>
      <c r="G38" s="2825"/>
      <c r="H38" s="2833"/>
      <c r="I38" s="2834"/>
      <c r="J38" s="3816"/>
      <c r="K38" s="3818"/>
      <c r="L38" s="2868"/>
      <c r="M38" s="2869"/>
      <c r="N38" s="2845"/>
      <c r="O38" s="2870"/>
      <c r="P38" s="2870"/>
      <c r="Q38" s="2871"/>
      <c r="R38" s="2872"/>
      <c r="S38" s="2825"/>
      <c r="T38" s="2825" t="s">
        <v>2332</v>
      </c>
      <c r="U38" s="2825"/>
      <c r="V38" s="2834"/>
    </row>
    <row r="39" spans="1:23" s="2838" customFormat="1" ht="13.35" customHeight="1">
      <c r="A39" s="2914">
        <v>9</v>
      </c>
      <c r="B39" s="2915" t="s">
        <v>2421</v>
      </c>
      <c r="C39" s="2882" t="e">
        <f>C38</f>
        <v>#DIV/0!</v>
      </c>
      <c r="D39" s="2915">
        <f>D38/(1+D34)^C36</f>
        <v>0</v>
      </c>
      <c r="E39" s="2915">
        <f>E38/(1+E34)^(C36+D36)</f>
        <v>0</v>
      </c>
      <c r="F39" s="2919"/>
      <c r="G39" s="2834"/>
      <c r="H39" s="2833"/>
      <c r="I39" s="2834"/>
      <c r="J39" s="3816"/>
      <c r="K39" s="3818"/>
      <c r="L39" s="2868"/>
      <c r="M39" s="2869"/>
      <c r="N39" s="2845"/>
      <c r="O39" s="2870"/>
      <c r="P39" s="2870"/>
      <c r="Q39" s="2871"/>
      <c r="R39" s="2872"/>
      <c r="S39" s="2825"/>
      <c r="T39" s="2825"/>
      <c r="U39" s="2825"/>
      <c r="V39" s="2834"/>
    </row>
    <row r="40" spans="1:23" s="2838" customFormat="1" ht="13.35" customHeight="1">
      <c r="A40" s="2973">
        <v>10</v>
      </c>
      <c r="B40" s="2915" t="s">
        <v>2422</v>
      </c>
      <c r="C40" s="2974" t="e">
        <f>C39+D39+E39</f>
        <v>#DIV/0!</v>
      </c>
      <c r="D40" s="2975"/>
      <c r="E40" s="2975"/>
      <c r="F40" s="2976"/>
      <c r="G40" s="2825"/>
      <c r="H40" s="2833"/>
      <c r="I40" s="2834"/>
      <c r="J40" s="3816"/>
      <c r="K40" s="3819"/>
      <c r="L40" s="2888" t="s">
        <v>2423</v>
      </c>
      <c r="M40" s="2889"/>
      <c r="N40" s="2889"/>
      <c r="O40" s="2890"/>
      <c r="P40" s="2890"/>
      <c r="Q40" s="2891"/>
      <c r="R40" s="2837">
        <f>SUM(R37:R39)</f>
        <v>0</v>
      </c>
      <c r="S40" s="2825"/>
      <c r="T40" s="2825"/>
      <c r="U40" s="2825"/>
      <c r="V40" s="2834"/>
    </row>
    <row r="41" spans="1:23" s="2838" customFormat="1" ht="13.35" customHeight="1" thickBot="1">
      <c r="A41" s="2977">
        <v>11</v>
      </c>
      <c r="B41" s="2978" t="s">
        <v>2424</v>
      </c>
      <c r="C41" s="2978" t="e">
        <f>ROUND(C40*10000/B4,0)</f>
        <v>#DIV/0!</v>
      </c>
      <c r="D41" s="2979"/>
      <c r="E41" s="2979"/>
      <c r="F41" s="2980"/>
      <c r="G41" s="2833"/>
      <c r="H41" s="2833"/>
      <c r="I41" s="2834"/>
      <c r="J41" s="2927">
        <v>2</v>
      </c>
      <c r="K41" s="2928" t="s">
        <v>2425</v>
      </c>
      <c r="L41" s="2929"/>
      <c r="M41" s="2929"/>
      <c r="N41" s="2929"/>
      <c r="O41" s="2929"/>
      <c r="P41" s="2930"/>
      <c r="Q41" s="2931"/>
      <c r="R41" s="2904">
        <f>ROUND(R40*Q41,0)</f>
        <v>0</v>
      </c>
      <c r="S41" s="2825"/>
      <c r="T41" s="2825"/>
      <c r="U41" s="2877"/>
      <c r="V41" s="2834"/>
    </row>
    <row r="42" spans="1:23" s="2838" customFormat="1" ht="13.35" customHeight="1">
      <c r="G42" s="2833"/>
      <c r="H42" s="2833"/>
      <c r="I42" s="2834"/>
      <c r="J42" s="3820">
        <v>3</v>
      </c>
      <c r="K42" s="2934" t="s">
        <v>2426</v>
      </c>
      <c r="L42" s="2935"/>
      <c r="M42" s="2936"/>
      <c r="N42" s="2937" t="s">
        <v>2427</v>
      </c>
      <c r="O42" s="2937" t="s">
        <v>2428</v>
      </c>
      <c r="P42" s="2938" t="s">
        <v>2429</v>
      </c>
      <c r="Q42" s="2938" t="s">
        <v>2430</v>
      </c>
      <c r="R42" s="2843" t="s">
        <v>2431</v>
      </c>
      <c r="S42" s="2877"/>
      <c r="T42" s="2877"/>
      <c r="U42" s="2825"/>
      <c r="V42" s="2834"/>
    </row>
    <row r="43" spans="1:23" ht="13.35" customHeight="1">
      <c r="A43" s="2838"/>
      <c r="B43" s="2838"/>
      <c r="C43" s="2838"/>
      <c r="D43" s="2838"/>
      <c r="E43" s="2838"/>
      <c r="F43" s="2838"/>
      <c r="I43" s="2820"/>
      <c r="J43" s="3821"/>
      <c r="K43" s="2941"/>
      <c r="L43" s="2942"/>
      <c r="M43" s="2943"/>
      <c r="N43" s="2869"/>
      <c r="O43" s="2869"/>
      <c r="P43" s="2869"/>
      <c r="Q43" s="2931"/>
      <c r="R43" s="2904">
        <f>ROUND(O43*N43*P43*(1-Q43)/10000,0)</f>
        <v>0</v>
      </c>
      <c r="S43" s="2825"/>
      <c r="T43" s="2825"/>
      <c r="V43" s="2981"/>
      <c r="W43" s="2982"/>
    </row>
    <row r="44" spans="1:23" ht="13.35" customHeight="1" thickBot="1">
      <c r="J44" s="2946">
        <v>6</v>
      </c>
      <c r="K44" s="2947" t="s">
        <v>2432</v>
      </c>
      <c r="L44" s="2983" t="s">
        <v>2433</v>
      </c>
      <c r="M44" s="2949"/>
      <c r="N44" s="2983" t="s">
        <v>2434</v>
      </c>
      <c r="O44" s="2949"/>
      <c r="P44" s="2983" t="s">
        <v>2435</v>
      </c>
      <c r="Q44" s="2951">
        <v>1.4999999999999999E-2</v>
      </c>
      <c r="R44" s="295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3"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pageSetUpPr fitToPage="1"/>
  </sheetPr>
  <dimension ref="A1:Y63"/>
  <sheetViews>
    <sheetView view="pageBreakPreview" topLeftCell="A13" zoomScale="130" zoomScaleNormal="80" zoomScaleSheetLayoutView="130" workbookViewId="0">
      <selection activeCell="C26" sqref="C26"/>
    </sheetView>
  </sheetViews>
  <sheetFormatPr defaultColWidth="8.375" defaultRowHeight="12.75"/>
  <cols>
    <col min="1" max="1" width="9.375" style="1784" customWidth="1"/>
    <col min="2" max="2" width="26.625" style="1785" customWidth="1"/>
    <col min="3" max="3" width="11.125" style="1785" customWidth="1"/>
    <col min="4" max="5" width="11.125" style="1786" customWidth="1"/>
    <col min="6" max="6" width="9.5" style="1785" customWidth="1"/>
    <col min="7" max="7" width="31.875" style="1785" customWidth="1"/>
    <col min="8" max="25" width="9" style="1787" customWidth="1"/>
    <col min="26" max="254" width="9" style="1785" customWidth="1"/>
    <col min="255" max="16384" width="8.375" style="1785"/>
  </cols>
  <sheetData>
    <row r="1" spans="1:25" s="1671" customFormat="1" ht="20.25">
      <c r="A1" s="391" t="s">
        <v>551</v>
      </c>
      <c r="B1" s="679"/>
      <c r="C1" s="1781"/>
      <c r="D1" s="1781"/>
      <c r="E1" s="1781"/>
      <c r="F1" s="1781"/>
      <c r="G1" s="1715"/>
    </row>
    <row r="2" spans="1:25" s="1671" customFormat="1" ht="18" customHeight="1">
      <c r="A2" s="393" t="s">
        <v>427</v>
      </c>
      <c r="B2" s="395">
        <f ca="1">C23</f>
        <v>11121</v>
      </c>
      <c r="C2" s="2767"/>
      <c r="D2" s="2767"/>
      <c r="E2" s="2767"/>
      <c r="F2" s="2767"/>
      <c r="G2" s="2767"/>
    </row>
    <row r="3" spans="1:25" s="1671" customFormat="1" ht="18" customHeight="1">
      <c r="A3" s="1169" t="s">
        <v>1218</v>
      </c>
      <c r="B3" s="395">
        <f ca="1">ROUND(B2*10000/'数据-汇总表'!E3,0)</f>
        <v>22211</v>
      </c>
      <c r="C3" s="2767"/>
      <c r="D3" s="2767"/>
      <c r="E3" s="2767"/>
      <c r="F3" s="2767"/>
      <c r="G3" s="2767"/>
    </row>
    <row r="4" spans="1:25" s="1671" customFormat="1" ht="18" customHeight="1">
      <c r="A4" s="396" t="s">
        <v>428</v>
      </c>
      <c r="B4" s="397">
        <f ca="1">ROUND(B2*10000/'数据-汇总表'!D3,0)</f>
        <v>6334</v>
      </c>
      <c r="C4" s="2727"/>
      <c r="D4" s="2767"/>
      <c r="E4" s="2767"/>
      <c r="F4" s="2767"/>
      <c r="G4" s="2767"/>
    </row>
    <row r="5" spans="1:25" s="1671" customFormat="1" ht="18" customHeight="1" thickBot="1">
      <c r="A5" s="399"/>
      <c r="B5" s="400">
        <f ca="1">ROUND(B2/('数据-汇总表'!D3/666.67),0)</f>
        <v>422</v>
      </c>
      <c r="C5" s="401" t="s">
        <v>429</v>
      </c>
      <c r="D5" s="2767"/>
      <c r="E5" s="2767"/>
      <c r="F5" s="2767"/>
      <c r="G5" s="2767"/>
    </row>
    <row r="6" spans="1:25" s="1782" customFormat="1" ht="13.5" customHeight="1">
      <c r="A6" s="680"/>
      <c r="B6" s="681" t="s">
        <v>552</v>
      </c>
      <c r="C6" s="682" t="s">
        <v>553</v>
      </c>
      <c r="D6" s="682" t="s">
        <v>554</v>
      </c>
      <c r="E6" s="683" t="s">
        <v>555</v>
      </c>
      <c r="F6" s="683" t="s">
        <v>556</v>
      </c>
      <c r="G6" s="2766" t="s">
        <v>2279</v>
      </c>
    </row>
    <row r="7" spans="1:25" s="1782" customFormat="1" ht="13.5" customHeight="1">
      <c r="A7" s="1980">
        <v>1</v>
      </c>
      <c r="B7" s="684" t="s">
        <v>557</v>
      </c>
      <c r="C7" s="685">
        <f>C8+C9</f>
        <v>8921</v>
      </c>
      <c r="D7" s="685"/>
      <c r="E7" s="686"/>
      <c r="F7" s="686"/>
      <c r="G7" s="1989" t="s">
        <v>3779</v>
      </c>
    </row>
    <row r="8" spans="1:25" s="1782" customFormat="1" ht="13.5" customHeight="1">
      <c r="A8" s="1980" t="s">
        <v>1783</v>
      </c>
      <c r="B8" s="1983" t="s">
        <v>1785</v>
      </c>
      <c r="C8" s="2770">
        <f>ROUND(D8*E8,0)</f>
        <v>8921</v>
      </c>
      <c r="D8" s="3477">
        <v>1</v>
      </c>
      <c r="E8" s="2771">
        <f>'比较法-工业（一级开发）'!C45</f>
        <v>8921</v>
      </c>
      <c r="F8" s="686"/>
      <c r="G8" s="687"/>
    </row>
    <row r="9" spans="1:25" s="1782" customFormat="1" ht="13.5" customHeight="1">
      <c r="A9" s="1980" t="s">
        <v>1784</v>
      </c>
      <c r="B9" s="1983" t="s">
        <v>1786</v>
      </c>
      <c r="C9" s="2770">
        <f>ROUND(D9*E9/10000,0)</f>
        <v>0</v>
      </c>
      <c r="D9" s="3477">
        <v>0</v>
      </c>
      <c r="E9" s="2771">
        <v>0</v>
      </c>
      <c r="F9" s="686"/>
      <c r="G9" s="687"/>
    </row>
    <row r="10" spans="1:25" s="1782" customFormat="1" ht="36">
      <c r="A10" s="1980">
        <v>2</v>
      </c>
      <c r="B10" s="684" t="s">
        <v>561</v>
      </c>
      <c r="C10" s="685">
        <f>C11+C14+C15</f>
        <v>70</v>
      </c>
      <c r="D10" s="3478"/>
      <c r="E10" s="685"/>
      <c r="F10" s="695"/>
      <c r="G10" s="693" t="s">
        <v>562</v>
      </c>
    </row>
    <row r="11" spans="1:25" s="1782" customFormat="1" ht="13.5" customHeight="1">
      <c r="A11" s="1980" t="s">
        <v>1783</v>
      </c>
      <c r="B11" s="688" t="s">
        <v>558</v>
      </c>
      <c r="C11" s="689">
        <f>'数据-取费表'!B29</f>
        <v>0</v>
      </c>
      <c r="D11" s="3479"/>
      <c r="E11" s="689"/>
      <c r="F11" s="690"/>
      <c r="G11" s="1988" t="s">
        <v>1794</v>
      </c>
    </row>
    <row r="12" spans="1:25" s="1782" customFormat="1" ht="13.5" customHeight="1">
      <c r="A12" s="1986" t="s">
        <v>1791</v>
      </c>
      <c r="B12" s="691" t="s">
        <v>559</v>
      </c>
      <c r="C12" s="692">
        <f>ROUND(D12*E12/10000,0)</f>
        <v>0</v>
      </c>
      <c r="D12" s="3477">
        <f>'数据-汇总表'!E5</f>
        <v>0</v>
      </c>
      <c r="E12" s="2770">
        <f>'数据-取费表'!B27</f>
        <v>0</v>
      </c>
      <c r="F12" s="690"/>
      <c r="G12" s="693"/>
    </row>
    <row r="13" spans="1:25" s="1782" customFormat="1" ht="13.5" customHeight="1">
      <c r="A13" s="1986" t="s">
        <v>1790</v>
      </c>
      <c r="B13" s="691" t="s">
        <v>560</v>
      </c>
      <c r="C13" s="692">
        <f>ROUND(D13*E13/10000,0)</f>
        <v>0</v>
      </c>
      <c r="D13" s="3477">
        <f>'数据-汇总表'!E6</f>
        <v>5006.88</v>
      </c>
      <c r="E13" s="2770">
        <f>'数据-取费表'!B28</f>
        <v>0</v>
      </c>
      <c r="F13" s="690"/>
      <c r="G13" s="693"/>
    </row>
    <row r="14" spans="1:25" s="1782" customFormat="1" ht="13.5" customHeight="1">
      <c r="A14" s="1980" t="s">
        <v>1784</v>
      </c>
      <c r="B14" s="1985" t="s">
        <v>1787</v>
      </c>
      <c r="C14" s="2772">
        <f>ROUND(D14*E14,0)</f>
        <v>70</v>
      </c>
      <c r="D14" s="3477">
        <f>D8</f>
        <v>1</v>
      </c>
      <c r="E14" s="2771">
        <f>(J15-J14)/M14</f>
        <v>70</v>
      </c>
      <c r="F14" s="1984"/>
      <c r="G14" s="1987" t="s">
        <v>1792</v>
      </c>
      <c r="H14" s="3476" t="s">
        <v>3781</v>
      </c>
      <c r="I14" s="3476" t="s">
        <v>3782</v>
      </c>
      <c r="J14" s="1782">
        <f>基准地价!H21+基准地价!I21+基准地价!K21+基准地价!L21+基准地价!O21</f>
        <v>210</v>
      </c>
      <c r="L14" s="3476" t="s">
        <v>3785</v>
      </c>
      <c r="M14" s="1782">
        <f>基准地价!C21</f>
        <v>1.5</v>
      </c>
    </row>
    <row r="15" spans="1:25" s="1782" customFormat="1" ht="13.5" customHeight="1">
      <c r="A15" s="1980" t="s">
        <v>1789</v>
      </c>
      <c r="B15" s="1985" t="s">
        <v>1788</v>
      </c>
      <c r="C15" s="2772">
        <f>ROUND(D15*E15/10000,0)</f>
        <v>0</v>
      </c>
      <c r="D15" s="3477">
        <v>0</v>
      </c>
      <c r="E15" s="2771">
        <v>0</v>
      </c>
      <c r="F15" s="1984"/>
      <c r="G15" s="1987" t="s">
        <v>1793</v>
      </c>
      <c r="H15" s="3476" t="s">
        <v>3783</v>
      </c>
      <c r="I15" s="3476" t="s">
        <v>3784</v>
      </c>
      <c r="J15" s="1782">
        <f>基准地价!G21</f>
        <v>315</v>
      </c>
    </row>
    <row r="16" spans="1:25" s="1783" customFormat="1" ht="48">
      <c r="A16" s="1980">
        <v>3</v>
      </c>
      <c r="B16" s="684" t="s">
        <v>563</v>
      </c>
      <c r="C16" s="2772">
        <f>ROUND(D16*E16/10000,0)</f>
        <v>0</v>
      </c>
      <c r="D16" s="3477">
        <v>0</v>
      </c>
      <c r="E16" s="2771">
        <v>0</v>
      </c>
      <c r="F16" s="695"/>
      <c r="G16" s="693" t="s">
        <v>1795</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5.5">
      <c r="A17" s="1981">
        <v>4</v>
      </c>
      <c r="B17" s="684" t="s">
        <v>564</v>
      </c>
      <c r="C17" s="2045">
        <f ca="1">ROUND(IF('数据-取费表'!B19&lt;=1,((C7+C16)*'数据-取费表'!B19+C10*'数据-取费表'!B19/2)*F17,((C7+C16)*(POWER((1+F17),'数据-取费表'!B19)-1)+C10*(POWER((1+F17),'数据-取费表'!B19/2)-1))),0)</f>
        <v>871</v>
      </c>
      <c r="D17" s="696"/>
      <c r="E17" s="697"/>
      <c r="F17" s="3488">
        <f ca="1">'数据-取费表'!B40</f>
        <v>4.7500000000000001E-2</v>
      </c>
      <c r="G17" s="698" t="str">
        <f>IF('数据-取费表'!B19&lt;=1,"((１＋３)×土地开发期+２×(土地开发期÷２))×利率","((１＋３)×((1+利率)^土地开发期-1)+２×((1+利率)^(土地开发期÷２)-1)")</f>
        <v>((１＋３)×((1+利率)^土地开发期-1)+２×((1+利率)^(土地开发期÷２)-1)</v>
      </c>
      <c r="H17" s="1991"/>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81">
        <v>5</v>
      </c>
      <c r="B18" s="684" t="s">
        <v>565</v>
      </c>
      <c r="C18" s="685">
        <f>ROUND((C7+C10+C16)*F18,0)</f>
        <v>1259</v>
      </c>
      <c r="D18" s="696"/>
      <c r="E18" s="697"/>
      <c r="F18" s="1141">
        <v>0.14000000000000001</v>
      </c>
      <c r="G18" s="698" t="s">
        <v>566</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80">
        <v>6</v>
      </c>
      <c r="B19" s="684" t="s">
        <v>567</v>
      </c>
      <c r="C19" s="685">
        <f ca="1">C7+C10+C16+C17+C18</f>
        <v>11121</v>
      </c>
      <c r="D19" s="694"/>
      <c r="E19" s="685"/>
      <c r="F19" s="695"/>
      <c r="G19" s="698" t="s">
        <v>568</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4.75">
      <c r="A20" s="1980">
        <v>7</v>
      </c>
      <c r="B20" s="684" t="s">
        <v>569</v>
      </c>
      <c r="C20" s="685">
        <f ca="1">ROUND(C19*F20,0)</f>
        <v>0</v>
      </c>
      <c r="D20" s="694"/>
      <c r="E20" s="685"/>
      <c r="F20" s="1141"/>
      <c r="G20" s="698" t="s">
        <v>570</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80">
        <v>8</v>
      </c>
      <c r="B21" s="684" t="s">
        <v>571</v>
      </c>
      <c r="C21" s="685">
        <f ca="1">C19+C20</f>
        <v>11121</v>
      </c>
      <c r="D21" s="694"/>
      <c r="E21" s="685"/>
      <c r="F21" s="695"/>
      <c r="G21" s="698" t="s">
        <v>572</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customHeight="1">
      <c r="A22" s="1980">
        <v>9</v>
      </c>
      <c r="B22" s="684" t="s">
        <v>573</v>
      </c>
      <c r="C22" s="685">
        <f ca="1">ROUND(C21*F22,0)</f>
        <v>11121</v>
      </c>
      <c r="D22" s="694"/>
      <c r="E22" s="685"/>
      <c r="F22" s="699">
        <f>'数据-取费表'!AP16</f>
        <v>1</v>
      </c>
      <c r="G22" s="698" t="s">
        <v>574</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35" customHeight="1" thickBot="1">
      <c r="A23" s="1982">
        <v>10</v>
      </c>
      <c r="B23" s="700" t="s">
        <v>575</v>
      </c>
      <c r="C23" s="701">
        <f ca="1">C22</f>
        <v>11121</v>
      </c>
      <c r="D23" s="702"/>
      <c r="E23" s="701"/>
      <c r="F23" s="703"/>
      <c r="G23" s="704"/>
      <c r="H23" s="1782"/>
      <c r="I23" s="1782"/>
      <c r="J23" s="1782"/>
      <c r="K23" s="1782"/>
      <c r="L23" s="1782"/>
      <c r="M23" s="1782"/>
      <c r="N23" s="1782"/>
      <c r="O23" s="1782"/>
      <c r="P23" s="1782"/>
      <c r="Q23" s="1782"/>
      <c r="R23" s="1782"/>
      <c r="S23" s="1782"/>
      <c r="T23" s="1782"/>
      <c r="U23" s="1782"/>
      <c r="V23" s="1782"/>
      <c r="W23" s="1782"/>
      <c r="X23" s="1782"/>
      <c r="Y23" s="1782"/>
    </row>
    <row r="24" spans="1:25" s="2769" customFormat="1">
      <c r="A24" s="2768"/>
      <c r="D24" s="1627"/>
      <c r="E24" s="1627"/>
    </row>
    <row r="25" spans="1:25" s="2769" customFormat="1">
      <c r="A25" s="1677">
        <v>7</v>
      </c>
      <c r="B25" s="3480" t="s">
        <v>3786</v>
      </c>
      <c r="C25" s="3481">
        <f>基准地价!C28</f>
        <v>1.0349999999999999</v>
      </c>
      <c r="D25" s="3482"/>
      <c r="E25" s="3482"/>
      <c r="F25" s="3481"/>
      <c r="G25" s="3481"/>
    </row>
    <row r="26" spans="1:25" s="2769" customFormat="1">
      <c r="A26" s="1677">
        <v>8</v>
      </c>
      <c r="B26" s="3480" t="s">
        <v>3299</v>
      </c>
      <c r="C26" s="3481">
        <f ca="1">ROUND(C19*C25,0)</f>
        <v>11510</v>
      </c>
      <c r="D26" s="3482">
        <f>'数据-汇总表'!D3</f>
        <v>17556.580000000002</v>
      </c>
      <c r="E26" s="3482">
        <f ca="1">ROUND(C26*D26,0)</f>
        <v>202076236</v>
      </c>
      <c r="F26" s="3481"/>
      <c r="G26" s="3481"/>
    </row>
    <row r="27" spans="1:25" s="2769" customFormat="1">
      <c r="A27" s="1697"/>
      <c r="B27" s="1787"/>
      <c r="C27" s="1787"/>
      <c r="D27" s="1830"/>
      <c r="E27" s="1830"/>
      <c r="F27" s="1787"/>
      <c r="G27" s="1787"/>
    </row>
    <row r="28" spans="1:25" s="2769" customFormat="1">
      <c r="A28" s="3483" t="s">
        <v>3787</v>
      </c>
      <c r="B28" s="3481"/>
      <c r="C28" s="3481"/>
      <c r="D28" s="3482"/>
      <c r="E28" s="3482"/>
      <c r="F28" s="3481"/>
      <c r="G28" s="3481"/>
    </row>
    <row r="29" spans="1:25" s="2769" customFormat="1">
      <c r="A29" s="3484" t="s">
        <v>3788</v>
      </c>
      <c r="B29" s="3485" t="s">
        <v>3789</v>
      </c>
      <c r="C29" s="3485" t="s">
        <v>3790</v>
      </c>
      <c r="D29" s="3486"/>
      <c r="E29" s="3486"/>
      <c r="F29" s="3485"/>
      <c r="G29" s="3485"/>
    </row>
    <row r="30" spans="1:25" s="2769" customFormat="1">
      <c r="A30" s="3484" t="s">
        <v>2064</v>
      </c>
      <c r="B30" s="3487">
        <v>4.3499999999999997E-2</v>
      </c>
      <c r="C30" s="3487">
        <v>4.7500000000000001E-2</v>
      </c>
      <c r="D30" s="3486"/>
      <c r="E30" s="3486"/>
      <c r="F30" s="3485"/>
      <c r="G30" s="3485"/>
    </row>
    <row r="31" spans="1:25" s="2769" customFormat="1">
      <c r="A31" s="1697"/>
      <c r="B31" s="1787"/>
      <c r="C31" s="1787"/>
      <c r="D31" s="1830"/>
      <c r="E31" s="1830"/>
      <c r="F31" s="1787"/>
      <c r="G31" s="1787"/>
    </row>
    <row r="32" spans="1:25" s="2769" customFormat="1">
      <c r="A32" s="3483" t="s">
        <v>3791</v>
      </c>
      <c r="B32" s="3481"/>
      <c r="C32" s="3481"/>
      <c r="D32" s="3482"/>
      <c r="E32" s="3482"/>
      <c r="F32" s="3481"/>
      <c r="G32" s="3481"/>
    </row>
    <row r="33" spans="1:7" s="2769" customFormat="1">
      <c r="A33" s="3484" t="s">
        <v>3788</v>
      </c>
      <c r="B33" s="3485" t="s">
        <v>3789</v>
      </c>
      <c r="C33" s="3485" t="s">
        <v>3792</v>
      </c>
      <c r="D33" s="3485" t="s">
        <v>3793</v>
      </c>
      <c r="E33" s="3486"/>
      <c r="F33" s="3485"/>
      <c r="G33" s="3485"/>
    </row>
    <row r="34" spans="1:7" s="2769" customFormat="1">
      <c r="A34" s="3484" t="s">
        <v>3794</v>
      </c>
      <c r="B34" s="3485" t="s">
        <v>3795</v>
      </c>
      <c r="C34" s="3485" t="s">
        <v>3796</v>
      </c>
      <c r="D34" s="3486" t="s">
        <v>3797</v>
      </c>
      <c r="E34" s="3486"/>
      <c r="F34" s="3485"/>
      <c r="G34" s="3485"/>
    </row>
    <row r="35" spans="1:7" s="2769" customFormat="1">
      <c r="A35" s="2768"/>
      <c r="D35" s="1627"/>
      <c r="E35" s="1627"/>
    </row>
    <row r="36" spans="1:7" s="2769" customFormat="1">
      <c r="A36" s="2768"/>
      <c r="D36" s="1627"/>
      <c r="E36" s="1627"/>
    </row>
    <row r="37" spans="1:7" s="2769" customFormat="1">
      <c r="A37" s="2768"/>
      <c r="D37" s="1627"/>
      <c r="E37" s="1627"/>
    </row>
    <row r="38" spans="1:7" s="2769" customFormat="1">
      <c r="A38" s="2768"/>
      <c r="D38" s="1627"/>
      <c r="E38" s="1627"/>
    </row>
    <row r="39" spans="1:7" s="2769" customFormat="1">
      <c r="A39" s="2768"/>
      <c r="D39" s="1627"/>
      <c r="E39" s="1627"/>
    </row>
    <row r="40" spans="1:7" s="2769" customFormat="1">
      <c r="A40" s="2768"/>
      <c r="D40" s="1627"/>
      <c r="E40" s="1627"/>
    </row>
    <row r="41" spans="1:7" s="2769" customFormat="1">
      <c r="A41" s="2768"/>
      <c r="D41" s="1627"/>
      <c r="E41" s="1627"/>
    </row>
    <row r="42" spans="1:7" s="2769" customFormat="1">
      <c r="A42" s="2768"/>
      <c r="D42" s="1627"/>
      <c r="E42" s="1627"/>
    </row>
    <row r="43" spans="1:7" s="2769" customFormat="1">
      <c r="A43" s="2768"/>
      <c r="D43" s="1627"/>
      <c r="E43" s="1627"/>
    </row>
    <row r="44" spans="1:7" s="2769" customFormat="1">
      <c r="A44" s="2768"/>
      <c r="D44" s="1627"/>
      <c r="E44" s="1627"/>
    </row>
    <row r="45" spans="1:7" s="2769" customFormat="1">
      <c r="A45" s="2768"/>
      <c r="D45" s="1627"/>
      <c r="E45" s="1627"/>
    </row>
    <row r="46" spans="1:7" s="2769" customFormat="1">
      <c r="A46" s="2768"/>
      <c r="D46" s="1627"/>
      <c r="E46" s="1627"/>
    </row>
    <row r="47" spans="1:7" s="2769" customFormat="1">
      <c r="A47" s="2768"/>
      <c r="D47" s="1627"/>
      <c r="E47" s="1627"/>
    </row>
    <row r="48" spans="1:7" s="2769" customFormat="1">
      <c r="A48" s="2768"/>
      <c r="D48" s="1627"/>
      <c r="E48" s="1627"/>
    </row>
    <row r="49" spans="1:5" s="2769" customFormat="1">
      <c r="A49" s="2768"/>
      <c r="D49" s="1627"/>
      <c r="E49" s="1627"/>
    </row>
    <row r="50" spans="1:5" s="2769" customFormat="1">
      <c r="A50" s="2768"/>
      <c r="D50" s="1627"/>
      <c r="E50" s="1627"/>
    </row>
    <row r="51" spans="1:5" s="2769" customFormat="1">
      <c r="A51" s="2768"/>
      <c r="D51" s="1627"/>
      <c r="E51" s="1627"/>
    </row>
    <row r="52" spans="1:5" s="2769" customFormat="1">
      <c r="A52" s="2768"/>
      <c r="D52" s="1627"/>
      <c r="E52" s="1627"/>
    </row>
    <row r="53" spans="1:5" s="2769" customFormat="1">
      <c r="A53" s="2768"/>
      <c r="D53" s="1627"/>
      <c r="E53" s="1627"/>
    </row>
    <row r="54" spans="1:5" s="2769" customFormat="1">
      <c r="A54" s="2768"/>
      <c r="D54" s="1627"/>
      <c r="E54" s="1627"/>
    </row>
    <row r="55" spans="1:5" s="2769" customFormat="1">
      <c r="A55" s="2768"/>
      <c r="D55" s="1627"/>
      <c r="E55" s="1627"/>
    </row>
    <row r="56" spans="1:5" s="2769" customFormat="1">
      <c r="A56" s="2768"/>
      <c r="D56" s="1627"/>
      <c r="E56" s="1627"/>
    </row>
    <row r="57" spans="1:5" s="2769" customFormat="1">
      <c r="A57" s="2768"/>
      <c r="D57" s="1627"/>
      <c r="E57" s="1627"/>
    </row>
    <row r="58" spans="1:5" s="2769" customFormat="1">
      <c r="A58" s="2768"/>
      <c r="D58" s="1627"/>
      <c r="E58" s="1627"/>
    </row>
    <row r="59" spans="1:5" s="2769" customFormat="1">
      <c r="A59" s="2768"/>
      <c r="D59" s="1627"/>
      <c r="E59" s="1627"/>
    </row>
    <row r="60" spans="1:5" s="2769" customFormat="1">
      <c r="A60" s="2768"/>
      <c r="D60" s="1627"/>
      <c r="E60" s="1627"/>
    </row>
    <row r="61" spans="1:5" s="2769" customFormat="1">
      <c r="A61" s="2768"/>
      <c r="D61" s="1627"/>
      <c r="E61" s="1627"/>
    </row>
    <row r="62" spans="1:5" s="2769" customFormat="1">
      <c r="A62" s="2768"/>
      <c r="D62" s="1627"/>
      <c r="E62" s="1627"/>
    </row>
    <row r="63" spans="1:5" s="2769" customFormat="1">
      <c r="A63" s="2768"/>
      <c r="D63" s="1627"/>
      <c r="E63" s="1627"/>
    </row>
  </sheetData>
  <sheetProtection algorithmName="SHA-512" hashValue="j2OIyUAvk5ln2xxpf0amxhnARxQAODfPXTwmdZNQhVnSaeQauwDP3j5wRnpSaqY/Wx210md1/p+Zg5m8D3jnuw==" saltValue="Gdry7u1dKOhIjuitOt2tzg=="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261"/>
  <sheetViews>
    <sheetView view="pageBreakPreview" topLeftCell="A22" zoomScaleNormal="50" zoomScaleSheetLayoutView="100" workbookViewId="0">
      <selection activeCell="H51" sqref="H51"/>
    </sheetView>
  </sheetViews>
  <sheetFormatPr defaultColWidth="9" defaultRowHeight="14.25"/>
  <cols>
    <col min="1" max="1" width="13.37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465</v>
      </c>
      <c r="B1" s="454"/>
      <c r="C1" s="455" t="s">
        <v>545</v>
      </c>
      <c r="D1" s="456" t="s">
        <v>467</v>
      </c>
      <c r="E1" s="674"/>
      <c r="F1" s="675"/>
      <c r="G1" s="674"/>
      <c r="H1" s="674"/>
      <c r="I1" s="674"/>
      <c r="J1" s="674"/>
      <c r="K1" s="676"/>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459">
        <f>F62</f>
        <v>15662</v>
      </c>
      <c r="C2" s="2728"/>
      <c r="D2" s="2728"/>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70" t="s">
        <v>1217</v>
      </c>
      <c r="B3" s="461">
        <f>ROUND(B2*10000/'数据-汇总表'!E3,0)</f>
        <v>31281</v>
      </c>
      <c r="C3" s="2727"/>
      <c r="D3" s="2727"/>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1673"/>
      <c r="AC3" s="1673"/>
    </row>
    <row r="4" spans="1:29" s="1129" customFormat="1" ht="28.5" customHeight="1">
      <c r="A4" s="462" t="s">
        <v>469</v>
      </c>
      <c r="B4" s="397">
        <f>IF(B43="单位面积地价",C45,ROUND(B2*10000/'数据-汇总表'!D3,0))</f>
        <v>8921</v>
      </c>
      <c r="C4" s="2727"/>
      <c r="D4" s="2727"/>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9"/>
      <c r="B5" s="400">
        <f>ROUND(B2/('数据-汇总表'!D3/666.67),0)</f>
        <v>595</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2719"/>
      <c r="AC5" s="1673"/>
    </row>
    <row r="6" spans="1:29" ht="15">
      <c r="A6" s="463" t="s">
        <v>470</v>
      </c>
      <c r="B6" s="464"/>
      <c r="C6" s="3732" t="s">
        <v>471</v>
      </c>
      <c r="D6" s="3733"/>
      <c r="E6" s="3769" t="s">
        <v>472</v>
      </c>
      <c r="F6" s="3770"/>
      <c r="G6" s="3732" t="s">
        <v>473</v>
      </c>
      <c r="H6" s="3733"/>
      <c r="I6" s="3732" t="s">
        <v>474</v>
      </c>
      <c r="J6" s="3733"/>
      <c r="K6" s="465" t="s">
        <v>475</v>
      </c>
      <c r="L6" s="1740"/>
      <c r="M6" s="1741"/>
      <c r="N6" s="1741"/>
      <c r="O6" s="1741"/>
      <c r="P6" s="3734" t="s">
        <v>476</v>
      </c>
      <c r="Q6" s="3735"/>
      <c r="R6" s="3718" t="s">
        <v>472</v>
      </c>
      <c r="S6" s="3719"/>
      <c r="T6" s="3718" t="s">
        <v>473</v>
      </c>
      <c r="U6" s="3719"/>
      <c r="V6" s="3740" t="s">
        <v>474</v>
      </c>
      <c r="W6" s="3740"/>
      <c r="X6" s="1301"/>
      <c r="Y6" s="3718" t="s">
        <v>476</v>
      </c>
      <c r="Z6" s="3719"/>
      <c r="AA6" s="3713" t="s">
        <v>472</v>
      </c>
      <c r="AB6" s="3714" t="s">
        <v>473</v>
      </c>
      <c r="AC6" s="3713" t="s">
        <v>474</v>
      </c>
    </row>
    <row r="7" spans="1:29" ht="15">
      <c r="A7" s="466"/>
      <c r="B7" s="467"/>
      <c r="C7" s="3743" t="s">
        <v>2186</v>
      </c>
      <c r="D7" s="3744"/>
      <c r="E7" s="3771" t="str">
        <f>土地一级开发案例!E4</f>
        <v>丰台区城乡一体化周庄子村旧村改造项目二期ZZZ-06等地块</v>
      </c>
      <c r="F7" s="3772"/>
      <c r="G7" s="3743" t="str">
        <f>土地一级开发案例!E3</f>
        <v>丰台区万泉寺住宅小区一级开发项目A地块</v>
      </c>
      <c r="H7" s="3744"/>
      <c r="I7" s="3743" t="str">
        <f>土地一级开发案例!E8</f>
        <v>丰台区张家坟棚户区改造土地开发项目</v>
      </c>
      <c r="J7" s="3744"/>
      <c r="K7" s="465"/>
      <c r="L7" s="1740"/>
      <c r="M7" s="1741"/>
      <c r="N7" s="1741"/>
      <c r="O7" s="1741"/>
      <c r="P7" s="3736"/>
      <c r="Q7" s="3737"/>
      <c r="R7" s="3720"/>
      <c r="S7" s="3721"/>
      <c r="T7" s="3720"/>
      <c r="U7" s="3721"/>
      <c r="V7" s="3740"/>
      <c r="W7" s="3740"/>
      <c r="X7" s="1301"/>
      <c r="Y7" s="3720"/>
      <c r="Z7" s="3721"/>
      <c r="AA7" s="3714"/>
      <c r="AB7" s="3714"/>
      <c r="AC7" s="3714"/>
    </row>
    <row r="8" spans="1:29" ht="15.75" thickBot="1">
      <c r="A8" s="468"/>
      <c r="B8" s="469"/>
      <c r="C8" s="3741" t="s">
        <v>2190</v>
      </c>
      <c r="D8" s="3742"/>
      <c r="E8" s="3773" t="s">
        <v>2190</v>
      </c>
      <c r="F8" s="3774"/>
      <c r="G8" s="3741" t="s">
        <v>2190</v>
      </c>
      <c r="H8" s="3742"/>
      <c r="I8" s="3741" t="s">
        <v>2190</v>
      </c>
      <c r="J8" s="3742"/>
      <c r="K8" s="465" t="s">
        <v>477</v>
      </c>
      <c r="L8" s="1740"/>
      <c r="M8" s="1741"/>
      <c r="N8" s="1741"/>
      <c r="O8" s="1741"/>
      <c r="P8" s="3738"/>
      <c r="Q8" s="3739"/>
      <c r="R8" s="3720"/>
      <c r="S8" s="3721"/>
      <c r="T8" s="3722"/>
      <c r="U8" s="3723"/>
      <c r="V8" s="3740"/>
      <c r="W8" s="3740"/>
      <c r="X8" s="1301"/>
      <c r="Y8" s="3722"/>
      <c r="Z8" s="3723"/>
      <c r="AA8" s="3715"/>
      <c r="AB8" s="3715"/>
      <c r="AC8" s="3715"/>
    </row>
    <row r="9" spans="1:29" s="1058" customFormat="1" ht="15.75" thickBot="1">
      <c r="A9" s="2208"/>
      <c r="B9" s="2215" t="s">
        <v>478</v>
      </c>
      <c r="C9" s="470">
        <f>'数据-取费表'!B2</f>
        <v>45196</v>
      </c>
      <c r="D9" s="471">
        <v>100</v>
      </c>
      <c r="E9" s="472">
        <v>44378</v>
      </c>
      <c r="F9" s="473">
        <f>SUMIF(66:66,YEAR(E9)&amp;"-"&amp;INT((MONTH(E9)+2)/3),67:67)</f>
        <v>100</v>
      </c>
      <c r="G9" s="474">
        <f>'通兴房顺昌门出让-工业'!AC14</f>
        <v>44642.0004976852</v>
      </c>
      <c r="H9" s="471">
        <f>SUMIF(66:66,YEAR(G9)&amp;"-"&amp;INT((MONTH(G9)+2)/3),67:67)</f>
        <v>100</v>
      </c>
      <c r="I9" s="474">
        <v>44075</v>
      </c>
      <c r="J9" s="471">
        <f>SUMIF(66:66,YEAR(I9)&amp;"-"&amp;INT((MONTH(I9)+2)/3),67:67)</f>
        <v>100</v>
      </c>
      <c r="K9" s="88"/>
      <c r="L9" s="1742"/>
      <c r="M9" s="1639"/>
      <c r="N9" s="1639"/>
      <c r="O9" s="1639"/>
      <c r="P9" s="3716" t="s">
        <v>479</v>
      </c>
      <c r="Q9" s="3725"/>
      <c r="R9" s="1302" t="s">
        <v>5</v>
      </c>
      <c r="S9" s="1303">
        <f t="shared" ref="S9:S17" si="0">F9</f>
        <v>100</v>
      </c>
      <c r="T9" s="1302" t="s">
        <v>5</v>
      </c>
      <c r="U9" s="1303">
        <f t="shared" ref="U9:U17" si="1">H9</f>
        <v>100</v>
      </c>
      <c r="V9" s="1302" t="s">
        <v>5</v>
      </c>
      <c r="W9" s="1303">
        <f t="shared" ref="W9:W17" si="2">J9</f>
        <v>100</v>
      </c>
      <c r="X9" s="1304"/>
      <c r="Y9" s="3716" t="s">
        <v>479</v>
      </c>
      <c r="Z9" s="3717"/>
      <c r="AA9" s="995">
        <f>D9/F9</f>
        <v>1</v>
      </c>
      <c r="AB9" s="995">
        <f>D9/H9</f>
        <v>1</v>
      </c>
      <c r="AC9" s="995">
        <f>D9/J9</f>
        <v>1</v>
      </c>
    </row>
    <row r="10" spans="1:29" s="1058" customFormat="1" ht="15.75" thickBot="1">
      <c r="A10" s="2209"/>
      <c r="B10" s="2216" t="s">
        <v>480</v>
      </c>
      <c r="C10" s="475" t="s">
        <v>481</v>
      </c>
      <c r="D10" s="471">
        <v>100</v>
      </c>
      <c r="E10" s="475" t="s">
        <v>3776</v>
      </c>
      <c r="F10" s="473">
        <f>SUMIF(69:69,E10,70:70)-SUMIF(69:69,C10,70:70)+100</f>
        <v>100</v>
      </c>
      <c r="G10" s="475" t="s">
        <v>3776</v>
      </c>
      <c r="H10" s="471">
        <f>SUMIF(69:69,G10,70:70)-SUMIF(69:69,C10,70:70)+100</f>
        <v>100</v>
      </c>
      <c r="I10" s="475" t="s">
        <v>3776</v>
      </c>
      <c r="J10" s="471">
        <f>SUMIF(69:69,I10,70:70)-SUMIF(69:69,C10,70:70)+100</f>
        <v>100</v>
      </c>
      <c r="K10" s="88"/>
      <c r="L10" s="1742"/>
      <c r="M10" s="1639"/>
      <c r="N10" s="1639"/>
      <c r="O10" s="1639"/>
      <c r="P10" s="3716" t="s">
        <v>482</v>
      </c>
      <c r="Q10" s="3717"/>
      <c r="R10" s="1302" t="s">
        <v>5</v>
      </c>
      <c r="S10" s="1303">
        <f t="shared" si="0"/>
        <v>100</v>
      </c>
      <c r="T10" s="1302" t="s">
        <v>5</v>
      </c>
      <c r="U10" s="1303">
        <f t="shared" si="1"/>
        <v>100</v>
      </c>
      <c r="V10" s="1302" t="s">
        <v>5</v>
      </c>
      <c r="W10" s="1303">
        <f t="shared" si="2"/>
        <v>100</v>
      </c>
      <c r="X10" s="1304"/>
      <c r="Y10" s="3716" t="s">
        <v>482</v>
      </c>
      <c r="Z10" s="3717"/>
      <c r="AA10" s="995">
        <f t="shared" ref="AA10:AA42" si="3">D10/F10</f>
        <v>1</v>
      </c>
      <c r="AB10" s="995">
        <f t="shared" ref="AB10:AB42" si="4">D10/H10</f>
        <v>1</v>
      </c>
      <c r="AC10" s="995">
        <f t="shared" ref="AC10:AC42" si="5">D10/J10</f>
        <v>1</v>
      </c>
    </row>
    <row r="11" spans="1:29" s="1058" customFormat="1" ht="15">
      <c r="A11" s="2210"/>
      <c r="B11" s="2217" t="s">
        <v>2035</v>
      </c>
      <c r="C11" s="476"/>
      <c r="D11" s="154">
        <v>100</v>
      </c>
      <c r="E11" s="476"/>
      <c r="F11" s="154">
        <f>SUMIF(71:71,E11,72:72)-SUMIF(71:71,C11,72:72)+100</f>
        <v>100</v>
      </c>
      <c r="G11" s="476"/>
      <c r="H11" s="154">
        <f>SUMIF(71:71,G11,72:72)-SUMIF(71:71,C11,72:72)+100</f>
        <v>100</v>
      </c>
      <c r="I11" s="476"/>
      <c r="J11" s="154">
        <f>SUMIF(71:71,I11,72:72)-SUMIF(71:71,C11,72:72)+100</f>
        <v>100</v>
      </c>
      <c r="K11" s="88"/>
      <c r="L11" s="1742"/>
      <c r="M11" s="1639"/>
      <c r="N11" s="1639"/>
      <c r="O11" s="1743"/>
      <c r="P11" s="3724" t="s">
        <v>484</v>
      </c>
      <c r="Q11" s="816" t="str">
        <f t="shared" ref="Q11:Q17" si="6">B11</f>
        <v>用途</v>
      </c>
      <c r="R11" s="1302" t="s">
        <v>5</v>
      </c>
      <c r="S11" s="1303">
        <f t="shared" si="0"/>
        <v>100</v>
      </c>
      <c r="T11" s="1302" t="s">
        <v>5</v>
      </c>
      <c r="U11" s="1303">
        <f t="shared" si="1"/>
        <v>100</v>
      </c>
      <c r="V11" s="1302" t="s">
        <v>5</v>
      </c>
      <c r="W11" s="1303">
        <f t="shared" si="2"/>
        <v>100</v>
      </c>
      <c r="X11" s="1304"/>
      <c r="Y11" s="3672" t="s">
        <v>485</v>
      </c>
      <c r="Z11" s="995" t="str">
        <f t="shared" ref="Z11:Z17" si="7">Q11</f>
        <v>用途</v>
      </c>
      <c r="AA11" s="995">
        <f t="shared" si="3"/>
        <v>1</v>
      </c>
      <c r="AB11" s="995">
        <f t="shared" si="4"/>
        <v>1</v>
      </c>
      <c r="AC11" s="995">
        <f t="shared" si="5"/>
        <v>1</v>
      </c>
    </row>
    <row r="12" spans="1:29" s="1131" customFormat="1" ht="27">
      <c r="A12" s="2211"/>
      <c r="B12" s="2216" t="s">
        <v>2036</v>
      </c>
      <c r="C12" s="478"/>
      <c r="D12" s="235">
        <v>100</v>
      </c>
      <c r="E12" s="478"/>
      <c r="F12" s="235">
        <f>ROUND(100/'数据-取费表'!G16,0)</f>
        <v>100</v>
      </c>
      <c r="G12" s="478"/>
      <c r="H12" s="235">
        <f>ROUND(100/'数据-取费表'!G16,0)</f>
        <v>100</v>
      </c>
      <c r="I12" s="478"/>
      <c r="J12" s="235">
        <f>ROUND(100/'数据-取费表'!G16,0)</f>
        <v>100</v>
      </c>
      <c r="K12" s="481"/>
      <c r="L12" s="1744"/>
      <c r="M12" s="1777"/>
      <c r="N12" s="1777"/>
      <c r="O12" s="1745"/>
      <c r="P12" s="3724"/>
      <c r="Q12" s="816" t="str">
        <f t="shared" si="6"/>
        <v>土地使用年限（年）</v>
      </c>
      <c r="R12" s="1302" t="s">
        <v>5</v>
      </c>
      <c r="S12" s="1303">
        <f t="shared" si="0"/>
        <v>100</v>
      </c>
      <c r="T12" s="1302" t="s">
        <v>5</v>
      </c>
      <c r="U12" s="1303">
        <f t="shared" si="1"/>
        <v>100</v>
      </c>
      <c r="V12" s="1302" t="s">
        <v>5</v>
      </c>
      <c r="W12" s="1303">
        <f t="shared" si="2"/>
        <v>100</v>
      </c>
      <c r="X12" s="1304"/>
      <c r="Y12" s="3672"/>
      <c r="Z12" s="995" t="str">
        <f t="shared" si="7"/>
        <v>土地使用年限（年）</v>
      </c>
      <c r="AA12" s="995">
        <f t="shared" si="3"/>
        <v>1</v>
      </c>
      <c r="AB12" s="995">
        <f t="shared" si="4"/>
        <v>1</v>
      </c>
      <c r="AC12" s="995">
        <f t="shared" si="5"/>
        <v>1</v>
      </c>
    </row>
    <row r="13" spans="1:29" ht="15">
      <c r="A13" s="2212"/>
      <c r="B13" s="2216" t="s">
        <v>2037</v>
      </c>
      <c r="C13" s="483"/>
      <c r="D13" s="235">
        <v>100</v>
      </c>
      <c r="E13" s="483"/>
      <c r="F13" s="235">
        <f>LOOKUP(E13,76:76,77:77)-LOOKUP(C13,76:76,77:77)+100</f>
        <v>100</v>
      </c>
      <c r="G13" s="484"/>
      <c r="H13" s="235">
        <f>LOOKUP(G13,76:76,77:77)-LOOKUP(C13,76:76,77:77)+100</f>
        <v>100</v>
      </c>
      <c r="I13" s="483"/>
      <c r="J13" s="235">
        <f>LOOKUP(I13,76:76,77:77)-LOOKUP(C13,76:76,77:77)+100</f>
        <v>100</v>
      </c>
      <c r="K13" s="485"/>
      <c r="L13" s="1746"/>
      <c r="M13" s="1741"/>
      <c r="N13" s="1741"/>
      <c r="O13" s="1747"/>
      <c r="P13" s="3724"/>
      <c r="Q13" s="816" t="str">
        <f t="shared" si="6"/>
        <v>容积率</v>
      </c>
      <c r="R13" s="1302" t="s">
        <v>5</v>
      </c>
      <c r="S13" s="1303">
        <f t="shared" si="0"/>
        <v>100</v>
      </c>
      <c r="T13" s="1302" t="s">
        <v>5</v>
      </c>
      <c r="U13" s="1303">
        <f t="shared" si="1"/>
        <v>100</v>
      </c>
      <c r="V13" s="1302" t="s">
        <v>5</v>
      </c>
      <c r="W13" s="1303">
        <f t="shared" si="2"/>
        <v>100</v>
      </c>
      <c r="X13" s="1304"/>
      <c r="Y13" s="3672"/>
      <c r="Z13" s="995" t="str">
        <f t="shared" si="7"/>
        <v>容积率</v>
      </c>
      <c r="AA13" s="995">
        <f t="shared" si="3"/>
        <v>1</v>
      </c>
      <c r="AB13" s="995">
        <f t="shared" si="4"/>
        <v>1</v>
      </c>
      <c r="AC13" s="995">
        <f t="shared" si="5"/>
        <v>1</v>
      </c>
    </row>
    <row r="14" spans="1:29" s="1058" customFormat="1" ht="15">
      <c r="A14" s="2213"/>
      <c r="B14" s="2219"/>
      <c r="C14" s="478"/>
      <c r="D14" s="488">
        <v>100</v>
      </c>
      <c r="E14" s="491"/>
      <c r="F14" s="235">
        <f>SUMIF(78:78,E14,79:79)-SUMIF(78:78,C14,79:79)+100</f>
        <v>100</v>
      </c>
      <c r="G14" s="492"/>
      <c r="H14" s="235">
        <f>SUMIF(78:78,G14,79:79)-SUMIF(78:78,C14,79:79)+100</f>
        <v>100</v>
      </c>
      <c r="I14" s="491"/>
      <c r="J14" s="235">
        <f>SUMIF(78:78,I14,79:79)-SUMIF(78:78,C14,79:79)+100</f>
        <v>100</v>
      </c>
      <c r="K14" s="481"/>
      <c r="L14" s="1742"/>
      <c r="M14" s="1639"/>
      <c r="N14" s="1639"/>
      <c r="O14" s="1743"/>
      <c r="P14" s="3724"/>
      <c r="Q14" s="816">
        <f t="shared" si="6"/>
        <v>0</v>
      </c>
      <c r="R14" s="1302" t="s">
        <v>5</v>
      </c>
      <c r="S14" s="1303">
        <f t="shared" si="0"/>
        <v>100</v>
      </c>
      <c r="T14" s="1302" t="s">
        <v>5</v>
      </c>
      <c r="U14" s="1303">
        <f t="shared" si="1"/>
        <v>100</v>
      </c>
      <c r="V14" s="1302" t="s">
        <v>5</v>
      </c>
      <c r="W14" s="1303">
        <f t="shared" si="2"/>
        <v>100</v>
      </c>
      <c r="X14" s="1304"/>
      <c r="Y14" s="3672"/>
      <c r="Z14" s="995">
        <f t="shared" si="7"/>
        <v>0</v>
      </c>
      <c r="AA14" s="995">
        <f>D14/F14</f>
        <v>1</v>
      </c>
      <c r="AB14" s="995">
        <f>D14/H14</f>
        <v>1</v>
      </c>
      <c r="AC14" s="995">
        <f>D14/J14</f>
        <v>1</v>
      </c>
    </row>
    <row r="15" spans="1:29" ht="15">
      <c r="A15" s="2213"/>
      <c r="B15" s="2219"/>
      <c r="C15" s="489"/>
      <c r="D15" s="490">
        <v>100</v>
      </c>
      <c r="E15" s="491"/>
      <c r="F15" s="235">
        <f>SUMIF(80:80,E15,81:81)-SUMIF(80:80,C15,81:81)+100</f>
        <v>100</v>
      </c>
      <c r="G15" s="492"/>
      <c r="H15" s="490">
        <f>SUMIF(80:80,G15,81:81)-SUMIF(80:80,C15,81:81)+100</f>
        <v>100</v>
      </c>
      <c r="I15" s="491"/>
      <c r="J15" s="490">
        <f>SUMIF(80:80,I15,81:81)-SUMIF(80:80,C15,81:81)+100</f>
        <v>100</v>
      </c>
      <c r="K15" s="481"/>
      <c r="L15" s="1748"/>
      <c r="M15" s="1741"/>
      <c r="N15" s="1741"/>
      <c r="O15" s="1747"/>
      <c r="P15" s="3724"/>
      <c r="Q15" s="816">
        <f t="shared" si="6"/>
        <v>0</v>
      </c>
      <c r="R15" s="1302" t="s">
        <v>5</v>
      </c>
      <c r="S15" s="1303">
        <f t="shared" si="0"/>
        <v>100</v>
      </c>
      <c r="T15" s="1302" t="s">
        <v>5</v>
      </c>
      <c r="U15" s="1303">
        <f t="shared" si="1"/>
        <v>100</v>
      </c>
      <c r="V15" s="1302" t="s">
        <v>5</v>
      </c>
      <c r="W15" s="1303">
        <f t="shared" si="2"/>
        <v>100</v>
      </c>
      <c r="X15" s="1304"/>
      <c r="Y15" s="3672"/>
      <c r="Z15" s="995">
        <f t="shared" si="7"/>
        <v>0</v>
      </c>
      <c r="AA15" s="995">
        <f t="shared" si="3"/>
        <v>1</v>
      </c>
      <c r="AB15" s="995">
        <f t="shared" si="4"/>
        <v>1</v>
      </c>
      <c r="AC15" s="995">
        <f t="shared" si="5"/>
        <v>1</v>
      </c>
    </row>
    <row r="16" spans="1:29" ht="15.75" thickBot="1">
      <c r="A16" s="2214"/>
      <c r="B16" s="2220"/>
      <c r="C16" s="495"/>
      <c r="D16" s="496">
        <v>100</v>
      </c>
      <c r="E16" s="491"/>
      <c r="F16" s="496">
        <f>SUMIF(82:82,E16,83:83)-SUMIF(82:82,C16,83:83)+100</f>
        <v>100</v>
      </c>
      <c r="G16" s="492"/>
      <c r="H16" s="496">
        <f>SUMIF(82:82,G16,83:83)-SUMIF(82:82,C16,83:83)+100</f>
        <v>100</v>
      </c>
      <c r="I16" s="491"/>
      <c r="J16" s="496">
        <f>SUMIF(82:82,I16,83:83)-SUMIF(82:82,C16,83:83)+100</f>
        <v>100</v>
      </c>
      <c r="K16" s="481"/>
      <c r="L16" s="1748"/>
      <c r="M16" s="1741"/>
      <c r="N16" s="1741"/>
      <c r="O16" s="1747"/>
      <c r="P16" s="3724"/>
      <c r="Q16" s="816">
        <f t="shared" si="6"/>
        <v>0</v>
      </c>
      <c r="R16" s="1302" t="s">
        <v>5</v>
      </c>
      <c r="S16" s="1303">
        <f t="shared" si="0"/>
        <v>100</v>
      </c>
      <c r="T16" s="1302" t="s">
        <v>5</v>
      </c>
      <c r="U16" s="1303">
        <f t="shared" si="1"/>
        <v>100</v>
      </c>
      <c r="V16" s="1302" t="s">
        <v>5</v>
      </c>
      <c r="W16" s="1303">
        <f t="shared" si="2"/>
        <v>100</v>
      </c>
      <c r="X16" s="1304"/>
      <c r="Y16" s="3672"/>
      <c r="Z16" s="995">
        <f t="shared" si="7"/>
        <v>0</v>
      </c>
      <c r="AA16" s="995">
        <f t="shared" si="3"/>
        <v>1</v>
      </c>
      <c r="AB16" s="995">
        <f t="shared" si="4"/>
        <v>1</v>
      </c>
      <c r="AC16" s="995">
        <f t="shared" si="5"/>
        <v>1</v>
      </c>
    </row>
    <row r="17" spans="1:29" ht="57">
      <c r="A17" s="2206" t="s">
        <v>2033</v>
      </c>
      <c r="B17" s="150" t="s">
        <v>546</v>
      </c>
      <c r="C17" s="841"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8"/>
      <c r="M17" s="1741"/>
      <c r="N17" s="1741"/>
      <c r="O17" s="1747"/>
      <c r="P17" s="3726" t="s">
        <v>489</v>
      </c>
      <c r="Q17" s="1305" t="str">
        <f t="shared" si="6"/>
        <v>产业集聚程度</v>
      </c>
      <c r="R17" s="1306" t="s">
        <v>5</v>
      </c>
      <c r="S17" s="1307">
        <f t="shared" si="0"/>
        <v>100</v>
      </c>
      <c r="T17" s="1306" t="s">
        <v>5</v>
      </c>
      <c r="U17" s="1307">
        <f t="shared" si="1"/>
        <v>100</v>
      </c>
      <c r="V17" s="1306" t="s">
        <v>5</v>
      </c>
      <c r="W17" s="1307">
        <f t="shared" si="2"/>
        <v>100</v>
      </c>
      <c r="X17" s="1301"/>
      <c r="Y17" s="3726" t="s">
        <v>489</v>
      </c>
      <c r="Z17" s="1308" t="str">
        <f t="shared" si="7"/>
        <v>产业集聚程度</v>
      </c>
      <c r="AA17" s="1308">
        <f t="shared" si="3"/>
        <v>1</v>
      </c>
      <c r="AB17" s="1308">
        <f t="shared" si="4"/>
        <v>1</v>
      </c>
      <c r="AC17" s="1308">
        <f t="shared" si="5"/>
        <v>1</v>
      </c>
    </row>
    <row r="18" spans="1:29" ht="15">
      <c r="A18" s="482"/>
      <c r="B18" s="797"/>
      <c r="C18" s="526"/>
      <c r="D18" s="505"/>
      <c r="E18" s="504"/>
      <c r="F18" s="505"/>
      <c r="G18" s="504"/>
      <c r="H18" s="509"/>
      <c r="I18" s="504"/>
      <c r="J18" s="505"/>
      <c r="K18" s="481"/>
      <c r="L18" s="1748"/>
      <c r="M18" s="1741"/>
      <c r="N18" s="1741"/>
      <c r="O18" s="1747"/>
      <c r="P18" s="3727"/>
      <c r="Q18" s="1305"/>
      <c r="R18" s="1306"/>
      <c r="S18" s="1307"/>
      <c r="T18" s="1306"/>
      <c r="U18" s="1307"/>
      <c r="V18" s="1306"/>
      <c r="W18" s="1307"/>
      <c r="X18" s="1301"/>
      <c r="Y18" s="3727"/>
      <c r="Z18" s="1308"/>
      <c r="AA18" s="1308">
        <v>1</v>
      </c>
      <c r="AB18" s="1308">
        <v>1</v>
      </c>
      <c r="AC18" s="1308">
        <v>1</v>
      </c>
    </row>
    <row r="19" spans="1:29" ht="85.5">
      <c r="A19" s="482"/>
      <c r="B19" s="677" t="s">
        <v>492</v>
      </c>
      <c r="C19" s="799"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8"/>
      <c r="M19" s="1741"/>
      <c r="N19" s="1741"/>
      <c r="O19" s="1747"/>
      <c r="P19" s="3727"/>
      <c r="Q19" s="1305" t="str">
        <f>B19</f>
        <v>交通便捷度</v>
      </c>
      <c r="R19" s="1306" t="s">
        <v>5</v>
      </c>
      <c r="S19" s="1307">
        <f>F19</f>
        <v>100</v>
      </c>
      <c r="T19" s="1306" t="s">
        <v>5</v>
      </c>
      <c r="U19" s="1307">
        <f>H19</f>
        <v>100</v>
      </c>
      <c r="V19" s="1306" t="s">
        <v>5</v>
      </c>
      <c r="W19" s="1307">
        <f>J19</f>
        <v>100</v>
      </c>
      <c r="X19" s="1301"/>
      <c r="Y19" s="3727"/>
      <c r="Z19" s="1308" t="str">
        <f>Q19</f>
        <v>交通便捷度</v>
      </c>
      <c r="AA19" s="1308">
        <f t="shared" si="3"/>
        <v>1</v>
      </c>
      <c r="AB19" s="1308">
        <f t="shared" si="4"/>
        <v>1</v>
      </c>
      <c r="AC19" s="1308">
        <f t="shared" si="5"/>
        <v>1</v>
      </c>
    </row>
    <row r="20" spans="1:29" ht="15">
      <c r="A20" s="482"/>
      <c r="B20" s="842"/>
      <c r="C20" s="526"/>
      <c r="D20" s="505"/>
      <c r="E20" s="506"/>
      <c r="F20" s="505"/>
      <c r="G20" s="506"/>
      <c r="H20" s="505"/>
      <c r="I20" s="508"/>
      <c r="J20" s="505"/>
      <c r="K20" s="481"/>
      <c r="L20" s="1748"/>
      <c r="M20" s="1741"/>
      <c r="N20" s="1741"/>
      <c r="O20" s="1747"/>
      <c r="P20" s="3727"/>
      <c r="Q20" s="1305"/>
      <c r="R20" s="1306"/>
      <c r="S20" s="1307"/>
      <c r="T20" s="1306"/>
      <c r="U20" s="1307"/>
      <c r="V20" s="1306"/>
      <c r="W20" s="1307"/>
      <c r="X20" s="1301"/>
      <c r="Y20" s="3727"/>
      <c r="Z20" s="1308"/>
      <c r="AA20" s="1308">
        <v>1</v>
      </c>
      <c r="AB20" s="1308">
        <v>1</v>
      </c>
      <c r="AC20" s="1308">
        <v>1</v>
      </c>
    </row>
    <row r="21" spans="1:29" ht="27">
      <c r="A21" s="466"/>
      <c r="B21" s="677" t="s">
        <v>493</v>
      </c>
      <c r="C21" s="799">
        <f>估价对象房地状况!G17</f>
        <v>0</v>
      </c>
      <c r="D21" s="509">
        <v>100</v>
      </c>
      <c r="E21" s="512"/>
      <c r="F21" s="513">
        <f>SUMIF(88:88,E22,89:89)-SUMIF(88:88,C22,89:89)+100</f>
        <v>100</v>
      </c>
      <c r="G21" s="514"/>
      <c r="H21" s="513">
        <f>SUMIF(88:88,G22,89:89)-SUMIF(88:88,C22,89:89)+100</f>
        <v>100</v>
      </c>
      <c r="I21" s="514"/>
      <c r="J21" s="513">
        <f>SUMIF(88:88,I22,89:89)-SUMIF(88:88,C22,89:89)+100</f>
        <v>100</v>
      </c>
      <c r="K21" s="918"/>
      <c r="L21" s="1748"/>
      <c r="M21" s="1741"/>
      <c r="N21" s="1741"/>
      <c r="O21" s="1747"/>
      <c r="P21" s="3727"/>
      <c r="Q21" s="1305" t="str">
        <f t="shared" ref="Q21:Q35" si="8">B21</f>
        <v>区域土地利用方向</v>
      </c>
      <c r="R21" s="1306" t="s">
        <v>5</v>
      </c>
      <c r="S21" s="1307">
        <f>F21</f>
        <v>100</v>
      </c>
      <c r="T21" s="1306" t="s">
        <v>5</v>
      </c>
      <c r="U21" s="1307">
        <f>H21</f>
        <v>100</v>
      </c>
      <c r="V21" s="1306" t="s">
        <v>5</v>
      </c>
      <c r="W21" s="1307">
        <f>J21</f>
        <v>100</v>
      </c>
      <c r="X21" s="1301"/>
      <c r="Y21" s="3727"/>
      <c r="Z21" s="1308" t="str">
        <f>Q21</f>
        <v>区域土地利用方向</v>
      </c>
      <c r="AA21" s="1308">
        <f t="shared" si="3"/>
        <v>1</v>
      </c>
      <c r="AB21" s="1308">
        <f t="shared" si="4"/>
        <v>1</v>
      </c>
      <c r="AC21" s="1308">
        <f t="shared" si="5"/>
        <v>1</v>
      </c>
    </row>
    <row r="22" spans="1:29" ht="15">
      <c r="A22" s="466"/>
      <c r="B22" s="544"/>
      <c r="C22" s="526"/>
      <c r="D22" s="505"/>
      <c r="E22" s="506"/>
      <c r="F22" s="507"/>
      <c r="G22" s="508"/>
      <c r="H22" s="507"/>
      <c r="I22" s="508"/>
      <c r="J22" s="507"/>
      <c r="K22" s="1140"/>
      <c r="L22" s="1748"/>
      <c r="M22" s="1741"/>
      <c r="N22" s="1741"/>
      <c r="O22" s="1747"/>
      <c r="P22" s="3727"/>
      <c r="Q22" s="1305"/>
      <c r="R22" s="1306"/>
      <c r="S22" s="1307"/>
      <c r="T22" s="1306"/>
      <c r="U22" s="1307"/>
      <c r="V22" s="1306"/>
      <c r="W22" s="1307"/>
      <c r="X22" s="1301"/>
      <c r="Y22" s="3727"/>
      <c r="Z22" s="1308"/>
      <c r="AA22" s="1308"/>
      <c r="AB22" s="1308"/>
      <c r="AC22" s="1308"/>
    </row>
    <row r="23" spans="1:29" ht="71.25">
      <c r="A23" s="466"/>
      <c r="B23" s="842" t="s">
        <v>547</v>
      </c>
      <c r="C23" s="799"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8"/>
      <c r="M23" s="1741"/>
      <c r="N23" s="1741"/>
      <c r="O23" s="1747"/>
      <c r="P23" s="3727"/>
      <c r="Q23" s="1305" t="str">
        <f t="shared" si="8"/>
        <v>环境状况</v>
      </c>
      <c r="R23" s="1306" t="s">
        <v>5</v>
      </c>
      <c r="S23" s="1307">
        <f>F23</f>
        <v>100</v>
      </c>
      <c r="T23" s="1306" t="s">
        <v>5</v>
      </c>
      <c r="U23" s="1307">
        <f>H23</f>
        <v>100</v>
      </c>
      <c r="V23" s="1306" t="s">
        <v>5</v>
      </c>
      <c r="W23" s="1307">
        <f>J23</f>
        <v>100</v>
      </c>
      <c r="X23" s="1301"/>
      <c r="Y23" s="3727"/>
      <c r="Z23" s="1308" t="str">
        <f>Q23</f>
        <v>环境状况</v>
      </c>
      <c r="AA23" s="1308">
        <f t="shared" si="3"/>
        <v>1</v>
      </c>
      <c r="AB23" s="1308">
        <f t="shared" si="4"/>
        <v>1</v>
      </c>
      <c r="AC23" s="1308">
        <f t="shared" si="5"/>
        <v>1</v>
      </c>
    </row>
    <row r="24" spans="1:29" ht="15">
      <c r="A24" s="466"/>
      <c r="B24" s="544"/>
      <c r="C24" s="526"/>
      <c r="D24" s="505"/>
      <c r="E24" s="504"/>
      <c r="F24" s="505"/>
      <c r="G24" s="504"/>
      <c r="H24" s="505"/>
      <c r="I24" s="526"/>
      <c r="J24" s="505"/>
      <c r="K24" s="481"/>
      <c r="L24" s="1748"/>
      <c r="M24" s="1741"/>
      <c r="N24" s="1741"/>
      <c r="O24" s="1747"/>
      <c r="P24" s="3727"/>
      <c r="Q24" s="1305"/>
      <c r="R24" s="1306"/>
      <c r="S24" s="1307"/>
      <c r="T24" s="1306"/>
      <c r="U24" s="1307"/>
      <c r="V24" s="1306"/>
      <c r="W24" s="1307"/>
      <c r="X24" s="1301"/>
      <c r="Y24" s="3727"/>
      <c r="Z24" s="1308"/>
      <c r="AA24" s="1308">
        <v>1</v>
      </c>
      <c r="AB24" s="1308">
        <v>1</v>
      </c>
      <c r="AC24" s="1308">
        <v>1</v>
      </c>
    </row>
    <row r="25" spans="1:29" s="1058" customFormat="1" ht="42.75">
      <c r="A25" s="527"/>
      <c r="B25" s="2051" t="s">
        <v>1828</v>
      </c>
      <c r="C25" s="799"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2"/>
      <c r="M25" s="1639"/>
      <c r="N25" s="1639"/>
      <c r="O25" s="1743"/>
      <c r="P25" s="3727"/>
      <c r="Q25" s="816" t="str">
        <f t="shared" si="8"/>
        <v>公共配套设施</v>
      </c>
      <c r="R25" s="1302" t="s">
        <v>5</v>
      </c>
      <c r="S25" s="1303">
        <f>F25</f>
        <v>100</v>
      </c>
      <c r="T25" s="1302" t="s">
        <v>5</v>
      </c>
      <c r="U25" s="1303">
        <f>H25</f>
        <v>100</v>
      </c>
      <c r="V25" s="1302" t="s">
        <v>5</v>
      </c>
      <c r="W25" s="1303">
        <f>J25</f>
        <v>100</v>
      </c>
      <c r="X25" s="1304"/>
      <c r="Y25" s="3727"/>
      <c r="Z25" s="995" t="str">
        <f>Q25</f>
        <v>公共配套设施</v>
      </c>
      <c r="AA25" s="1308">
        <f>D25/F25</f>
        <v>1</v>
      </c>
      <c r="AB25" s="1308">
        <f>D25/H25</f>
        <v>1</v>
      </c>
      <c r="AC25" s="1308">
        <f>D25/J25</f>
        <v>1</v>
      </c>
    </row>
    <row r="26" spans="1:29" s="1058" customFormat="1" ht="15">
      <c r="A26" s="527"/>
      <c r="B26" s="544"/>
      <c r="C26" s="2050"/>
      <c r="D26" s="505"/>
      <c r="E26" s="504"/>
      <c r="F26" s="505"/>
      <c r="G26" s="504"/>
      <c r="H26" s="505"/>
      <c r="I26" s="526"/>
      <c r="J26" s="505"/>
      <c r="K26" s="481"/>
      <c r="L26" s="1742"/>
      <c r="M26" s="1639"/>
      <c r="N26" s="1639"/>
      <c r="O26" s="1743"/>
      <c r="P26" s="3727"/>
      <c r="Q26" s="816"/>
      <c r="R26" s="1302"/>
      <c r="S26" s="1303"/>
      <c r="T26" s="1302"/>
      <c r="U26" s="1303"/>
      <c r="V26" s="1302"/>
      <c r="W26" s="1303"/>
      <c r="X26" s="1304"/>
      <c r="Y26" s="3727"/>
      <c r="Z26" s="995"/>
      <c r="AA26" s="995">
        <v>1</v>
      </c>
      <c r="AB26" s="995">
        <v>1</v>
      </c>
      <c r="AC26" s="995">
        <v>1</v>
      </c>
    </row>
    <row r="27" spans="1:29" s="1058" customFormat="1" ht="28.5">
      <c r="A27" s="527"/>
      <c r="B27" s="2051" t="s">
        <v>1829</v>
      </c>
      <c r="C27" s="799"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2"/>
      <c r="M27" s="1639"/>
      <c r="N27" s="1639"/>
      <c r="O27" s="1743"/>
      <c r="P27" s="3727"/>
      <c r="Q27" s="816" t="str">
        <f>B27</f>
        <v>基础设施水平</v>
      </c>
      <c r="R27" s="1302" t="s">
        <v>5</v>
      </c>
      <c r="S27" s="1303">
        <f>F27</f>
        <v>100</v>
      </c>
      <c r="T27" s="1302" t="s">
        <v>5</v>
      </c>
      <c r="U27" s="1303">
        <f>H27</f>
        <v>100</v>
      </c>
      <c r="V27" s="1302" t="s">
        <v>5</v>
      </c>
      <c r="W27" s="1303">
        <f>J27</f>
        <v>100</v>
      </c>
      <c r="X27" s="1304"/>
      <c r="Y27" s="3727"/>
      <c r="Z27" s="995" t="str">
        <f>Q27</f>
        <v>基础设施水平</v>
      </c>
      <c r="AA27" s="1308">
        <f>D27/F27</f>
        <v>1</v>
      </c>
      <c r="AB27" s="1308">
        <f>D27/H27</f>
        <v>1</v>
      </c>
      <c r="AC27" s="1308">
        <f>D27/J27</f>
        <v>1</v>
      </c>
    </row>
    <row r="28" spans="1:29" s="1058" customFormat="1" ht="15">
      <c r="A28" s="527"/>
      <c r="B28" s="544"/>
      <c r="C28" s="2050"/>
      <c r="D28" s="505"/>
      <c r="E28" s="529"/>
      <c r="F28" s="505"/>
      <c r="G28" s="529"/>
      <c r="H28" s="505"/>
      <c r="I28" s="529"/>
      <c r="J28" s="505"/>
      <c r="K28" s="481"/>
      <c r="L28" s="1742"/>
      <c r="M28" s="1639"/>
      <c r="N28" s="1639"/>
      <c r="O28" s="1743"/>
      <c r="P28" s="3727"/>
      <c r="Q28" s="816"/>
      <c r="R28" s="1302"/>
      <c r="S28" s="1303"/>
      <c r="T28" s="1302"/>
      <c r="U28" s="1303"/>
      <c r="V28" s="1302"/>
      <c r="W28" s="1303"/>
      <c r="X28" s="1304"/>
      <c r="Y28" s="3727"/>
      <c r="Z28" s="995"/>
      <c r="AA28" s="995">
        <v>1</v>
      </c>
      <c r="AB28" s="995">
        <v>1</v>
      </c>
      <c r="AC28" s="995">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8"/>
      <c r="M29" s="1741"/>
      <c r="N29" s="1741"/>
      <c r="O29" s="1747"/>
      <c r="P29" s="3727"/>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727"/>
      <c r="Z29" s="1308" t="str">
        <f t="shared" ref="Z29:Z42" si="12">Q29</f>
        <v>临街状况</v>
      </c>
      <c r="AA29" s="1308">
        <f t="shared" si="3"/>
        <v>1</v>
      </c>
      <c r="AB29" s="1308">
        <f t="shared" si="4"/>
        <v>1</v>
      </c>
      <c r="AC29" s="1308">
        <f t="shared" si="5"/>
        <v>1</v>
      </c>
    </row>
    <row r="30" spans="1:29" ht="27">
      <c r="A30" s="482"/>
      <c r="B30" s="842" t="s">
        <v>497</v>
      </c>
      <c r="C30" s="2053">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8"/>
      <c r="M30" s="1741"/>
      <c r="N30" s="1741"/>
      <c r="O30" s="1747"/>
      <c r="P30" s="3727"/>
      <c r="Q30" s="1305" t="str">
        <f t="shared" si="8"/>
        <v>毗邻道路的类型与等级</v>
      </c>
      <c r="R30" s="1306" t="s">
        <v>5</v>
      </c>
      <c r="S30" s="1307">
        <f t="shared" si="9"/>
        <v>100</v>
      </c>
      <c r="T30" s="1306" t="s">
        <v>5</v>
      </c>
      <c r="U30" s="1307">
        <f t="shared" si="10"/>
        <v>100</v>
      </c>
      <c r="V30" s="1306" t="s">
        <v>5</v>
      </c>
      <c r="W30" s="1307">
        <f t="shared" si="11"/>
        <v>100</v>
      </c>
      <c r="X30" s="1301"/>
      <c r="Y30" s="3727"/>
      <c r="Z30" s="1308" t="str">
        <f t="shared" si="12"/>
        <v>毗邻道路的类型与等级</v>
      </c>
      <c r="AA30" s="1308">
        <f t="shared" si="3"/>
        <v>1</v>
      </c>
      <c r="AB30" s="1308">
        <f t="shared" si="4"/>
        <v>1</v>
      </c>
      <c r="AC30" s="1308">
        <f t="shared" si="5"/>
        <v>1</v>
      </c>
    </row>
    <row r="31" spans="1:29" ht="15">
      <c r="A31" s="482"/>
      <c r="B31" s="544"/>
      <c r="C31" s="526"/>
      <c r="D31" s="505"/>
      <c r="E31" s="526"/>
      <c r="F31" s="505"/>
      <c r="G31" s="526"/>
      <c r="H31" s="505"/>
      <c r="I31" s="526"/>
      <c r="J31" s="505"/>
      <c r="K31" s="531"/>
      <c r="L31" s="1748"/>
      <c r="M31" s="1741"/>
      <c r="N31" s="1741"/>
      <c r="O31" s="1747"/>
      <c r="P31" s="3727"/>
      <c r="Q31" s="1305"/>
      <c r="R31" s="1306"/>
      <c r="S31" s="1307"/>
      <c r="T31" s="1306"/>
      <c r="U31" s="1307"/>
      <c r="V31" s="1306"/>
      <c r="W31" s="1307"/>
      <c r="X31" s="1301"/>
      <c r="Y31" s="3727"/>
      <c r="Z31" s="1308"/>
      <c r="AA31" s="1308">
        <v>1</v>
      </c>
      <c r="AB31" s="1308">
        <v>1</v>
      </c>
      <c r="AC31" s="1308">
        <v>1</v>
      </c>
    </row>
    <row r="32" spans="1:29" ht="15">
      <c r="A32" s="482"/>
      <c r="B32" s="477" t="s">
        <v>498</v>
      </c>
      <c r="C32" s="2054">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8"/>
      <c r="M32" s="1741"/>
      <c r="N32" s="1741"/>
      <c r="O32" s="1747"/>
      <c r="P32" s="3727"/>
      <c r="Q32" s="1305" t="str">
        <f t="shared" si="8"/>
        <v>土地级别</v>
      </c>
      <c r="R32" s="1306" t="s">
        <v>5</v>
      </c>
      <c r="S32" s="1307">
        <f t="shared" si="9"/>
        <v>100</v>
      </c>
      <c r="T32" s="1306" t="s">
        <v>5</v>
      </c>
      <c r="U32" s="1307">
        <f t="shared" si="10"/>
        <v>100</v>
      </c>
      <c r="V32" s="1306" t="s">
        <v>5</v>
      </c>
      <c r="W32" s="1307">
        <f t="shared" si="11"/>
        <v>100</v>
      </c>
      <c r="X32" s="1301"/>
      <c r="Y32" s="3727"/>
      <c r="Z32" s="1308" t="str">
        <f t="shared" si="12"/>
        <v>土地级别</v>
      </c>
      <c r="AA32" s="1308">
        <f t="shared" si="3"/>
        <v>1</v>
      </c>
      <c r="AB32" s="1308">
        <f t="shared" si="4"/>
        <v>1</v>
      </c>
      <c r="AC32" s="1308">
        <f t="shared" si="5"/>
        <v>1</v>
      </c>
    </row>
    <row r="33" spans="1:29" ht="15">
      <c r="A33" s="466"/>
      <c r="B33" s="91"/>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8"/>
      <c r="M33" s="1741"/>
      <c r="N33" s="1741"/>
      <c r="O33" s="1747"/>
      <c r="P33" s="3727"/>
      <c r="Q33" s="1305">
        <f t="shared" si="8"/>
        <v>0</v>
      </c>
      <c r="R33" s="1306" t="s">
        <v>5</v>
      </c>
      <c r="S33" s="1307">
        <f t="shared" si="9"/>
        <v>100</v>
      </c>
      <c r="T33" s="1306" t="s">
        <v>5</v>
      </c>
      <c r="U33" s="1307">
        <f t="shared" si="10"/>
        <v>100</v>
      </c>
      <c r="V33" s="1306" t="s">
        <v>5</v>
      </c>
      <c r="W33" s="1307">
        <f t="shared" si="11"/>
        <v>100</v>
      </c>
      <c r="X33" s="1301"/>
      <c r="Y33" s="3727"/>
      <c r="Z33" s="1308">
        <f t="shared" si="12"/>
        <v>0</v>
      </c>
      <c r="AA33" s="1308">
        <f t="shared" si="3"/>
        <v>1</v>
      </c>
      <c r="AB33" s="1308">
        <f t="shared" si="4"/>
        <v>1</v>
      </c>
      <c r="AC33" s="1308">
        <f t="shared" si="5"/>
        <v>1</v>
      </c>
    </row>
    <row r="34" spans="1:29" ht="15">
      <c r="A34" s="536"/>
      <c r="B34" s="551"/>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8"/>
      <c r="M34" s="1741"/>
      <c r="N34" s="1741"/>
      <c r="O34" s="1747"/>
      <c r="P34" s="3728" t="s">
        <v>499</v>
      </c>
      <c r="Q34" s="1305">
        <f t="shared" si="8"/>
        <v>0</v>
      </c>
      <c r="R34" s="1306" t="s">
        <v>5</v>
      </c>
      <c r="S34" s="1307">
        <f t="shared" si="9"/>
        <v>100</v>
      </c>
      <c r="T34" s="1306" t="s">
        <v>5</v>
      </c>
      <c r="U34" s="1307">
        <f t="shared" si="10"/>
        <v>100</v>
      </c>
      <c r="V34" s="1306" t="s">
        <v>5</v>
      </c>
      <c r="W34" s="1307">
        <f t="shared" si="11"/>
        <v>100</v>
      </c>
      <c r="X34" s="1301"/>
      <c r="Y34" s="3729" t="s">
        <v>499</v>
      </c>
      <c r="Z34" s="1308">
        <f t="shared" si="12"/>
        <v>0</v>
      </c>
      <c r="AA34" s="1308">
        <f t="shared" si="3"/>
        <v>1</v>
      </c>
      <c r="AB34" s="1308">
        <f t="shared" si="4"/>
        <v>1</v>
      </c>
      <c r="AC34" s="1308">
        <f t="shared" si="5"/>
        <v>1</v>
      </c>
    </row>
    <row r="35" spans="1:29" s="1132" customFormat="1" ht="15.75" thickBot="1">
      <c r="A35" s="538"/>
      <c r="B35" s="2052"/>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6"/>
      <c r="M35" s="1770"/>
      <c r="N35" s="1770"/>
      <c r="O35" s="1749"/>
      <c r="P35" s="3729"/>
      <c r="Q35" s="1305">
        <f t="shared" si="8"/>
        <v>0</v>
      </c>
      <c r="R35" s="1309" t="s">
        <v>5</v>
      </c>
      <c r="S35" s="1310">
        <f t="shared" si="9"/>
        <v>100</v>
      </c>
      <c r="T35" s="1309" t="s">
        <v>5</v>
      </c>
      <c r="U35" s="1310">
        <f t="shared" si="10"/>
        <v>100</v>
      </c>
      <c r="V35" s="1309" t="s">
        <v>5</v>
      </c>
      <c r="W35" s="1310">
        <f t="shared" si="11"/>
        <v>100</v>
      </c>
      <c r="X35" s="1311"/>
      <c r="Y35" s="3729"/>
      <c r="Z35" s="1312">
        <f t="shared" si="12"/>
        <v>0</v>
      </c>
      <c r="AA35" s="1308">
        <f t="shared" si="3"/>
        <v>1</v>
      </c>
      <c r="AB35" s="1308">
        <f t="shared" si="4"/>
        <v>1</v>
      </c>
      <c r="AC35" s="1308">
        <f t="shared" si="5"/>
        <v>1</v>
      </c>
    </row>
    <row r="36" spans="1:29" ht="15">
      <c r="A36" s="2203" t="s">
        <v>2034</v>
      </c>
      <c r="B36" s="544" t="s">
        <v>501</v>
      </c>
      <c r="C36" s="545"/>
      <c r="D36" s="546">
        <v>100</v>
      </c>
      <c r="E36" s="545"/>
      <c r="F36" s="546">
        <f>LOOKUP(E36,109:109,110:110)-LOOKUP(C36,109:109,110:110)+100</f>
        <v>100</v>
      </c>
      <c r="G36" s="545"/>
      <c r="H36" s="546">
        <f>LOOKUP(G36,109:109,110:110)-LOOKUP(C36,109:109,110:110)+100</f>
        <v>100</v>
      </c>
      <c r="I36" s="547"/>
      <c r="J36" s="546">
        <f>LOOKUP(I36,109:109,110:110)-LOOKUP(C36,109:109,110:110)+100</f>
        <v>100</v>
      </c>
      <c r="K36" s="531"/>
      <c r="L36" s="1748"/>
      <c r="M36" s="1741"/>
      <c r="N36" s="1741"/>
      <c r="O36" s="1747"/>
      <c r="P36" s="3729"/>
      <c r="Q36" s="1305" t="str">
        <f>B36</f>
        <v>宗地面积</v>
      </c>
      <c r="R36" s="1306" t="s">
        <v>5</v>
      </c>
      <c r="S36" s="1307">
        <f t="shared" si="9"/>
        <v>100</v>
      </c>
      <c r="T36" s="1306" t="s">
        <v>5</v>
      </c>
      <c r="U36" s="1307">
        <f t="shared" si="10"/>
        <v>100</v>
      </c>
      <c r="V36" s="1306" t="s">
        <v>5</v>
      </c>
      <c r="W36" s="1307">
        <f t="shared" si="11"/>
        <v>100</v>
      </c>
      <c r="X36" s="1301"/>
      <c r="Y36" s="3729"/>
      <c r="Z36" s="1308" t="str">
        <f t="shared" si="12"/>
        <v>宗地面积</v>
      </c>
      <c r="AA36" s="1308">
        <f t="shared" si="3"/>
        <v>1</v>
      </c>
      <c r="AB36" s="1308">
        <f t="shared" si="4"/>
        <v>1</v>
      </c>
      <c r="AC36" s="1308">
        <f t="shared" si="5"/>
        <v>1</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8"/>
      <c r="M37" s="1741"/>
      <c r="N37" s="1741"/>
      <c r="O37" s="1747"/>
      <c r="P37" s="3729"/>
      <c r="Q37" s="1305" t="str">
        <f t="shared" ref="Q37:Q42" si="13">B37</f>
        <v>宗地形状</v>
      </c>
      <c r="R37" s="1306" t="s">
        <v>5</v>
      </c>
      <c r="S37" s="1307">
        <f t="shared" si="9"/>
        <v>100</v>
      </c>
      <c r="T37" s="1306" t="s">
        <v>5</v>
      </c>
      <c r="U37" s="1307">
        <f t="shared" si="10"/>
        <v>100</v>
      </c>
      <c r="V37" s="1306" t="s">
        <v>5</v>
      </c>
      <c r="W37" s="1307">
        <f t="shared" si="11"/>
        <v>100</v>
      </c>
      <c r="X37" s="1301"/>
      <c r="Y37" s="3729"/>
      <c r="Z37" s="1308" t="str">
        <f t="shared" si="12"/>
        <v>宗地形状</v>
      </c>
      <c r="AA37" s="1308">
        <f t="shared" si="3"/>
        <v>1</v>
      </c>
      <c r="AB37" s="1308">
        <f t="shared" si="4"/>
        <v>1</v>
      </c>
      <c r="AC37" s="1308">
        <f t="shared" si="5"/>
        <v>1</v>
      </c>
    </row>
    <row r="38" spans="1:29" s="1058" customFormat="1" ht="15">
      <c r="A38" s="549"/>
      <c r="B38" s="1553" t="s">
        <v>1773</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2"/>
      <c r="M38" s="1639"/>
      <c r="N38" s="1639"/>
      <c r="O38" s="1743"/>
      <c r="P38" s="3729"/>
      <c r="Q38" s="1305" t="str">
        <f t="shared" si="13"/>
        <v>宗地开发程度</v>
      </c>
      <c r="R38" s="1302" t="s">
        <v>5</v>
      </c>
      <c r="S38" s="1303">
        <f t="shared" si="9"/>
        <v>100</v>
      </c>
      <c r="T38" s="1302" t="s">
        <v>5</v>
      </c>
      <c r="U38" s="1303">
        <f t="shared" si="10"/>
        <v>100</v>
      </c>
      <c r="V38" s="1302" t="s">
        <v>5</v>
      </c>
      <c r="W38" s="1303">
        <f t="shared" si="11"/>
        <v>100</v>
      </c>
      <c r="X38" s="1304"/>
      <c r="Y38" s="3729"/>
      <c r="Z38" s="995" t="str">
        <f t="shared" si="12"/>
        <v>宗地开发程度</v>
      </c>
      <c r="AA38" s="995">
        <f t="shared" si="3"/>
        <v>1</v>
      </c>
      <c r="AB38" s="995">
        <f t="shared" si="4"/>
        <v>1</v>
      </c>
      <c r="AC38" s="995">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8"/>
      <c r="M39" s="1741"/>
      <c r="N39" s="1741"/>
      <c r="O39" s="1747"/>
      <c r="P39" s="3729" t="s">
        <v>499</v>
      </c>
      <c r="Q39" s="1305" t="str">
        <f t="shared" si="13"/>
        <v>工程地质条件</v>
      </c>
      <c r="R39" s="1306" t="s">
        <v>5</v>
      </c>
      <c r="S39" s="1307">
        <f t="shared" si="9"/>
        <v>100</v>
      </c>
      <c r="T39" s="1306" t="s">
        <v>5</v>
      </c>
      <c r="U39" s="1307">
        <f t="shared" si="10"/>
        <v>100</v>
      </c>
      <c r="V39" s="1306" t="s">
        <v>5</v>
      </c>
      <c r="W39" s="1307">
        <f t="shared" si="11"/>
        <v>100</v>
      </c>
      <c r="X39" s="1301"/>
      <c r="Y39" s="3729" t="s">
        <v>499</v>
      </c>
      <c r="Z39" s="1308" t="str">
        <f t="shared" si="12"/>
        <v>工程地质条件</v>
      </c>
      <c r="AA39" s="1308">
        <f t="shared" si="3"/>
        <v>1</v>
      </c>
      <c r="AB39" s="1308">
        <f t="shared" si="4"/>
        <v>1</v>
      </c>
      <c r="AC39" s="1308">
        <f t="shared" si="5"/>
        <v>1</v>
      </c>
    </row>
    <row r="40" spans="1:29" ht="15">
      <c r="A40" s="543"/>
      <c r="B40" s="551"/>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8"/>
      <c r="M40" s="1741"/>
      <c r="N40" s="1741"/>
      <c r="O40" s="1747"/>
      <c r="P40" s="3729"/>
      <c r="Q40" s="1305">
        <f t="shared" si="13"/>
        <v>0</v>
      </c>
      <c r="R40" s="1306" t="s">
        <v>5</v>
      </c>
      <c r="S40" s="1307">
        <f t="shared" si="9"/>
        <v>100</v>
      </c>
      <c r="T40" s="1306" t="s">
        <v>5</v>
      </c>
      <c r="U40" s="1307">
        <f t="shared" si="10"/>
        <v>100</v>
      </c>
      <c r="V40" s="1306" t="s">
        <v>5</v>
      </c>
      <c r="W40" s="1307">
        <f t="shared" si="11"/>
        <v>100</v>
      </c>
      <c r="X40" s="1301"/>
      <c r="Y40" s="3729"/>
      <c r="Z40" s="1308">
        <f t="shared" si="12"/>
        <v>0</v>
      </c>
      <c r="AA40" s="1308">
        <f t="shared" si="3"/>
        <v>1</v>
      </c>
      <c r="AB40" s="1308">
        <f t="shared" si="4"/>
        <v>1</v>
      </c>
      <c r="AC40" s="1308">
        <f t="shared" si="5"/>
        <v>1</v>
      </c>
    </row>
    <row r="41" spans="1:29" ht="15">
      <c r="A41" s="543"/>
      <c r="B41" s="551"/>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8"/>
      <c r="M41" s="1741"/>
      <c r="N41" s="1741"/>
      <c r="O41" s="1747"/>
      <c r="P41" s="3729"/>
      <c r="Q41" s="1305">
        <f t="shared" si="13"/>
        <v>0</v>
      </c>
      <c r="R41" s="1306" t="s">
        <v>5</v>
      </c>
      <c r="S41" s="1307">
        <f t="shared" si="9"/>
        <v>100</v>
      </c>
      <c r="T41" s="1306" t="s">
        <v>5</v>
      </c>
      <c r="U41" s="1307">
        <f t="shared" si="10"/>
        <v>100</v>
      </c>
      <c r="V41" s="1306" t="s">
        <v>5</v>
      </c>
      <c r="W41" s="1307">
        <f t="shared" si="11"/>
        <v>100</v>
      </c>
      <c r="X41" s="1301"/>
      <c r="Y41" s="3729"/>
      <c r="Z41" s="1308">
        <f t="shared" si="12"/>
        <v>0</v>
      </c>
      <c r="AA41" s="1308">
        <f t="shared" si="3"/>
        <v>1</v>
      </c>
      <c r="AB41" s="1308">
        <f t="shared" si="4"/>
        <v>1</v>
      </c>
      <c r="AC41" s="1308">
        <f t="shared" si="5"/>
        <v>1</v>
      </c>
    </row>
    <row r="42" spans="1:29" s="1132" customFormat="1" ht="15.75" thickBot="1">
      <c r="A42" s="552"/>
      <c r="B42" s="551"/>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6"/>
      <c r="M42" s="1770"/>
      <c r="N42" s="1770"/>
      <c r="O42" s="1749"/>
      <c r="P42" s="3729"/>
      <c r="Q42" s="1305">
        <f t="shared" si="13"/>
        <v>0</v>
      </c>
      <c r="R42" s="1309" t="s">
        <v>5</v>
      </c>
      <c r="S42" s="1310">
        <f t="shared" si="9"/>
        <v>100</v>
      </c>
      <c r="T42" s="1309" t="s">
        <v>5</v>
      </c>
      <c r="U42" s="1310">
        <f t="shared" si="10"/>
        <v>100</v>
      </c>
      <c r="V42" s="1309" t="s">
        <v>5</v>
      </c>
      <c r="W42" s="1310">
        <f t="shared" si="11"/>
        <v>100</v>
      </c>
      <c r="X42" s="1311"/>
      <c r="Y42" s="3729"/>
      <c r="Z42" s="1312">
        <f t="shared" si="12"/>
        <v>0</v>
      </c>
      <c r="AA42" s="1308">
        <f t="shared" si="3"/>
        <v>1</v>
      </c>
      <c r="AB42" s="1308">
        <f t="shared" si="4"/>
        <v>1</v>
      </c>
      <c r="AC42" s="1308">
        <f t="shared" si="5"/>
        <v>1</v>
      </c>
    </row>
    <row r="43" spans="1:29" ht="15">
      <c r="A43" s="556" t="s">
        <v>505</v>
      </c>
      <c r="B43" s="557" t="s">
        <v>3312</v>
      </c>
      <c r="C43" s="558" t="s">
        <v>0</v>
      </c>
      <c r="D43" s="559"/>
      <c r="E43" s="560">
        <f>土地一级开发案例!M4</f>
        <v>8398</v>
      </c>
      <c r="F43" s="561"/>
      <c r="G43" s="562">
        <f>土地一级开发案例!M3</f>
        <v>8276</v>
      </c>
      <c r="H43" s="563"/>
      <c r="I43" s="560">
        <f>土地一级开发案例!M8</f>
        <v>10089</v>
      </c>
      <c r="J43" s="563"/>
      <c r="K43" s="1133"/>
      <c r="L43" s="1750"/>
      <c r="M43" s="1741"/>
      <c r="N43" s="1741"/>
      <c r="O43" s="1741"/>
      <c r="P43" s="3724" t="str">
        <f>A43</f>
        <v>成交单价</v>
      </c>
      <c r="Q43" s="3724"/>
      <c r="R43" s="3740">
        <f>E43</f>
        <v>8398</v>
      </c>
      <c r="S43" s="3740"/>
      <c r="T43" s="3740">
        <f>G43</f>
        <v>8276</v>
      </c>
      <c r="U43" s="3740"/>
      <c r="V43" s="3740">
        <f>I43</f>
        <v>10089</v>
      </c>
      <c r="W43" s="3740"/>
      <c r="X43" s="797"/>
      <c r="Y43" s="1313"/>
      <c r="Z43" s="797"/>
      <c r="AA43" s="797"/>
      <c r="AB43" s="797"/>
      <c r="AC43" s="797"/>
    </row>
    <row r="44" spans="1:29" ht="15.75" thickBot="1">
      <c r="A44" s="564" t="s">
        <v>1972</v>
      </c>
      <c r="B44" s="565"/>
      <c r="C44" s="566">
        <f>R45</f>
        <v>8921</v>
      </c>
      <c r="D44" s="2549" t="s">
        <v>2255</v>
      </c>
      <c r="E44" s="566">
        <f>R44</f>
        <v>8398</v>
      </c>
      <c r="F44" s="2550"/>
      <c r="G44" s="567">
        <f>T44</f>
        <v>8276</v>
      </c>
      <c r="H44" s="2550"/>
      <c r="I44" s="566">
        <f>V44</f>
        <v>10089</v>
      </c>
      <c r="J44" s="2550"/>
      <c r="K44" s="2551">
        <f>F44+H44+J44</f>
        <v>0</v>
      </c>
      <c r="L44" s="1750"/>
      <c r="M44" s="1741"/>
      <c r="N44" s="1741"/>
      <c r="O44" s="1741"/>
      <c r="P44" s="3724" t="str">
        <f>A44</f>
        <v>比较价格（元/平方米）</v>
      </c>
      <c r="Q44" s="3724"/>
      <c r="R44" s="3748">
        <f>ROUND(PRODUCT(R43,AA9:AA42),0)</f>
        <v>8398</v>
      </c>
      <c r="S44" s="3748"/>
      <c r="T44" s="3748">
        <f>ROUND(PRODUCT(T43,AB9:AB42),0)</f>
        <v>8276</v>
      </c>
      <c r="U44" s="3748"/>
      <c r="V44" s="3748">
        <f>ROUND(PRODUCT(V43,AC9:AC42),0)</f>
        <v>10089</v>
      </c>
      <c r="W44" s="3748"/>
      <c r="X44" s="797"/>
      <c r="Y44" s="797"/>
      <c r="Z44" s="797"/>
      <c r="AA44" s="797"/>
      <c r="AB44" s="797"/>
      <c r="AC44" s="797"/>
    </row>
    <row r="45" spans="1:29" ht="15.75" thickBot="1">
      <c r="A45" s="568" t="s">
        <v>2192</v>
      </c>
      <c r="B45" s="569"/>
      <c r="C45" s="570">
        <f>R45</f>
        <v>8921</v>
      </c>
      <c r="D45" s="570"/>
      <c r="E45" s="570"/>
      <c r="F45" s="570"/>
      <c r="G45" s="570"/>
      <c r="H45" s="570"/>
      <c r="I45" s="570"/>
      <c r="J45" s="570"/>
      <c r="K45" s="1134"/>
      <c r="L45" s="1750"/>
      <c r="M45" s="1741"/>
      <c r="N45" s="1741"/>
      <c r="O45" s="1741"/>
      <c r="P45" s="3730" t="str">
        <f>A45</f>
        <v>估价对象XX用房的比较价格（楼面单价，元/平方米）</v>
      </c>
      <c r="Q45" s="3731"/>
      <c r="R45" s="3768">
        <f>ROUND(IF(D44="简单平均",AVERAGE(R44:W44),R44*F44+T44*H44+V44*J44),0)</f>
        <v>8921</v>
      </c>
      <c r="S45" s="3768"/>
      <c r="T45" s="3768"/>
      <c r="U45" s="3768"/>
      <c r="V45" s="3768"/>
      <c r="W45" s="3768"/>
      <c r="X45" s="797"/>
      <c r="Y45" s="797"/>
      <c r="Z45" s="797"/>
      <c r="AA45" s="797"/>
      <c r="AB45" s="797"/>
      <c r="AC45" s="797"/>
    </row>
    <row r="46" spans="1:29">
      <c r="A46" s="2720"/>
      <c r="B46" s="2720"/>
      <c r="C46" s="2720"/>
      <c r="D46" s="2720"/>
      <c r="E46" s="2720"/>
      <c r="F46" s="2720"/>
      <c r="G46" s="2722"/>
      <c r="H46" s="2720"/>
      <c r="I46" s="2720"/>
      <c r="J46" s="2720"/>
      <c r="K46" s="2723"/>
      <c r="L46" s="1754"/>
      <c r="M46" s="1741"/>
      <c r="N46" s="1741"/>
      <c r="O46" s="1741"/>
      <c r="P46" s="1741"/>
      <c r="Q46" s="1741"/>
      <c r="R46" s="1741"/>
      <c r="S46" s="1741"/>
      <c r="T46" s="1741"/>
      <c r="U46" s="1741"/>
      <c r="V46" s="1741"/>
      <c r="W46" s="1741"/>
      <c r="X46" s="1741"/>
      <c r="Y46" s="1741"/>
      <c r="Z46" s="1741"/>
      <c r="AA46" s="1741"/>
      <c r="AB46" s="1741"/>
      <c r="AC46" s="1741"/>
    </row>
    <row r="47" spans="1:29">
      <c r="A47" s="2720"/>
      <c r="B47" s="2720"/>
      <c r="C47" s="2720"/>
      <c r="D47" s="2720"/>
      <c r="E47" s="2720"/>
      <c r="F47" s="2720"/>
      <c r="G47" s="2720"/>
      <c r="H47" s="2720"/>
      <c r="I47" s="2720"/>
      <c r="J47" s="2720"/>
      <c r="K47" s="2723"/>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20"/>
      <c r="B48" s="2720"/>
      <c r="C48" s="571" t="s">
        <v>506</v>
      </c>
      <c r="D48" s="572"/>
      <c r="E48" s="573">
        <f>IF(E43&lt;E44,E44/E43-1,E43/E44-1)</f>
        <v>0</v>
      </c>
      <c r="F48" s="574" t="str">
        <f>IF(OR(E48&gt;=0.3,E48&lt;=-0.3),"超过30%","")</f>
        <v/>
      </c>
      <c r="G48" s="573">
        <f>IF(G43&lt;G44,G44/G43-1,G43/G44-1)</f>
        <v>0</v>
      </c>
      <c r="H48" s="574" t="str">
        <f>IF(OR(G48&gt;=0.3,G48&lt;=-0.3),"超过30%","")</f>
        <v/>
      </c>
      <c r="I48" s="573">
        <f>IF(I43&lt;I44,I44/I43-1,I43/I44-1)</f>
        <v>0</v>
      </c>
      <c r="J48" s="574" t="str">
        <f>IF(OR(I48&gt;=0.3,I48&lt;=-0.3),"超过30%","")</f>
        <v/>
      </c>
      <c r="K48" s="2723"/>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20"/>
      <c r="B49" s="2720"/>
      <c r="C49" s="571" t="s">
        <v>507</v>
      </c>
      <c r="D49" s="575"/>
      <c r="E49" s="573">
        <f>IF(E44&lt;G44,G44/E44-1,E44/G44-1)</f>
        <v>1.4741420976317032E-2</v>
      </c>
      <c r="F49" s="574" t="str">
        <f>IF(OR(E49&gt;=0.2,E49&lt;=-0.2),"超过20%","")</f>
        <v/>
      </c>
      <c r="G49" s="573">
        <f>IF(G44&lt;I44,I44/G44-1,G44/I44-1)</f>
        <v>0.21906718221362986</v>
      </c>
      <c r="H49" s="574" t="str">
        <f>IF(OR(G49&gt;=0.2,G49&lt;=-0.2),"超过20%","")</f>
        <v>超过20%</v>
      </c>
      <c r="I49" s="573">
        <f>IF(I44&lt;E44,E44/I44-1,I44/E44-1)</f>
        <v>0.20135746606334837</v>
      </c>
      <c r="J49" s="574" t="str">
        <f>IF(OR(I49&gt;=0.2,I49&lt;=-0.2),"超过20%","")</f>
        <v>超过20%</v>
      </c>
      <c r="K49" s="2723"/>
      <c r="L49" s="1754"/>
      <c r="M49" s="1741"/>
      <c r="N49" s="1741"/>
      <c r="O49" s="1741"/>
      <c r="P49" s="1741"/>
      <c r="Q49" s="1741"/>
      <c r="R49" s="1741"/>
      <c r="S49" s="1741"/>
      <c r="T49" s="1741"/>
      <c r="U49" s="1741"/>
      <c r="V49" s="1741"/>
      <c r="W49" s="1741"/>
      <c r="X49" s="1741"/>
      <c r="Y49" s="1741"/>
      <c r="Z49" s="1741"/>
      <c r="AA49" s="1741"/>
      <c r="AB49" s="1741"/>
      <c r="AC49" s="1741"/>
    </row>
    <row r="50" spans="1:29" s="1137" customFormat="1" ht="13.5" customHeight="1">
      <c r="A50" s="2721"/>
      <c r="B50" s="2721"/>
      <c r="C50" s="571" t="s">
        <v>508</v>
      </c>
      <c r="D50" s="575"/>
      <c r="E50" s="573">
        <f>IF(E43&lt;G43,G43/E43-1,E43/G43-1)</f>
        <v>1.4741420976317032E-2</v>
      </c>
      <c r="F50" s="574" t="str">
        <f>IF(OR(E50&gt;=0.3,E50&lt;=-0.3),"超过30%","")</f>
        <v/>
      </c>
      <c r="G50" s="573">
        <f>IF(G43&lt;I43,I43/G43-1,G43/I43-1)</f>
        <v>0.21906718221362986</v>
      </c>
      <c r="H50" s="574" t="str">
        <f>IF(OR(G50&gt;=0.3,G50&lt;=-0.3),"超过30%","")</f>
        <v/>
      </c>
      <c r="I50" s="573">
        <f>IF(I43&lt;E43,E43/I43-1,I43/E43-1)</f>
        <v>0.20135746606334837</v>
      </c>
      <c r="J50" s="574" t="str">
        <f>IF(OR(I50&gt;=0.3,I50&lt;=-0.3),"超过30%","")</f>
        <v/>
      </c>
      <c r="K50" s="2724"/>
      <c r="L50" s="1757"/>
      <c r="M50" s="1751"/>
      <c r="N50" s="1751"/>
      <c r="O50" s="1751"/>
      <c r="P50" s="1751"/>
      <c r="Q50" s="1751"/>
      <c r="R50" s="1751"/>
      <c r="S50" s="1751"/>
      <c r="T50" s="1751"/>
      <c r="U50" s="1751"/>
      <c r="V50" s="1751"/>
      <c r="W50" s="1751"/>
      <c r="X50" s="1751"/>
      <c r="Y50" s="1751"/>
      <c r="Z50" s="1751"/>
      <c r="AA50" s="1751"/>
      <c r="AB50" s="1751"/>
      <c r="AC50" s="1751"/>
    </row>
    <row r="51" spans="1:29" s="1137" customFormat="1" ht="15" thickBot="1">
      <c r="A51" s="2721"/>
      <c r="B51" s="2732"/>
      <c r="C51" s="1755"/>
      <c r="D51" s="1751"/>
      <c r="E51" s="1751"/>
      <c r="F51" s="1751"/>
      <c r="G51" s="1751"/>
      <c r="H51" s="1751"/>
      <c r="I51" s="1751"/>
      <c r="J51" s="1751"/>
      <c r="K51" s="2724"/>
      <c r="L51" s="1757"/>
      <c r="M51" s="1751"/>
      <c r="N51" s="1751"/>
      <c r="O51" s="1751"/>
      <c r="P51" s="1751"/>
      <c r="Q51" s="1751"/>
      <c r="R51" s="1751"/>
      <c r="S51" s="1751"/>
      <c r="T51" s="1751"/>
      <c r="U51" s="1751"/>
      <c r="V51" s="1751"/>
      <c r="W51" s="1751"/>
      <c r="X51" s="1751"/>
      <c r="Y51" s="1751"/>
      <c r="Z51" s="1751"/>
      <c r="AA51" s="1751"/>
      <c r="AB51" s="1751"/>
      <c r="AC51" s="1751"/>
    </row>
    <row r="52" spans="1:29" ht="27">
      <c r="A52" s="576" t="s">
        <v>509</v>
      </c>
      <c r="B52" s="577" t="s">
        <v>510</v>
      </c>
      <c r="C52" s="1299" t="s">
        <v>1253</v>
      </c>
      <c r="D52" s="1820" t="s">
        <v>1648</v>
      </c>
      <c r="E52" s="578" t="s">
        <v>511</v>
      </c>
      <c r="F52" s="1609" t="s">
        <v>512</v>
      </c>
      <c r="G52" s="3764" t="s">
        <v>1640</v>
      </c>
      <c r="H52" s="3765"/>
      <c r="I52" s="1610" t="s">
        <v>1465</v>
      </c>
      <c r="J52" s="1296">
        <f>项目基本情况!F41</f>
        <v>0</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38" customFormat="1" ht="12.75">
      <c r="A53" s="580" t="s">
        <v>513</v>
      </c>
      <c r="B53" s="581">
        <f>C45</f>
        <v>8921</v>
      </c>
      <c r="C53" s="582">
        <v>1</v>
      </c>
      <c r="D53" s="1821">
        <v>1</v>
      </c>
      <c r="E53" s="582">
        <f>'数据-汇总表'!E8+'数据-汇总表'!E9</f>
        <v>5006.88</v>
      </c>
      <c r="F53" s="1608">
        <f t="shared" ref="F53:F61" si="14">ROUND(B53*E53/10000,0)</f>
        <v>4467</v>
      </c>
      <c r="G53" s="3766"/>
      <c r="H53" s="3767"/>
      <c r="I53" s="1611">
        <v>1</v>
      </c>
      <c r="J53" s="1297">
        <v>1</v>
      </c>
      <c r="K53" s="2725"/>
      <c r="L53" s="1759"/>
      <c r="M53" s="1759"/>
      <c r="N53" s="1759"/>
      <c r="O53" s="1759"/>
      <c r="P53" s="1759"/>
      <c r="Q53" s="1759"/>
      <c r="R53" s="1759"/>
      <c r="S53" s="1759"/>
      <c r="T53" s="1759"/>
      <c r="U53" s="1759"/>
      <c r="V53" s="1759"/>
      <c r="W53" s="1759"/>
      <c r="X53" s="1759"/>
      <c r="Y53" s="1759"/>
      <c r="Z53" s="1759"/>
      <c r="AA53" s="1759"/>
      <c r="AB53" s="1759"/>
      <c r="AC53" s="1759"/>
    </row>
    <row r="54" spans="1:29" s="1138" customFormat="1" ht="12.75">
      <c r="A54" s="584" t="s">
        <v>514</v>
      </c>
      <c r="B54" s="585">
        <f>ROUND($C$45*C54*D54,0)</f>
        <v>0</v>
      </c>
      <c r="C54" s="348">
        <f t="shared" ref="C54:C61" si="15">IF($C$52="北京市系数",I54,J54)</f>
        <v>0</v>
      </c>
      <c r="D54" s="1822">
        <v>0.25</v>
      </c>
      <c r="E54" s="586"/>
      <c r="F54" s="1608">
        <f t="shared" si="14"/>
        <v>0</v>
      </c>
      <c r="G54" s="3029" t="s">
        <v>1641</v>
      </c>
      <c r="H54" s="1612">
        <f>项目基本情况!B43</f>
        <v>0</v>
      </c>
      <c r="I54" s="1611">
        <f>SUMIF(修正!$A$57:$A$68,H54,修正!B57:B68)</f>
        <v>0</v>
      </c>
      <c r="J54" s="1298"/>
      <c r="K54" s="2725"/>
      <c r="L54" s="1759"/>
      <c r="M54" s="1759"/>
      <c r="N54" s="1759"/>
      <c r="O54" s="1759"/>
      <c r="P54" s="1759"/>
      <c r="Q54" s="1759"/>
      <c r="R54" s="1759"/>
      <c r="S54" s="1759"/>
      <c r="T54" s="1759"/>
      <c r="U54" s="1759"/>
      <c r="V54" s="1759"/>
      <c r="W54" s="1759"/>
      <c r="X54" s="1759"/>
      <c r="Y54" s="1759"/>
      <c r="Z54" s="1759"/>
      <c r="AA54" s="1759"/>
      <c r="AB54" s="1759"/>
      <c r="AC54" s="1759"/>
    </row>
    <row r="55" spans="1:29" s="1138" customFormat="1" ht="12.75">
      <c r="A55" s="584" t="s">
        <v>515</v>
      </c>
      <c r="B55" s="585">
        <f t="shared" ref="B55:B61" si="16">ROUND($C$45*C55*D55,0)</f>
        <v>0</v>
      </c>
      <c r="C55" s="348">
        <f t="shared" si="15"/>
        <v>0</v>
      </c>
      <c r="D55" s="1822">
        <v>0.25</v>
      </c>
      <c r="E55" s="586"/>
      <c r="F55" s="1608">
        <f t="shared" si="14"/>
        <v>0</v>
      </c>
      <c r="G55" s="3030"/>
      <c r="H55" s="1613">
        <f>项目基本情况!B43</f>
        <v>0</v>
      </c>
      <c r="I55" s="1611">
        <f>SUMIF(修正!$A$57:$A$68,H55,修正!C57:C68)</f>
        <v>0</v>
      </c>
      <c r="J55" s="1298"/>
      <c r="K55" s="2725"/>
      <c r="L55" s="1759"/>
      <c r="M55" s="1759"/>
      <c r="N55" s="1759"/>
      <c r="O55" s="1759"/>
      <c r="P55" s="1759"/>
      <c r="Q55" s="1759"/>
      <c r="R55" s="1759"/>
      <c r="S55" s="1759"/>
      <c r="T55" s="1759"/>
      <c r="U55" s="1759"/>
      <c r="V55" s="1759"/>
      <c r="W55" s="1759"/>
      <c r="X55" s="1759"/>
      <c r="Y55" s="1759"/>
      <c r="Z55" s="1759"/>
      <c r="AA55" s="1759"/>
      <c r="AB55" s="1759"/>
      <c r="AC55" s="1759"/>
    </row>
    <row r="56" spans="1:29" s="1138" customFormat="1" ht="12.75">
      <c r="A56" s="584" t="s">
        <v>516</v>
      </c>
      <c r="B56" s="585">
        <f t="shared" si="16"/>
        <v>0</v>
      </c>
      <c r="C56" s="348">
        <f t="shared" si="15"/>
        <v>0</v>
      </c>
      <c r="D56" s="1822">
        <v>0.25</v>
      </c>
      <c r="E56" s="586"/>
      <c r="F56" s="1608">
        <f t="shared" si="14"/>
        <v>0</v>
      </c>
      <c r="G56" s="3030"/>
      <c r="H56" s="1613">
        <f>项目基本情况!B43</f>
        <v>0</v>
      </c>
      <c r="I56" s="1611">
        <f>SUMIF(修正!$A$57:$A$68,H56,修正!D57:D68)</f>
        <v>0</v>
      </c>
      <c r="J56" s="1298"/>
      <c r="K56" s="2725"/>
      <c r="L56" s="1759"/>
      <c r="M56" s="1759"/>
      <c r="N56" s="1759"/>
      <c r="O56" s="1759"/>
      <c r="P56" s="1759"/>
      <c r="Q56" s="1759"/>
      <c r="R56" s="1759"/>
      <c r="S56" s="1759"/>
      <c r="T56" s="1759"/>
      <c r="U56" s="1759"/>
      <c r="V56" s="1759"/>
      <c r="W56" s="1759"/>
      <c r="X56" s="1759"/>
      <c r="Y56" s="1759"/>
      <c r="Z56" s="1759"/>
      <c r="AA56" s="1759"/>
      <c r="AB56" s="1759"/>
      <c r="AC56" s="1759"/>
    </row>
    <row r="57" spans="1:29" s="1138" customFormat="1" ht="12.75">
      <c r="A57" s="1918" t="s">
        <v>1682</v>
      </c>
      <c r="B57" s="585">
        <f t="shared" si="16"/>
        <v>0</v>
      </c>
      <c r="C57" s="348">
        <f t="shared" si="15"/>
        <v>0</v>
      </c>
      <c r="D57" s="1822">
        <v>0.25</v>
      </c>
      <c r="E57" s="588">
        <f>'数据-汇总表'!E11</f>
        <v>0</v>
      </c>
      <c r="F57" s="1608">
        <f t="shared" si="14"/>
        <v>0</v>
      </c>
      <c r="G57" s="1614" t="s">
        <v>1642</v>
      </c>
      <c r="H57" s="1613">
        <f>项目基本情况!C43</f>
        <v>0</v>
      </c>
      <c r="I57" s="1611">
        <f>SUMIF(修正!$A$57:$A$68,H57,修正!E57:E68)</f>
        <v>0</v>
      </c>
      <c r="J57" s="1298"/>
      <c r="K57" s="2725"/>
      <c r="L57" s="1759"/>
      <c r="M57" s="1759"/>
      <c r="N57" s="1759"/>
      <c r="O57" s="1759"/>
      <c r="P57" s="1759"/>
      <c r="Q57" s="1759"/>
      <c r="R57" s="1759"/>
      <c r="S57" s="1759"/>
      <c r="T57" s="1759"/>
      <c r="U57" s="1759"/>
      <c r="V57" s="1759"/>
      <c r="W57" s="1759"/>
      <c r="X57" s="1759"/>
      <c r="Y57" s="1759"/>
      <c r="Z57" s="1759"/>
      <c r="AA57" s="1759"/>
      <c r="AB57" s="1759"/>
      <c r="AC57" s="1759"/>
    </row>
    <row r="58" spans="1:29" s="1138" customFormat="1" ht="12.75">
      <c r="A58" s="584" t="s">
        <v>517</v>
      </c>
      <c r="B58" s="585">
        <f t="shared" si="16"/>
        <v>0</v>
      </c>
      <c r="C58" s="348">
        <f t="shared" si="15"/>
        <v>0</v>
      </c>
      <c r="D58" s="1822">
        <v>0.25</v>
      </c>
      <c r="E58" s="588">
        <f>'数据-汇总表'!E12</f>
        <v>0</v>
      </c>
      <c r="F58" s="1608">
        <f t="shared" si="14"/>
        <v>0</v>
      </c>
      <c r="G58" s="1604" t="s">
        <v>1212</v>
      </c>
      <c r="H58" s="1612">
        <f>IF(G58="商业",项目基本情况!B43,IF(G58="办公",项目基本情况!C43,IF(G58="住宅",项目基本情况!D43,项目基本情况!E43)))</f>
        <v>0</v>
      </c>
      <c r="I58" s="1611">
        <f>SUMIF(修正!$A$57:$A$68,H58,修正!F57:F68)</f>
        <v>0</v>
      </c>
      <c r="J58" s="1298"/>
      <c r="K58" s="2725"/>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4" t="s">
        <v>518</v>
      </c>
      <c r="B59" s="585">
        <f t="shared" si="16"/>
        <v>0</v>
      </c>
      <c r="C59" s="348">
        <f t="shared" si="15"/>
        <v>0</v>
      </c>
      <c r="D59" s="1822">
        <v>0.25</v>
      </c>
      <c r="E59" s="588">
        <f>'数据-汇总表'!E13</f>
        <v>0</v>
      </c>
      <c r="F59" s="1608">
        <f t="shared" si="14"/>
        <v>0</v>
      </c>
      <c r="G59" s="1604" t="s">
        <v>851</v>
      </c>
      <c r="H59" s="1612">
        <f>IF(G59="商业",项目基本情况!B43,IF(G59="办公",项目基本情况!C43,IF(G59="住宅",项目基本情况!D43,项目基本情况!E43)))</f>
        <v>0</v>
      </c>
      <c r="I59" s="1611">
        <f>SUMIF(修正!$A$57:$A$68,H59,修正!G57:G68)</f>
        <v>0</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4" t="s">
        <v>519</v>
      </c>
      <c r="B60" s="585">
        <f t="shared" si="16"/>
        <v>0</v>
      </c>
      <c r="C60" s="348">
        <f t="shared" si="15"/>
        <v>0</v>
      </c>
      <c r="D60" s="1822">
        <v>0.25</v>
      </c>
      <c r="E60" s="588">
        <f>'数据-汇总表'!E14</f>
        <v>0</v>
      </c>
      <c r="F60" s="1608">
        <f t="shared" si="14"/>
        <v>0</v>
      </c>
      <c r="G60" s="1614" t="s">
        <v>1641</v>
      </c>
      <c r="H60" s="1613">
        <f>项目基本情况!B43</f>
        <v>0</v>
      </c>
      <c r="I60" s="1611">
        <f>SUMIF(修正!$A$57:$A$68,H60,修正!G57:G68)</f>
        <v>0</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3.5" thickBot="1">
      <c r="A61" s="584" t="s">
        <v>520</v>
      </c>
      <c r="B61" s="585">
        <f t="shared" si="16"/>
        <v>0</v>
      </c>
      <c r="C61" s="348">
        <f t="shared" si="15"/>
        <v>0</v>
      </c>
      <c r="D61" s="1822">
        <v>0.25</v>
      </c>
      <c r="E61" s="588">
        <f>'数据-汇总表'!E15</f>
        <v>0</v>
      </c>
      <c r="F61" s="1608">
        <f t="shared" si="14"/>
        <v>0</v>
      </c>
      <c r="G61" s="1615" t="s">
        <v>1642</v>
      </c>
      <c r="H61" s="1616">
        <f>项目基本情况!C43</f>
        <v>0</v>
      </c>
      <c r="I61" s="1611">
        <f>SUMIF(修正!$A$57:$A$68,H61,修正!G57:G68)</f>
        <v>0</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3.5" thickBot="1">
      <c r="A62" s="589" t="s">
        <v>521</v>
      </c>
      <c r="B62" s="590" t="s">
        <v>11</v>
      </c>
      <c r="C62" s="590" t="s">
        <v>11</v>
      </c>
      <c r="D62" s="590" t="s">
        <v>1649</v>
      </c>
      <c r="E62" s="590">
        <f>IF(B43="楼面地价",SUM(E53:E61),'数据-汇总表'!D3)</f>
        <v>17556.580000000002</v>
      </c>
      <c r="F62" s="591">
        <f>IF(B43="楼面地价",SUM(F53:F61),ROUND(C45*E62/10000,0))</f>
        <v>15662</v>
      </c>
      <c r="G62" s="1760"/>
      <c r="H62" s="1760"/>
      <c r="I62" s="1760"/>
      <c r="J62" s="1760"/>
      <c r="K62" s="2733"/>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1" t="str">
        <f>YEAR(C9)&amp;"-"&amp;MONTH(C9)&amp;"-1"</f>
        <v>2023-9-1</v>
      </c>
      <c r="D64" s="2110">
        <f>EDATE(C64,-3)</f>
        <v>45078</v>
      </c>
      <c r="E64" s="2110">
        <f t="shared" ref="E64:N64" si="17">EDATE(D64,-3)</f>
        <v>44986</v>
      </c>
      <c r="F64" s="2110">
        <f t="shared" si="17"/>
        <v>44896</v>
      </c>
      <c r="G64" s="2110">
        <f t="shared" si="17"/>
        <v>44805</v>
      </c>
      <c r="H64" s="2110">
        <f t="shared" si="17"/>
        <v>44713</v>
      </c>
      <c r="I64" s="2110">
        <f t="shared" si="17"/>
        <v>44621</v>
      </c>
      <c r="J64" s="2110">
        <f t="shared" si="17"/>
        <v>44531</v>
      </c>
      <c r="K64" s="2110">
        <f t="shared" si="17"/>
        <v>44440</v>
      </c>
      <c r="L64" s="2110">
        <f t="shared" si="17"/>
        <v>44348</v>
      </c>
      <c r="M64" s="2110">
        <f t="shared" si="17"/>
        <v>44256</v>
      </c>
      <c r="N64" s="2110">
        <f t="shared" si="17"/>
        <v>44166</v>
      </c>
      <c r="O64" s="1752">
        <f t="shared" ref="O64" si="18">EDATE(N64,-3)</f>
        <v>44075</v>
      </c>
      <c r="P64" s="1752">
        <f t="shared" ref="P64" si="19">EDATE(O64,-3)</f>
        <v>43983</v>
      </c>
      <c r="Q64" s="1752">
        <f t="shared" ref="Q64" si="20">EDATE(P64,-3)</f>
        <v>43891</v>
      </c>
      <c r="R64" s="1741"/>
      <c r="S64" s="1741"/>
      <c r="T64" s="1741"/>
      <c r="U64" s="1741"/>
      <c r="V64" s="1741"/>
      <c r="W64" s="1741"/>
      <c r="X64" s="1741"/>
      <c r="Y64" s="1741"/>
      <c r="Z64" s="1741"/>
      <c r="AA64" s="1741"/>
      <c r="AB64" s="1741"/>
      <c r="AC64" s="1741"/>
    </row>
    <row r="65" spans="1:29" ht="21.75" thickBot="1">
      <c r="A65" s="1316" t="s">
        <v>522</v>
      </c>
      <c r="B65" s="797"/>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29" s="1139" customFormat="1" ht="28.5">
      <c r="A66" s="2041" t="s">
        <v>1813</v>
      </c>
      <c r="B66" s="593"/>
      <c r="C66" s="155" t="str">
        <f>YEAR(C64)&amp;"-"&amp;ROUNDUP(MONTH(C64)/3,0)</f>
        <v>2023-3</v>
      </c>
      <c r="D66" s="155" t="str">
        <f t="shared" ref="D66:N66" si="21">YEAR(D64)&amp;"-"&amp;ROUNDUP(MONTH(D64)/3,0)</f>
        <v>2023-2</v>
      </c>
      <c r="E66" s="155" t="str">
        <f t="shared" si="21"/>
        <v>2023-1</v>
      </c>
      <c r="F66" s="155" t="str">
        <f t="shared" si="21"/>
        <v>2022-4</v>
      </c>
      <c r="G66" s="155" t="str">
        <f t="shared" si="21"/>
        <v>2022-3</v>
      </c>
      <c r="H66" s="155" t="str">
        <f t="shared" si="21"/>
        <v>2022-2</v>
      </c>
      <c r="I66" s="155" t="str">
        <f t="shared" si="21"/>
        <v>2022-1</v>
      </c>
      <c r="J66" s="155" t="str">
        <f t="shared" si="21"/>
        <v>2021-4</v>
      </c>
      <c r="K66" s="155" t="str">
        <f t="shared" si="21"/>
        <v>2021-3</v>
      </c>
      <c r="L66" s="155" t="str">
        <f t="shared" si="21"/>
        <v>2021-2</v>
      </c>
      <c r="M66" s="155" t="str">
        <f t="shared" si="21"/>
        <v>2021-1</v>
      </c>
      <c r="N66" s="155" t="str">
        <f t="shared" si="21"/>
        <v>2020-4</v>
      </c>
      <c r="O66" s="3475" t="str">
        <f t="shared" ref="O66:Q66" si="22">YEAR(O64)&amp;"-"&amp;ROUNDUP(MONTH(O64)/3,0)</f>
        <v>2020-3</v>
      </c>
      <c r="P66" s="3475" t="str">
        <f t="shared" si="22"/>
        <v>2020-2</v>
      </c>
      <c r="Q66" s="3475" t="str">
        <f t="shared" si="22"/>
        <v>2020-1</v>
      </c>
      <c r="R66" s="1764"/>
      <c r="S66" s="1764"/>
      <c r="T66" s="1764"/>
      <c r="U66" s="1764"/>
      <c r="V66" s="1764"/>
      <c r="W66" s="1764"/>
      <c r="X66" s="1764"/>
      <c r="Y66" s="1764"/>
      <c r="Z66" s="1764"/>
      <c r="AA66" s="1764"/>
      <c r="AB66" s="1764"/>
      <c r="AC66" s="1764"/>
    </row>
    <row r="67" spans="1:29" s="1058" customFormat="1" ht="27.75" customHeight="1">
      <c r="A67" s="2109" t="s">
        <v>1928</v>
      </c>
      <c r="B67" s="448" t="str">
        <f>"北京市平均增长率"&amp;TEXT(基准地价!P28,"0.00%")</f>
        <v>北京市平均增长率0.00%</v>
      </c>
      <c r="C67" s="816">
        <v>100</v>
      </c>
      <c r="D67" s="79">
        <f>C67</f>
        <v>100</v>
      </c>
      <c r="E67" s="79">
        <f t="shared" ref="E67:N67" si="23">D67</f>
        <v>100</v>
      </c>
      <c r="F67" s="79">
        <f t="shared" si="23"/>
        <v>100</v>
      </c>
      <c r="G67" s="79">
        <f t="shared" si="23"/>
        <v>100</v>
      </c>
      <c r="H67" s="79">
        <f t="shared" si="23"/>
        <v>100</v>
      </c>
      <c r="I67" s="79">
        <f t="shared" si="23"/>
        <v>100</v>
      </c>
      <c r="J67" s="79">
        <f t="shared" si="23"/>
        <v>100</v>
      </c>
      <c r="K67" s="79">
        <f t="shared" si="23"/>
        <v>100</v>
      </c>
      <c r="L67" s="79">
        <f t="shared" si="23"/>
        <v>100</v>
      </c>
      <c r="M67" s="79">
        <f t="shared" si="23"/>
        <v>100</v>
      </c>
      <c r="N67" s="79">
        <f t="shared" si="23"/>
        <v>100</v>
      </c>
      <c r="O67" s="79">
        <f t="shared" ref="O67:Q67" si="24">N67</f>
        <v>100</v>
      </c>
      <c r="P67" s="79">
        <f t="shared" si="24"/>
        <v>100</v>
      </c>
      <c r="Q67" s="79">
        <f t="shared" si="24"/>
        <v>100</v>
      </c>
      <c r="R67" s="1639"/>
      <c r="S67" s="1639"/>
      <c r="T67" s="1639"/>
      <c r="U67" s="1639"/>
      <c r="V67" s="1639"/>
      <c r="W67" s="1639"/>
      <c r="X67" s="1639"/>
      <c r="Y67" s="1639"/>
      <c r="Z67" s="1639"/>
      <c r="AA67" s="1639"/>
      <c r="AB67" s="1639"/>
      <c r="AC67" s="1639"/>
    </row>
    <row r="68" spans="1:29" s="1058" customFormat="1" ht="15.75" thickBot="1">
      <c r="A68" s="262" t="s">
        <v>523</v>
      </c>
      <c r="B68" s="598"/>
      <c r="C68" s="2106"/>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29" s="1058" customFormat="1" ht="15">
      <c r="A69" s="603" t="s">
        <v>480</v>
      </c>
      <c r="B69" s="594"/>
      <c r="C69" s="604" t="s">
        <v>524</v>
      </c>
      <c r="D69" s="80"/>
      <c r="E69" s="80"/>
      <c r="F69" s="80"/>
      <c r="G69" s="80"/>
      <c r="H69" s="80"/>
      <c r="I69" s="80"/>
      <c r="J69" s="80"/>
      <c r="K69" s="80"/>
      <c r="L69" s="605"/>
      <c r="M69" s="606"/>
      <c r="N69" s="2734"/>
      <c r="O69" s="1765"/>
      <c r="P69" s="1646"/>
      <c r="Q69" s="1762"/>
      <c r="R69" s="1639"/>
      <c r="S69" s="1639"/>
      <c r="T69" s="1639"/>
      <c r="U69" s="1639"/>
      <c r="V69" s="1639"/>
      <c r="W69" s="1639"/>
      <c r="X69" s="1639"/>
      <c r="Y69" s="1639"/>
      <c r="Z69" s="1639"/>
      <c r="AA69" s="1639"/>
      <c r="AB69" s="1639"/>
      <c r="AC69" s="1639"/>
    </row>
    <row r="70" spans="1:29" s="1058" customFormat="1" ht="15.75" thickBot="1">
      <c r="A70" s="603"/>
      <c r="B70" s="594"/>
      <c r="C70" s="595">
        <v>100</v>
      </c>
      <c r="D70" s="596"/>
      <c r="E70" s="596"/>
      <c r="F70" s="596"/>
      <c r="G70" s="596"/>
      <c r="H70" s="596"/>
      <c r="I70" s="596"/>
      <c r="J70" s="596"/>
      <c r="K70" s="596"/>
      <c r="L70" s="596"/>
      <c r="M70" s="597"/>
      <c r="N70" s="2734"/>
      <c r="O70" s="1765"/>
      <c r="P70" s="1762"/>
      <c r="Q70" s="1762"/>
      <c r="R70" s="1639"/>
      <c r="S70" s="1639"/>
      <c r="T70" s="1639"/>
      <c r="U70" s="1639"/>
      <c r="V70" s="1639"/>
      <c r="W70" s="1639"/>
      <c r="X70" s="1639"/>
      <c r="Y70" s="1639"/>
      <c r="Z70" s="1639"/>
      <c r="AA70" s="1639"/>
      <c r="AB70" s="1639"/>
      <c r="AC70" s="1639"/>
    </row>
    <row r="71" spans="1:29">
      <c r="A71" s="607" t="s">
        <v>525</v>
      </c>
      <c r="B71" s="608" t="s">
        <v>483</v>
      </c>
      <c r="C71" s="547" t="str">
        <f>项目基本情况!B13</f>
        <v>仓储</v>
      </c>
      <c r="D71" s="547" t="str">
        <f>'通兴房顺昌门出让-工业'!M13</f>
        <v xml:space="preserve"> W1物流用地</v>
      </c>
      <c r="E71" s="547"/>
      <c r="F71" s="547"/>
      <c r="G71" s="547"/>
      <c r="H71" s="547"/>
      <c r="I71" s="547"/>
      <c r="J71" s="547"/>
      <c r="K71" s="609"/>
      <c r="L71" s="610"/>
      <c r="M71" s="611"/>
      <c r="N71" s="2735"/>
      <c r="O71" s="1766"/>
      <c r="P71" s="1765"/>
      <c r="Q71" s="1762"/>
      <c r="R71" s="1741"/>
      <c r="S71" s="1741"/>
      <c r="T71" s="1741"/>
      <c r="U71" s="1741"/>
      <c r="V71" s="1741"/>
      <c r="W71" s="1741"/>
      <c r="X71" s="1741"/>
      <c r="Y71" s="1741"/>
      <c r="Z71" s="1741"/>
      <c r="AA71" s="1741"/>
      <c r="AB71" s="1741"/>
      <c r="AC71" s="1741"/>
    </row>
    <row r="72" spans="1:29" ht="15.75" thickBot="1">
      <c r="A72" s="482"/>
      <c r="B72" s="612"/>
      <c r="C72" s="613">
        <v>100</v>
      </c>
      <c r="D72" s="613">
        <v>100</v>
      </c>
      <c r="E72" s="613"/>
      <c r="F72" s="613"/>
      <c r="G72" s="613"/>
      <c r="H72" s="613"/>
      <c r="I72" s="613"/>
      <c r="J72" s="613"/>
      <c r="K72" s="613"/>
      <c r="L72" s="613"/>
      <c r="M72" s="614"/>
      <c r="N72" s="2736"/>
      <c r="O72" s="1767"/>
      <c r="P72" s="1765"/>
      <c r="Q72" s="1762"/>
      <c r="R72" s="1741"/>
      <c r="S72" s="1741"/>
      <c r="T72" s="1741"/>
      <c r="U72" s="1741"/>
      <c r="V72" s="1741"/>
      <c r="W72" s="1741"/>
      <c r="X72" s="1741"/>
      <c r="Y72" s="1741"/>
      <c r="Z72" s="1741"/>
      <c r="AA72" s="1741"/>
      <c r="AB72" s="1741"/>
      <c r="AC72" s="1741"/>
    </row>
    <row r="73" spans="1:29" ht="27.75" thickTop="1">
      <c r="A73" s="482"/>
      <c r="B73" s="615" t="s">
        <v>486</v>
      </c>
      <c r="C73" s="616"/>
      <c r="D73" s="616"/>
      <c r="E73" s="616"/>
      <c r="F73" s="616"/>
      <c r="G73" s="616"/>
      <c r="H73" s="616"/>
      <c r="I73" s="616"/>
      <c r="J73" s="616"/>
      <c r="K73" s="617"/>
      <c r="L73" s="618"/>
      <c r="M73" s="619"/>
      <c r="N73" s="2735"/>
      <c r="O73" s="1766"/>
      <c r="P73" s="1765"/>
      <c r="Q73" s="1762"/>
      <c r="R73" s="1741"/>
      <c r="S73" s="1741"/>
      <c r="T73" s="1741"/>
      <c r="U73" s="1741"/>
      <c r="V73" s="1741"/>
      <c r="W73" s="1741"/>
      <c r="X73" s="1741"/>
      <c r="Y73" s="1741"/>
      <c r="Z73" s="1741"/>
      <c r="AA73" s="1741"/>
      <c r="AB73" s="1741"/>
      <c r="AC73" s="1741"/>
    </row>
    <row r="74" spans="1:29" ht="15.75" thickBot="1">
      <c r="A74" s="482"/>
      <c r="B74" s="620"/>
      <c r="C74" s="621"/>
      <c r="D74" s="621"/>
      <c r="E74" s="621"/>
      <c r="F74" s="621"/>
      <c r="G74" s="621"/>
      <c r="H74" s="621"/>
      <c r="I74" s="621"/>
      <c r="J74" s="621"/>
      <c r="K74" s="621"/>
      <c r="L74" s="621"/>
      <c r="M74" s="622"/>
      <c r="N74" s="2736"/>
      <c r="O74" s="1767"/>
      <c r="P74" s="1765"/>
      <c r="Q74" s="1762"/>
      <c r="R74" s="1741"/>
      <c r="S74" s="1741"/>
      <c r="T74" s="1741"/>
      <c r="U74" s="1741"/>
      <c r="V74" s="1741"/>
      <c r="W74" s="1741"/>
      <c r="X74" s="1741"/>
      <c r="Y74" s="1741"/>
      <c r="Z74" s="1741"/>
      <c r="AA74" s="1741"/>
      <c r="AB74" s="1741"/>
      <c r="AC74" s="1741"/>
    </row>
    <row r="75" spans="1:29" ht="15.75" thickTop="1">
      <c r="A75" s="482"/>
      <c r="B75" s="623" t="s">
        <v>487</v>
      </c>
      <c r="C75" s="624" t="str">
        <f>C76&amp;"（含）"&amp;"-"&amp;D76</f>
        <v>0（含）-</v>
      </c>
      <c r="D75" s="624" t="str">
        <f t="shared" ref="D75:L75" si="25">D76&amp;"（含）"&amp;"-"&amp;E76</f>
        <v>（含）-</v>
      </c>
      <c r="E75" s="624" t="str">
        <f t="shared" si="25"/>
        <v>（含）-</v>
      </c>
      <c r="F75" s="624" t="str">
        <f t="shared" si="25"/>
        <v>（含）-</v>
      </c>
      <c r="G75" s="624" t="str">
        <f t="shared" si="25"/>
        <v>（含）-</v>
      </c>
      <c r="H75" s="624" t="str">
        <f t="shared" si="25"/>
        <v>（含）-</v>
      </c>
      <c r="I75" s="624" t="str">
        <f t="shared" si="25"/>
        <v>（含）-</v>
      </c>
      <c r="J75" s="624" t="str">
        <f t="shared" si="25"/>
        <v>（含）-</v>
      </c>
      <c r="K75" s="624" t="str">
        <f t="shared" si="25"/>
        <v>（含）-</v>
      </c>
      <c r="L75" s="624" t="str">
        <f t="shared" si="25"/>
        <v>（含）-</v>
      </c>
      <c r="M75" s="505" t="str">
        <f>M76&amp;"（含）"&amp;"-"&amp;P76</f>
        <v>（含）-</v>
      </c>
      <c r="N75" s="2736"/>
      <c r="O75" s="1767"/>
      <c r="P75" s="1765"/>
      <c r="Q75" s="1762"/>
      <c r="R75" s="1741"/>
      <c r="S75" s="1741"/>
      <c r="T75" s="1741"/>
      <c r="U75" s="1741"/>
      <c r="V75" s="1741"/>
      <c r="W75" s="1741"/>
      <c r="X75" s="1741"/>
      <c r="Y75" s="1741"/>
      <c r="Z75" s="1741"/>
      <c r="AA75" s="1741"/>
      <c r="AB75" s="1741"/>
      <c r="AC75" s="1741"/>
    </row>
    <row r="76" spans="1:29" ht="15">
      <c r="A76" s="482"/>
      <c r="B76" s="625"/>
      <c r="C76" s="491">
        <v>0</v>
      </c>
      <c r="D76" s="491"/>
      <c r="E76" s="491"/>
      <c r="F76" s="491"/>
      <c r="G76" s="491"/>
      <c r="H76" s="491"/>
      <c r="I76" s="491"/>
      <c r="J76" s="491"/>
      <c r="K76" s="626"/>
      <c r="L76" s="627"/>
      <c r="M76" s="628"/>
      <c r="N76" s="2735"/>
      <c r="O76" s="1766"/>
      <c r="P76" s="1765"/>
      <c r="Q76" s="1762"/>
      <c r="R76" s="1741"/>
      <c r="S76" s="1741"/>
      <c r="T76" s="1741"/>
      <c r="U76" s="1741"/>
      <c r="V76" s="1741"/>
      <c r="W76" s="1741"/>
      <c r="X76" s="1741"/>
      <c r="Y76" s="1741"/>
      <c r="Z76" s="1741"/>
      <c r="AA76" s="1741"/>
      <c r="AB76" s="1741"/>
      <c r="AC76" s="1741"/>
    </row>
    <row r="77" spans="1:29" ht="15.75" thickBot="1">
      <c r="A77" s="482"/>
      <c r="B77" s="612"/>
      <c r="C77" s="621">
        <v>100</v>
      </c>
      <c r="D77" s="621">
        <f t="shared" ref="D77:M77" si="26">IF($B$43="单位面积地价",C77+$K13,C77-$K13)</f>
        <v>100</v>
      </c>
      <c r="E77" s="621">
        <f t="shared" si="26"/>
        <v>100</v>
      </c>
      <c r="F77" s="621">
        <f t="shared" si="26"/>
        <v>100</v>
      </c>
      <c r="G77" s="621">
        <f t="shared" si="26"/>
        <v>100</v>
      </c>
      <c r="H77" s="621">
        <f t="shared" si="26"/>
        <v>100</v>
      </c>
      <c r="I77" s="621">
        <f t="shared" si="26"/>
        <v>100</v>
      </c>
      <c r="J77" s="621">
        <f t="shared" si="26"/>
        <v>100</v>
      </c>
      <c r="K77" s="621">
        <f t="shared" si="26"/>
        <v>100</v>
      </c>
      <c r="L77" s="621">
        <f t="shared" si="26"/>
        <v>100</v>
      </c>
      <c r="M77" s="621">
        <f t="shared" si="26"/>
        <v>100</v>
      </c>
      <c r="N77" s="2736"/>
      <c r="O77" s="1767"/>
      <c r="P77" s="1765"/>
      <c r="Q77" s="1762"/>
      <c r="R77" s="1741"/>
      <c r="S77" s="1741"/>
      <c r="T77" s="1741"/>
      <c r="U77" s="1741"/>
      <c r="V77" s="1741"/>
      <c r="W77" s="1741"/>
      <c r="X77" s="1741"/>
      <c r="Y77" s="1741"/>
      <c r="Z77" s="1741"/>
      <c r="AA77" s="1741"/>
      <c r="AB77" s="1741"/>
      <c r="AC77" s="1741"/>
    </row>
    <row r="78" spans="1:29" s="1132" customFormat="1" ht="15.75" thickTop="1">
      <c r="A78" s="629"/>
      <c r="B78" s="615">
        <f>B14</f>
        <v>0</v>
      </c>
      <c r="C78" s="630"/>
      <c r="D78" s="630"/>
      <c r="E78" s="630"/>
      <c r="F78" s="630"/>
      <c r="G78" s="630"/>
      <c r="H78" s="631"/>
      <c r="I78" s="631"/>
      <c r="J78" s="631"/>
      <c r="K78" s="631"/>
      <c r="L78" s="632"/>
      <c r="M78" s="633"/>
      <c r="N78" s="2737"/>
      <c r="O78" s="1768"/>
      <c r="P78" s="1768"/>
      <c r="Q78" s="1769"/>
      <c r="R78" s="1770"/>
      <c r="S78" s="1770"/>
      <c r="T78" s="1770"/>
      <c r="U78" s="1770"/>
      <c r="V78" s="1770"/>
      <c r="W78" s="1770"/>
      <c r="X78" s="1770"/>
      <c r="Y78" s="1770"/>
      <c r="Z78" s="1770"/>
      <c r="AA78" s="1770"/>
      <c r="AB78" s="1770"/>
      <c r="AC78" s="1770"/>
    </row>
    <row r="79" spans="1:29" s="1132" customFormat="1" ht="15.75" thickBot="1">
      <c r="A79" s="629"/>
      <c r="B79" s="620"/>
      <c r="C79" s="634"/>
      <c r="D79" s="613"/>
      <c r="E79" s="613"/>
      <c r="F79" s="613"/>
      <c r="G79" s="613"/>
      <c r="H79" s="613"/>
      <c r="I79" s="613"/>
      <c r="J79" s="613"/>
      <c r="K79" s="613"/>
      <c r="L79" s="613"/>
      <c r="M79" s="614"/>
      <c r="N79" s="2736"/>
      <c r="O79" s="1767"/>
      <c r="P79" s="1768"/>
      <c r="Q79" s="1769"/>
      <c r="R79" s="1770"/>
      <c r="S79" s="1770"/>
      <c r="T79" s="1770"/>
      <c r="U79" s="1770"/>
      <c r="V79" s="1770"/>
      <c r="W79" s="1770"/>
      <c r="X79" s="1770"/>
      <c r="Y79" s="1770"/>
      <c r="Z79" s="1770"/>
      <c r="AA79" s="1770"/>
      <c r="AB79" s="1770"/>
      <c r="AC79" s="1770"/>
    </row>
    <row r="80" spans="1:29" s="1132" customFormat="1" ht="15.75" thickTop="1">
      <c r="A80" s="629"/>
      <c r="B80" s="615">
        <f>B15</f>
        <v>0</v>
      </c>
      <c r="C80" s="630"/>
      <c r="D80" s="630"/>
      <c r="E80" s="630"/>
      <c r="F80" s="630"/>
      <c r="G80" s="630"/>
      <c r="H80" s="631"/>
      <c r="I80" s="631"/>
      <c r="J80" s="631"/>
      <c r="K80" s="631"/>
      <c r="L80" s="632"/>
      <c r="M80" s="633"/>
      <c r="N80" s="2737"/>
      <c r="O80" s="1768"/>
      <c r="P80" s="1770"/>
      <c r="Q80" s="1771"/>
      <c r="R80" s="1770"/>
      <c r="S80" s="1770"/>
      <c r="T80" s="1770"/>
      <c r="U80" s="1770"/>
      <c r="V80" s="1770"/>
      <c r="W80" s="1770"/>
      <c r="X80" s="1770"/>
      <c r="Y80" s="1770"/>
      <c r="Z80" s="1770"/>
      <c r="AA80" s="1770"/>
      <c r="AB80" s="1770"/>
      <c r="AC80" s="1770"/>
    </row>
    <row r="81" spans="1:29" s="1132" customFormat="1" ht="15.75" thickBot="1">
      <c r="A81" s="629"/>
      <c r="B81" s="620"/>
      <c r="C81" s="634"/>
      <c r="D81" s="634"/>
      <c r="E81" s="634"/>
      <c r="F81" s="634"/>
      <c r="G81" s="634"/>
      <c r="H81" s="635"/>
      <c r="I81" s="635"/>
      <c r="J81" s="635"/>
      <c r="K81" s="635"/>
      <c r="L81" s="635"/>
      <c r="M81" s="636"/>
      <c r="N81" s="2737"/>
      <c r="O81" s="1768"/>
      <c r="P81" s="1768"/>
      <c r="Q81" s="1769"/>
      <c r="R81" s="1770"/>
      <c r="S81" s="1770"/>
      <c r="T81" s="1770"/>
      <c r="U81" s="1770"/>
      <c r="V81" s="1770"/>
      <c r="W81" s="1770"/>
      <c r="X81" s="1770"/>
      <c r="Y81" s="1770"/>
      <c r="Z81" s="1770"/>
      <c r="AA81" s="1770"/>
      <c r="AB81" s="1770"/>
      <c r="AC81" s="1770"/>
    </row>
    <row r="82" spans="1:29" s="1132" customFormat="1" ht="15.75" thickTop="1">
      <c r="A82" s="629"/>
      <c r="B82" s="623">
        <f>B16</f>
        <v>0</v>
      </c>
      <c r="C82" s="80"/>
      <c r="D82" s="80"/>
      <c r="E82" s="80"/>
      <c r="F82" s="80"/>
      <c r="G82" s="80"/>
      <c r="H82" s="637"/>
      <c r="I82" s="637"/>
      <c r="J82" s="637"/>
      <c r="K82" s="637"/>
      <c r="L82" s="638"/>
      <c r="M82" s="639"/>
      <c r="N82" s="2737"/>
      <c r="O82" s="1768"/>
      <c r="P82" s="1772"/>
      <c r="Q82" s="1769"/>
      <c r="R82" s="1770"/>
      <c r="S82" s="1770"/>
      <c r="T82" s="1770"/>
      <c r="U82" s="1770"/>
      <c r="V82" s="1770"/>
      <c r="W82" s="1770"/>
      <c r="X82" s="1770"/>
      <c r="Y82" s="1770"/>
      <c r="Z82" s="1770"/>
      <c r="AA82" s="1770"/>
      <c r="AB82" s="1770"/>
      <c r="AC82" s="1770"/>
    </row>
    <row r="83" spans="1:29" s="1132" customFormat="1" ht="15.75" thickBot="1">
      <c r="A83" s="640"/>
      <c r="B83" s="641"/>
      <c r="C83" s="642"/>
      <c r="D83" s="642"/>
      <c r="E83" s="642"/>
      <c r="F83" s="642"/>
      <c r="G83" s="642"/>
      <c r="H83" s="643"/>
      <c r="I83" s="643"/>
      <c r="J83" s="643"/>
      <c r="K83" s="643"/>
      <c r="L83" s="643"/>
      <c r="M83" s="644"/>
      <c r="N83" s="2737"/>
      <c r="O83" s="1768"/>
      <c r="P83" s="1768"/>
      <c r="Q83" s="1769"/>
      <c r="R83" s="1770"/>
      <c r="S83" s="1770"/>
      <c r="T83" s="1770"/>
      <c r="U83" s="1770"/>
      <c r="V83" s="1770"/>
      <c r="W83" s="1770"/>
      <c r="X83" s="1770"/>
      <c r="Y83" s="1770"/>
      <c r="Z83" s="1770"/>
      <c r="AA83" s="1770"/>
      <c r="AB83" s="1770"/>
      <c r="AC83" s="1770"/>
    </row>
    <row r="84" spans="1:29">
      <c r="A84" s="607" t="s">
        <v>488</v>
      </c>
      <c r="B84" s="608" t="s">
        <v>550</v>
      </c>
      <c r="C84" s="143" t="s">
        <v>527</v>
      </c>
      <c r="D84" s="143" t="s">
        <v>528</v>
      </c>
      <c r="E84" s="143" t="s">
        <v>529</v>
      </c>
      <c r="F84" s="143" t="s">
        <v>530</v>
      </c>
      <c r="G84" s="143" t="s">
        <v>531</v>
      </c>
      <c r="H84" s="645"/>
      <c r="I84" s="645"/>
      <c r="J84" s="645"/>
      <c r="K84" s="646"/>
      <c r="L84" s="647"/>
      <c r="M84" s="648"/>
      <c r="N84" s="2735"/>
      <c r="O84" s="1766"/>
      <c r="P84" s="1773"/>
      <c r="Q84" s="1762"/>
      <c r="R84" s="1741"/>
      <c r="S84" s="1741"/>
      <c r="T84" s="1741"/>
      <c r="U84" s="1741"/>
      <c r="V84" s="1741"/>
      <c r="W84" s="1741"/>
      <c r="X84" s="1741"/>
      <c r="Y84" s="1741"/>
      <c r="Z84" s="1741"/>
      <c r="AA84" s="1741"/>
      <c r="AB84" s="1741"/>
      <c r="AC84" s="1741"/>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6"/>
      <c r="O85" s="1767"/>
      <c r="P85" s="1765"/>
      <c r="Q85" s="1762"/>
      <c r="R85" s="1741"/>
      <c r="S85" s="1741"/>
      <c r="T85" s="1741"/>
      <c r="U85" s="1741"/>
      <c r="V85" s="1741"/>
      <c r="W85" s="1741"/>
      <c r="X85" s="1741"/>
      <c r="Y85" s="1741"/>
      <c r="Z85" s="1741"/>
      <c r="AA85" s="1741"/>
      <c r="AB85" s="1741"/>
      <c r="AC85" s="1741"/>
    </row>
    <row r="86" spans="1:29" ht="15.75" thickTop="1">
      <c r="A86" s="482"/>
      <c r="B86" s="615" t="s">
        <v>534</v>
      </c>
      <c r="C86" s="649" t="s">
        <v>527</v>
      </c>
      <c r="D86" s="649" t="s">
        <v>528</v>
      </c>
      <c r="E86" s="649" t="s">
        <v>529</v>
      </c>
      <c r="F86" s="649" t="s">
        <v>530</v>
      </c>
      <c r="G86" s="649" t="s">
        <v>531</v>
      </c>
      <c r="H86" s="616"/>
      <c r="I86" s="616"/>
      <c r="J86" s="616"/>
      <c r="K86" s="617"/>
      <c r="L86" s="618"/>
      <c r="M86" s="619"/>
      <c r="N86" s="2735"/>
      <c r="O86" s="1766"/>
      <c r="P86" s="1765"/>
      <c r="Q86" s="1762"/>
      <c r="R86" s="1741"/>
      <c r="S86" s="1741"/>
      <c r="T86" s="1741"/>
      <c r="U86" s="1741"/>
      <c r="V86" s="1741"/>
      <c r="W86" s="1741"/>
      <c r="X86" s="1741"/>
      <c r="Y86" s="1741"/>
      <c r="Z86" s="1741"/>
      <c r="AA86" s="1741"/>
      <c r="AB86" s="1741"/>
      <c r="AC86" s="1741"/>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6"/>
      <c r="O87" s="1767"/>
      <c r="P87" s="1765"/>
      <c r="Q87" s="1762"/>
      <c r="R87" s="1741"/>
      <c r="S87" s="1741"/>
      <c r="T87" s="1741"/>
      <c r="U87" s="1741"/>
      <c r="V87" s="1741"/>
      <c r="W87" s="1741"/>
      <c r="X87" s="1741"/>
      <c r="Y87" s="1741"/>
      <c r="Z87" s="1741"/>
      <c r="AA87" s="1741"/>
      <c r="AB87" s="1741"/>
      <c r="AC87" s="1741"/>
    </row>
    <row r="88" spans="1:29" s="1058" customFormat="1" ht="27.75" thickTop="1">
      <c r="A88" s="486"/>
      <c r="B88" s="615" t="s">
        <v>535</v>
      </c>
      <c r="C88" s="649" t="s">
        <v>527</v>
      </c>
      <c r="D88" s="649" t="s">
        <v>528</v>
      </c>
      <c r="E88" s="649" t="s">
        <v>529</v>
      </c>
      <c r="F88" s="649" t="s">
        <v>530</v>
      </c>
      <c r="G88" s="649" t="s">
        <v>531</v>
      </c>
      <c r="H88" s="649"/>
      <c r="I88" s="649"/>
      <c r="J88" s="649"/>
      <c r="K88" s="649"/>
      <c r="L88" s="650"/>
      <c r="M88" s="651"/>
      <c r="N88" s="2734"/>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52">
        <v>100</v>
      </c>
      <c r="D89" s="621">
        <f>C89-$K21</f>
        <v>100</v>
      </c>
      <c r="E89" s="621">
        <f>D89-$K21</f>
        <v>100</v>
      </c>
      <c r="F89" s="621">
        <f>E89-$K21</f>
        <v>100</v>
      </c>
      <c r="G89" s="621">
        <f>F89-$K21</f>
        <v>100</v>
      </c>
      <c r="H89" s="621"/>
      <c r="I89" s="621"/>
      <c r="J89" s="621"/>
      <c r="K89" s="621"/>
      <c r="L89" s="621"/>
      <c r="M89" s="622"/>
      <c r="N89" s="2736"/>
      <c r="O89" s="1767"/>
      <c r="P89" s="1765"/>
      <c r="Q89" s="1762"/>
      <c r="R89" s="1639"/>
      <c r="S89" s="1639"/>
      <c r="T89" s="1639"/>
      <c r="U89" s="1639"/>
      <c r="V89" s="1639"/>
      <c r="W89" s="1639"/>
      <c r="X89" s="1639"/>
      <c r="Y89" s="1639"/>
      <c r="Z89" s="1639"/>
      <c r="AA89" s="1639"/>
      <c r="AB89" s="1639"/>
      <c r="AC89" s="1639"/>
    </row>
    <row r="90" spans="1:29" s="1058" customFormat="1" ht="27.75" thickTop="1">
      <c r="A90" s="486"/>
      <c r="B90" s="615" t="s">
        <v>536</v>
      </c>
      <c r="C90" s="143" t="s">
        <v>527</v>
      </c>
      <c r="D90" s="143" t="s">
        <v>528</v>
      </c>
      <c r="E90" s="143" t="s">
        <v>529</v>
      </c>
      <c r="F90" s="143" t="s">
        <v>530</v>
      </c>
      <c r="G90" s="143" t="s">
        <v>531</v>
      </c>
      <c r="H90" s="649"/>
      <c r="I90" s="649"/>
      <c r="J90" s="649"/>
      <c r="K90" s="649"/>
      <c r="L90" s="649"/>
      <c r="M90" s="651"/>
      <c r="N90" s="2734"/>
      <c r="O90" s="1765"/>
      <c r="P90" s="1765"/>
      <c r="Q90" s="1762"/>
      <c r="R90" s="1639"/>
      <c r="S90" s="1639"/>
      <c r="T90" s="1639"/>
      <c r="U90" s="1639"/>
      <c r="V90" s="1639"/>
      <c r="W90" s="1639"/>
      <c r="X90" s="1639"/>
      <c r="Y90" s="1639"/>
      <c r="Z90" s="1639"/>
      <c r="AA90" s="1639"/>
      <c r="AB90" s="1639"/>
      <c r="AC90" s="1639"/>
    </row>
    <row r="91" spans="1:29" s="1058" customFormat="1" ht="15.75" thickBot="1">
      <c r="A91" s="486"/>
      <c r="B91" s="620"/>
      <c r="C91" s="621">
        <v>100</v>
      </c>
      <c r="D91" s="621">
        <f>C91-$K23</f>
        <v>100</v>
      </c>
      <c r="E91" s="621">
        <f>D91-$K23</f>
        <v>100</v>
      </c>
      <c r="F91" s="621">
        <f>E91-$K23</f>
        <v>100</v>
      </c>
      <c r="G91" s="621">
        <f>F91-$K23</f>
        <v>100</v>
      </c>
      <c r="H91" s="621"/>
      <c r="I91" s="621"/>
      <c r="J91" s="621"/>
      <c r="K91" s="621"/>
      <c r="L91" s="621"/>
      <c r="M91" s="622"/>
      <c r="N91" s="2736"/>
      <c r="O91" s="1767"/>
      <c r="P91" s="1765"/>
      <c r="Q91" s="1762"/>
      <c r="R91" s="1639"/>
      <c r="S91" s="1639"/>
      <c r="T91" s="1639"/>
      <c r="U91" s="1639"/>
      <c r="V91" s="1639"/>
      <c r="W91" s="1639"/>
      <c r="X91" s="1639"/>
      <c r="Y91" s="1639"/>
      <c r="Z91" s="1639"/>
      <c r="AA91" s="1639"/>
      <c r="AB91" s="1639"/>
      <c r="AC91" s="1639"/>
    </row>
    <row r="92" spans="1:29" s="1132" customFormat="1" ht="15.75" thickTop="1">
      <c r="A92" s="629"/>
      <c r="B92" s="1554" t="s">
        <v>1828</v>
      </c>
      <c r="C92" s="143" t="s">
        <v>527</v>
      </c>
      <c r="D92" s="143" t="s">
        <v>528</v>
      </c>
      <c r="E92" s="143" t="s">
        <v>529</v>
      </c>
      <c r="F92" s="143" t="s">
        <v>530</v>
      </c>
      <c r="G92" s="143" t="s">
        <v>531</v>
      </c>
      <c r="H92" s="653"/>
      <c r="I92" s="653"/>
      <c r="J92" s="653"/>
      <c r="K92" s="653"/>
      <c r="L92" s="654"/>
      <c r="M92" s="655"/>
      <c r="N92" s="2737"/>
      <c r="O92" s="1768"/>
      <c r="P92" s="1768"/>
      <c r="Q92" s="1769"/>
      <c r="R92" s="1770"/>
      <c r="S92" s="1770"/>
      <c r="T92" s="1770"/>
      <c r="U92" s="1770"/>
      <c r="V92" s="1770"/>
      <c r="W92" s="1770"/>
      <c r="X92" s="1770"/>
      <c r="Y92" s="1770"/>
      <c r="Z92" s="1770"/>
      <c r="AA92" s="1770"/>
      <c r="AB92" s="1770"/>
      <c r="AC92" s="1770"/>
    </row>
    <row r="93" spans="1:29" s="1132" customFormat="1" ht="15.75" thickBot="1">
      <c r="A93" s="629"/>
      <c r="B93" s="620"/>
      <c r="C93" s="621">
        <v>100</v>
      </c>
      <c r="D93" s="621">
        <f>C93-$K25</f>
        <v>100</v>
      </c>
      <c r="E93" s="621">
        <f>D93-$K25</f>
        <v>100</v>
      </c>
      <c r="F93" s="621">
        <f>E93-$K25</f>
        <v>100</v>
      </c>
      <c r="G93" s="621">
        <f>F93-$K25</f>
        <v>100</v>
      </c>
      <c r="H93" s="656"/>
      <c r="I93" s="656"/>
      <c r="J93" s="656"/>
      <c r="K93" s="656"/>
      <c r="L93" s="656"/>
      <c r="M93" s="657"/>
      <c r="N93" s="2737"/>
      <c r="O93" s="1768"/>
      <c r="P93" s="1768"/>
      <c r="Q93" s="1769"/>
      <c r="R93" s="1770"/>
      <c r="S93" s="1770"/>
      <c r="T93" s="1770"/>
      <c r="U93" s="1770"/>
      <c r="V93" s="1770"/>
      <c r="W93" s="1770"/>
      <c r="X93" s="1770"/>
      <c r="Y93" s="1770"/>
      <c r="Z93" s="1770"/>
      <c r="AA93" s="1770"/>
      <c r="AB93" s="1770"/>
      <c r="AC93" s="1770"/>
    </row>
    <row r="94" spans="1:29" s="1132" customFormat="1" ht="15.75" thickTop="1">
      <c r="A94" s="629"/>
      <c r="B94" s="2055" t="s">
        <v>1829</v>
      </c>
      <c r="C94" s="2056" t="s">
        <v>1831</v>
      </c>
      <c r="D94" s="2056" t="s">
        <v>1832</v>
      </c>
      <c r="E94" s="2056" t="s">
        <v>1833</v>
      </c>
      <c r="F94" s="2056" t="s">
        <v>1834</v>
      </c>
      <c r="G94" s="2056" t="s">
        <v>1835</v>
      </c>
      <c r="H94" s="653"/>
      <c r="I94" s="653"/>
      <c r="J94" s="653"/>
      <c r="K94" s="653"/>
      <c r="L94" s="653"/>
      <c r="M94" s="655"/>
      <c r="N94" s="2737"/>
      <c r="O94" s="1768"/>
      <c r="P94" s="1768"/>
      <c r="Q94" s="1769"/>
      <c r="R94" s="1770"/>
      <c r="S94" s="1770"/>
      <c r="T94" s="1770"/>
      <c r="U94" s="1770"/>
      <c r="V94" s="1770"/>
      <c r="W94" s="1770"/>
      <c r="X94" s="1770"/>
      <c r="Y94" s="1770"/>
      <c r="Z94" s="1770"/>
      <c r="AA94" s="1770"/>
      <c r="AB94" s="1770"/>
      <c r="AC94" s="1770"/>
    </row>
    <row r="95" spans="1:29" s="1132" customFormat="1" ht="15.75" thickBot="1">
      <c r="A95" s="629"/>
      <c r="B95" s="623"/>
      <c r="C95" s="621">
        <v>100</v>
      </c>
      <c r="D95" s="621">
        <f>C95-$K27</f>
        <v>100</v>
      </c>
      <c r="E95" s="621">
        <f>D95-$K27</f>
        <v>100</v>
      </c>
      <c r="F95" s="621">
        <f>E95-$K27</f>
        <v>100</v>
      </c>
      <c r="G95" s="621">
        <f>F95-$K27</f>
        <v>100</v>
      </c>
      <c r="H95" s="625"/>
      <c r="I95" s="625"/>
      <c r="J95" s="625"/>
      <c r="K95" s="625"/>
      <c r="L95" s="625"/>
      <c r="M95" s="2048"/>
      <c r="N95" s="2737"/>
      <c r="O95" s="1768"/>
      <c r="P95" s="1768"/>
      <c r="Q95" s="1769"/>
      <c r="R95" s="1770"/>
      <c r="S95" s="1770"/>
      <c r="T95" s="1770"/>
      <c r="U95" s="1770"/>
      <c r="V95" s="1770"/>
      <c r="W95" s="1770"/>
      <c r="X95" s="1770"/>
      <c r="Y95" s="1770"/>
      <c r="Z95" s="1770"/>
      <c r="AA95" s="1770"/>
      <c r="AB95" s="1770"/>
      <c r="AC95" s="1770"/>
    </row>
    <row r="96" spans="1:29" ht="15.75" thickTop="1">
      <c r="A96" s="482"/>
      <c r="B96" s="615" t="str">
        <f>B29</f>
        <v>临街状况</v>
      </c>
      <c r="C96" s="616" t="s">
        <v>537</v>
      </c>
      <c r="D96" s="616" t="s">
        <v>538</v>
      </c>
      <c r="E96" s="616" t="s">
        <v>539</v>
      </c>
      <c r="F96" s="616" t="s">
        <v>540</v>
      </c>
      <c r="G96" s="616"/>
      <c r="H96" s="616"/>
      <c r="I96" s="616"/>
      <c r="J96" s="616"/>
      <c r="K96" s="617"/>
      <c r="L96" s="618"/>
      <c r="M96" s="619"/>
      <c r="N96" s="2735"/>
      <c r="O96" s="1766"/>
      <c r="P96" s="1765"/>
      <c r="Q96" s="1762"/>
      <c r="R96" s="1741"/>
      <c r="S96" s="1741"/>
      <c r="T96" s="1741"/>
      <c r="U96" s="1741"/>
      <c r="V96" s="1741"/>
      <c r="W96" s="1741"/>
      <c r="X96" s="1741"/>
      <c r="Y96" s="1741"/>
      <c r="Z96" s="1741"/>
      <c r="AA96" s="1741"/>
      <c r="AB96" s="1741"/>
      <c r="AC96" s="1741"/>
    </row>
    <row r="97" spans="1:29" ht="15.75" thickBot="1">
      <c r="A97" s="482"/>
      <c r="B97" s="620"/>
      <c r="C97" s="621">
        <v>100</v>
      </c>
      <c r="D97" s="621">
        <f t="shared" ref="D97:M97" si="27">C97-$K29</f>
        <v>100</v>
      </c>
      <c r="E97" s="621">
        <f t="shared" si="27"/>
        <v>100</v>
      </c>
      <c r="F97" s="621">
        <f t="shared" si="27"/>
        <v>100</v>
      </c>
      <c r="G97" s="621">
        <f t="shared" si="27"/>
        <v>100</v>
      </c>
      <c r="H97" s="621">
        <f t="shared" si="27"/>
        <v>100</v>
      </c>
      <c r="I97" s="621">
        <f t="shared" si="27"/>
        <v>100</v>
      </c>
      <c r="J97" s="621">
        <f t="shared" si="27"/>
        <v>100</v>
      </c>
      <c r="K97" s="621">
        <f t="shared" si="27"/>
        <v>100</v>
      </c>
      <c r="L97" s="621">
        <f t="shared" si="27"/>
        <v>100</v>
      </c>
      <c r="M97" s="621">
        <f t="shared" si="27"/>
        <v>100</v>
      </c>
      <c r="N97" s="2736"/>
      <c r="O97" s="1767"/>
      <c r="P97" s="1765"/>
      <c r="Q97" s="1762"/>
      <c r="R97" s="1741"/>
      <c r="S97" s="1741"/>
      <c r="T97" s="1741"/>
      <c r="U97" s="1741"/>
      <c r="V97" s="1741"/>
      <c r="W97" s="1741"/>
      <c r="X97" s="1741"/>
      <c r="Y97" s="1741"/>
      <c r="Z97" s="1741"/>
      <c r="AA97" s="1741"/>
      <c r="AB97" s="1741"/>
      <c r="AC97" s="1741"/>
    </row>
    <row r="98" spans="1:29" ht="27.75" thickTop="1">
      <c r="A98" s="482"/>
      <c r="B98" s="615" t="s">
        <v>497</v>
      </c>
      <c r="C98" s="630"/>
      <c r="D98" s="630"/>
      <c r="E98" s="630"/>
      <c r="F98" s="630"/>
      <c r="G98" s="630"/>
      <c r="H98" s="658"/>
      <c r="I98" s="658"/>
      <c r="J98" s="658"/>
      <c r="K98" s="659"/>
      <c r="L98" s="660"/>
      <c r="M98" s="661"/>
      <c r="N98" s="2735"/>
      <c r="O98" s="1766"/>
      <c r="P98" s="1765"/>
      <c r="Q98" s="1762"/>
      <c r="R98" s="1741"/>
      <c r="S98" s="1741"/>
      <c r="T98" s="1741"/>
      <c r="U98" s="1741"/>
      <c r="V98" s="1741"/>
      <c r="W98" s="1741"/>
      <c r="X98" s="1741"/>
      <c r="Y98" s="1741"/>
      <c r="Z98" s="1741"/>
      <c r="AA98" s="1741"/>
      <c r="AB98" s="1741"/>
      <c r="AC98" s="1741"/>
    </row>
    <row r="99" spans="1:29" ht="15.75" thickBot="1">
      <c r="A99" s="482"/>
      <c r="B99" s="620"/>
      <c r="C99" s="621">
        <v>100</v>
      </c>
      <c r="D99" s="621">
        <f t="shared" ref="D99:M99" si="28">C99-$K30</f>
        <v>100</v>
      </c>
      <c r="E99" s="621">
        <f t="shared" si="28"/>
        <v>100</v>
      </c>
      <c r="F99" s="621">
        <f t="shared" si="28"/>
        <v>100</v>
      </c>
      <c r="G99" s="621">
        <f t="shared" si="28"/>
        <v>100</v>
      </c>
      <c r="H99" s="621">
        <f t="shared" si="28"/>
        <v>100</v>
      </c>
      <c r="I99" s="621">
        <f t="shared" si="28"/>
        <v>100</v>
      </c>
      <c r="J99" s="621">
        <f t="shared" si="28"/>
        <v>100</v>
      </c>
      <c r="K99" s="621">
        <f t="shared" si="28"/>
        <v>100</v>
      </c>
      <c r="L99" s="621">
        <f t="shared" si="28"/>
        <v>100</v>
      </c>
      <c r="M99" s="621">
        <f t="shared" si="28"/>
        <v>100</v>
      </c>
      <c r="N99" s="2736"/>
      <c r="O99" s="1767"/>
      <c r="P99" s="1765"/>
      <c r="Q99" s="1762"/>
      <c r="R99" s="1741"/>
      <c r="S99" s="1741"/>
      <c r="T99" s="1741"/>
      <c r="U99" s="1741"/>
      <c r="V99" s="1741"/>
      <c r="W99" s="1741"/>
      <c r="X99" s="1741"/>
      <c r="Y99" s="1741"/>
      <c r="Z99" s="1741"/>
      <c r="AA99" s="1741"/>
      <c r="AB99" s="1741"/>
      <c r="AC99" s="1741"/>
    </row>
    <row r="100" spans="1:29" ht="15.75" thickTop="1">
      <c r="A100" s="482"/>
      <c r="B100" s="615" t="s">
        <v>498</v>
      </c>
      <c r="C100" s="658"/>
      <c r="D100" s="658"/>
      <c r="E100" s="658"/>
      <c r="F100" s="658"/>
      <c r="G100" s="658"/>
      <c r="H100" s="658"/>
      <c r="I100" s="658"/>
      <c r="J100" s="658"/>
      <c r="K100" s="659"/>
      <c r="L100" s="660"/>
      <c r="M100" s="661"/>
      <c r="N100" s="2735"/>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29">C101-$K32</f>
        <v>100</v>
      </c>
      <c r="E101" s="621">
        <f t="shared" si="29"/>
        <v>100</v>
      </c>
      <c r="F101" s="621">
        <f t="shared" si="29"/>
        <v>100</v>
      </c>
      <c r="G101" s="621">
        <f t="shared" si="29"/>
        <v>100</v>
      </c>
      <c r="H101" s="621">
        <f t="shared" si="29"/>
        <v>100</v>
      </c>
      <c r="I101" s="621">
        <f t="shared" si="29"/>
        <v>100</v>
      </c>
      <c r="J101" s="621">
        <f t="shared" si="29"/>
        <v>100</v>
      </c>
      <c r="K101" s="621">
        <f t="shared" si="29"/>
        <v>100</v>
      </c>
      <c r="L101" s="621">
        <f t="shared" si="29"/>
        <v>100</v>
      </c>
      <c r="M101" s="621">
        <f t="shared" si="29"/>
        <v>100</v>
      </c>
      <c r="N101" s="2736"/>
      <c r="O101" s="1767"/>
      <c r="P101" s="1765"/>
      <c r="Q101" s="1762"/>
      <c r="R101" s="1741"/>
      <c r="S101" s="1741"/>
      <c r="T101" s="1741"/>
      <c r="U101" s="1741"/>
      <c r="V101" s="1741"/>
      <c r="W101" s="1741"/>
      <c r="X101" s="1741"/>
      <c r="Y101" s="1741"/>
      <c r="Z101" s="1741"/>
      <c r="AA101" s="1741"/>
      <c r="AB101" s="1741"/>
      <c r="AC101" s="1741"/>
    </row>
    <row r="102" spans="1:29" ht="15.75" thickTop="1">
      <c r="A102" s="482"/>
      <c r="B102" s="623">
        <f>B33</f>
        <v>0</v>
      </c>
      <c r="C102" s="630"/>
      <c r="D102" s="630"/>
      <c r="E102" s="630"/>
      <c r="F102" s="630"/>
      <c r="G102" s="662"/>
      <c r="H102" s="662"/>
      <c r="I102" s="662"/>
      <c r="J102" s="662"/>
      <c r="K102" s="663"/>
      <c r="L102" s="664"/>
      <c r="M102" s="665"/>
      <c r="N102" s="2735"/>
      <c r="O102" s="1766"/>
      <c r="P102" s="1765"/>
      <c r="Q102" s="1762"/>
      <c r="R102" s="1741"/>
      <c r="S102" s="1741"/>
      <c r="T102" s="1741"/>
      <c r="U102" s="1741"/>
      <c r="V102" s="1741"/>
      <c r="W102" s="1741"/>
      <c r="X102" s="1741"/>
      <c r="Y102" s="1741"/>
      <c r="Z102" s="1741"/>
      <c r="AA102" s="1741"/>
      <c r="AB102" s="1741"/>
      <c r="AC102" s="1741"/>
    </row>
    <row r="103" spans="1:29" ht="15.75" thickBot="1">
      <c r="A103" s="482"/>
      <c r="B103" s="641"/>
      <c r="C103" s="634"/>
      <c r="D103" s="613"/>
      <c r="E103" s="613"/>
      <c r="F103" s="613"/>
      <c r="G103" s="666"/>
      <c r="H103" s="666"/>
      <c r="I103" s="666"/>
      <c r="J103" s="666"/>
      <c r="K103" s="666"/>
      <c r="L103" s="666"/>
      <c r="M103" s="667"/>
      <c r="N103" s="2736"/>
      <c r="O103" s="1767"/>
      <c r="P103" s="1765"/>
      <c r="Q103" s="1762"/>
      <c r="R103" s="1741"/>
      <c r="S103" s="1741"/>
      <c r="T103" s="1741"/>
      <c r="U103" s="1741"/>
      <c r="V103" s="1741"/>
      <c r="W103" s="1741"/>
      <c r="X103" s="1741"/>
      <c r="Y103" s="1741"/>
      <c r="Z103" s="1741"/>
      <c r="AA103" s="1741"/>
      <c r="AB103" s="1741"/>
      <c r="AC103" s="1741"/>
    </row>
    <row r="104" spans="1:29" ht="15" thickTop="1">
      <c r="A104" s="536"/>
      <c r="B104" s="615">
        <f>B34</f>
        <v>0</v>
      </c>
      <c r="C104" s="630"/>
      <c r="D104" s="630"/>
      <c r="E104" s="630"/>
      <c r="F104" s="630"/>
      <c r="G104" s="658"/>
      <c r="H104" s="658"/>
      <c r="I104" s="658"/>
      <c r="J104" s="658"/>
      <c r="K104" s="659"/>
      <c r="L104" s="660"/>
      <c r="M104" s="661"/>
      <c r="N104" s="2735"/>
      <c r="O104" s="1766"/>
      <c r="P104" s="1765"/>
      <c r="Q104" s="1762"/>
      <c r="R104" s="1741"/>
      <c r="S104" s="1741"/>
      <c r="T104" s="1741"/>
      <c r="U104" s="1741"/>
      <c r="V104" s="1741"/>
      <c r="W104" s="1741"/>
      <c r="X104" s="1741"/>
      <c r="Y104" s="1741"/>
      <c r="Z104" s="1741"/>
      <c r="AA104" s="1741"/>
      <c r="AB104" s="1741"/>
      <c r="AC104" s="1741"/>
    </row>
    <row r="105" spans="1:29" ht="15.75" thickBot="1">
      <c r="A105" s="482"/>
      <c r="B105" s="620"/>
      <c r="C105" s="634"/>
      <c r="D105" s="634"/>
      <c r="E105" s="634"/>
      <c r="F105" s="634"/>
      <c r="G105" s="613"/>
      <c r="H105" s="613"/>
      <c r="I105" s="613"/>
      <c r="J105" s="613"/>
      <c r="K105" s="613"/>
      <c r="L105" s="613"/>
      <c r="M105" s="614"/>
      <c r="N105" s="2736"/>
      <c r="O105" s="1767"/>
      <c r="P105" s="1765"/>
      <c r="Q105" s="1762"/>
      <c r="R105" s="1741"/>
      <c r="S105" s="1741"/>
      <c r="T105" s="1741"/>
      <c r="U105" s="1741"/>
      <c r="V105" s="1741"/>
      <c r="W105" s="1741"/>
      <c r="X105" s="1741"/>
      <c r="Y105" s="1741"/>
      <c r="Z105" s="1741"/>
      <c r="AA105" s="1741"/>
      <c r="AB105" s="1741"/>
      <c r="AC105" s="1741"/>
    </row>
    <row r="106" spans="1:29" s="1132" customFormat="1" ht="15" thickTop="1">
      <c r="A106" s="552"/>
      <c r="B106" s="668">
        <f>B35</f>
        <v>0</v>
      </c>
      <c r="C106" s="80"/>
      <c r="D106" s="80"/>
      <c r="E106" s="80"/>
      <c r="F106" s="80"/>
      <c r="G106" s="79"/>
      <c r="H106" s="79"/>
      <c r="I106" s="79"/>
      <c r="J106" s="669"/>
      <c r="K106" s="669"/>
      <c r="L106" s="670"/>
      <c r="M106" s="671"/>
      <c r="N106" s="2737"/>
      <c r="O106" s="1768"/>
      <c r="P106" s="1768"/>
      <c r="Q106" s="1769"/>
      <c r="R106" s="1770"/>
      <c r="S106" s="1770"/>
      <c r="T106" s="1770"/>
      <c r="U106" s="1770"/>
      <c r="V106" s="1770"/>
      <c r="W106" s="1770"/>
      <c r="X106" s="1770"/>
      <c r="Y106" s="1770"/>
      <c r="Z106" s="1770"/>
      <c r="AA106" s="1770"/>
      <c r="AB106" s="1770"/>
      <c r="AC106" s="1770"/>
    </row>
    <row r="107" spans="1:29" s="1132" customFormat="1" ht="15.75" thickBot="1">
      <c r="A107" s="629"/>
      <c r="B107" s="623"/>
      <c r="C107" s="642"/>
      <c r="D107" s="642"/>
      <c r="E107" s="642"/>
      <c r="F107" s="642"/>
      <c r="G107" s="541"/>
      <c r="H107" s="541"/>
      <c r="I107" s="541"/>
      <c r="J107" s="541"/>
      <c r="K107" s="541"/>
      <c r="L107" s="541"/>
      <c r="M107" s="672"/>
      <c r="N107" s="2736"/>
      <c r="O107" s="1767"/>
      <c r="P107" s="1768"/>
      <c r="Q107" s="1769"/>
      <c r="R107" s="1770"/>
      <c r="S107" s="1770"/>
      <c r="T107" s="1770"/>
      <c r="U107" s="1770"/>
      <c r="V107" s="1770"/>
      <c r="W107" s="1770"/>
      <c r="X107" s="1770"/>
      <c r="Y107" s="1770"/>
      <c r="Z107" s="1770"/>
      <c r="AA107" s="1770"/>
      <c r="AB107" s="1770"/>
      <c r="AC107" s="1770"/>
    </row>
    <row r="108" spans="1:29">
      <c r="A108" s="607" t="s">
        <v>500</v>
      </c>
      <c r="B108" s="608" t="s">
        <v>541</v>
      </c>
      <c r="C108" s="645" t="str">
        <f t="shared" ref="C108:L108" si="30">C109&amp;"(含)"&amp;"-"&amp;D109</f>
        <v>0(含)-</v>
      </c>
      <c r="D108" s="645" t="str">
        <f t="shared" si="30"/>
        <v>(含)-</v>
      </c>
      <c r="E108" s="645" t="str">
        <f t="shared" si="30"/>
        <v>(含)-</v>
      </c>
      <c r="F108" s="645" t="str">
        <f t="shared" si="30"/>
        <v>(含)-</v>
      </c>
      <c r="G108" s="645" t="str">
        <f t="shared" si="30"/>
        <v>(含)-</v>
      </c>
      <c r="H108" s="645" t="str">
        <f t="shared" si="30"/>
        <v>(含)-</v>
      </c>
      <c r="I108" s="645" t="str">
        <f t="shared" si="30"/>
        <v>(含)-</v>
      </c>
      <c r="J108" s="645" t="str">
        <f t="shared" si="30"/>
        <v>(含)-</v>
      </c>
      <c r="K108" s="2347" t="str">
        <f t="shared" si="30"/>
        <v>(含)-</v>
      </c>
      <c r="L108" s="2348" t="str">
        <f t="shared" si="30"/>
        <v>(含)-</v>
      </c>
      <c r="M108" s="145" t="str">
        <f>M109&amp;"(含)"&amp;"-"&amp;P109</f>
        <v>(含)-</v>
      </c>
      <c r="N108" s="2735"/>
      <c r="O108" s="1766"/>
      <c r="P108" s="1765"/>
      <c r="Q108" s="1762"/>
      <c r="R108" s="1741"/>
      <c r="S108" s="1741"/>
      <c r="T108" s="1741"/>
      <c r="U108" s="1741"/>
      <c r="V108" s="1741"/>
      <c r="W108" s="1741"/>
      <c r="X108" s="1741"/>
      <c r="Y108" s="1741"/>
      <c r="Z108" s="1741"/>
      <c r="AA108" s="1741"/>
      <c r="AB108" s="1741"/>
      <c r="AC108" s="1741"/>
    </row>
    <row r="109" spans="1:29" ht="15">
      <c r="A109" s="482"/>
      <c r="B109" s="623"/>
      <c r="C109" s="79">
        <v>0</v>
      </c>
      <c r="D109" s="79"/>
      <c r="E109" s="79"/>
      <c r="F109" s="79"/>
      <c r="G109" s="79"/>
      <c r="H109" s="79"/>
      <c r="I109" s="79"/>
      <c r="J109" s="669"/>
      <c r="K109" s="669"/>
      <c r="L109" s="670"/>
      <c r="M109" s="671"/>
      <c r="N109" s="2735"/>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42"/>
      <c r="D110" s="666"/>
      <c r="E110" s="666"/>
      <c r="F110" s="666"/>
      <c r="G110" s="666"/>
      <c r="H110" s="666"/>
      <c r="I110" s="666"/>
      <c r="J110" s="666"/>
      <c r="K110" s="666"/>
      <c r="L110" s="666"/>
      <c r="M110" s="667"/>
      <c r="N110" s="2736"/>
      <c r="O110" s="1767"/>
      <c r="P110" s="1765"/>
      <c r="Q110" s="1762"/>
      <c r="R110" s="1741"/>
      <c r="S110" s="1741"/>
      <c r="T110" s="1741"/>
      <c r="U110" s="1741"/>
      <c r="V110" s="1741"/>
      <c r="W110" s="1741"/>
      <c r="X110" s="1741"/>
      <c r="Y110" s="1741"/>
      <c r="Z110" s="1741"/>
      <c r="AA110" s="1741"/>
      <c r="AB110" s="1741"/>
      <c r="AC110" s="1741"/>
    </row>
    <row r="111" spans="1:29" ht="15" thickTop="1">
      <c r="A111" s="543"/>
      <c r="B111" s="615" t="s">
        <v>542</v>
      </c>
      <c r="C111" s="658"/>
      <c r="D111" s="658"/>
      <c r="E111" s="658"/>
      <c r="F111" s="658"/>
      <c r="G111" s="658"/>
      <c r="H111" s="658"/>
      <c r="I111" s="658"/>
      <c r="J111" s="658"/>
      <c r="K111" s="659"/>
      <c r="L111" s="660"/>
      <c r="M111" s="661"/>
      <c r="N111" s="2735"/>
      <c r="O111" s="1766"/>
      <c r="P111" s="1765"/>
      <c r="Q111" s="1762"/>
      <c r="R111" s="1741"/>
      <c r="S111" s="1741"/>
      <c r="T111" s="1741"/>
      <c r="U111" s="1741"/>
      <c r="V111" s="1741"/>
      <c r="W111" s="1741"/>
      <c r="X111" s="1741"/>
      <c r="Y111" s="1741"/>
      <c r="Z111" s="1741"/>
      <c r="AA111" s="1741"/>
      <c r="AB111" s="1741"/>
      <c r="AC111" s="1741"/>
    </row>
    <row r="112" spans="1:29" ht="15.75" thickBot="1">
      <c r="A112" s="482"/>
      <c r="B112" s="620"/>
      <c r="C112" s="621">
        <v>100</v>
      </c>
      <c r="D112" s="621">
        <f t="shared" ref="D112:M112" si="31">C112-$K37</f>
        <v>100</v>
      </c>
      <c r="E112" s="621">
        <f t="shared" si="31"/>
        <v>100</v>
      </c>
      <c r="F112" s="621">
        <f t="shared" si="31"/>
        <v>100</v>
      </c>
      <c r="G112" s="621">
        <f t="shared" si="31"/>
        <v>100</v>
      </c>
      <c r="H112" s="621">
        <f t="shared" si="31"/>
        <v>100</v>
      </c>
      <c r="I112" s="621">
        <f t="shared" si="31"/>
        <v>100</v>
      </c>
      <c r="J112" s="621">
        <f t="shared" si="31"/>
        <v>100</v>
      </c>
      <c r="K112" s="621">
        <f t="shared" si="31"/>
        <v>100</v>
      </c>
      <c r="L112" s="621">
        <f t="shared" si="31"/>
        <v>100</v>
      </c>
      <c r="M112" s="622">
        <f t="shared" si="31"/>
        <v>100</v>
      </c>
      <c r="N112" s="2736"/>
      <c r="O112" s="1767"/>
      <c r="P112" s="1765"/>
      <c r="Q112" s="1762"/>
      <c r="R112" s="1741"/>
      <c r="S112" s="1741"/>
      <c r="T112" s="1741"/>
      <c r="U112" s="1741"/>
      <c r="V112" s="1741"/>
      <c r="W112" s="1741"/>
      <c r="X112" s="1741"/>
      <c r="Y112" s="1741"/>
      <c r="Z112" s="1741"/>
      <c r="AA112" s="1741"/>
      <c r="AB112" s="1741"/>
      <c r="AC112" s="1741"/>
    </row>
    <row r="113" spans="1:29" s="1132" customFormat="1" ht="15" thickTop="1">
      <c r="A113" s="552"/>
      <c r="B113" s="1554" t="s">
        <v>1774</v>
      </c>
      <c r="C113" s="1165"/>
      <c r="D113" s="1165"/>
      <c r="E113" s="1165"/>
      <c r="F113" s="1165"/>
      <c r="G113" s="1165"/>
      <c r="H113" s="658"/>
      <c r="I113" s="658"/>
      <c r="J113" s="658"/>
      <c r="K113" s="659"/>
      <c r="L113" s="660"/>
      <c r="M113" s="661"/>
      <c r="N113" s="2737"/>
      <c r="O113" s="1768"/>
      <c r="P113" s="1768"/>
      <c r="Q113" s="1769"/>
      <c r="R113" s="1770"/>
      <c r="S113" s="1770"/>
      <c r="T113" s="1770"/>
      <c r="U113" s="1770"/>
      <c r="V113" s="1770"/>
      <c r="W113" s="1770"/>
      <c r="X113" s="1770"/>
      <c r="Y113" s="1770"/>
      <c r="Z113" s="1770"/>
      <c r="AA113" s="1770"/>
      <c r="AB113" s="1770"/>
      <c r="AC113" s="1770"/>
    </row>
    <row r="114" spans="1:29" s="1132" customFormat="1" ht="15.75" thickBot="1">
      <c r="A114" s="629"/>
      <c r="B114" s="620"/>
      <c r="C114" s="621">
        <v>100</v>
      </c>
      <c r="D114" s="621">
        <f t="shared" ref="D114:M114" si="32">C114-$K38</f>
        <v>100</v>
      </c>
      <c r="E114" s="621">
        <f t="shared" si="32"/>
        <v>100</v>
      </c>
      <c r="F114" s="621">
        <f t="shared" si="32"/>
        <v>100</v>
      </c>
      <c r="G114" s="621">
        <f t="shared" si="32"/>
        <v>100</v>
      </c>
      <c r="H114" s="621">
        <f t="shared" si="32"/>
        <v>100</v>
      </c>
      <c r="I114" s="621">
        <f t="shared" si="32"/>
        <v>100</v>
      </c>
      <c r="J114" s="621">
        <f t="shared" si="32"/>
        <v>100</v>
      </c>
      <c r="K114" s="621">
        <f t="shared" si="32"/>
        <v>100</v>
      </c>
      <c r="L114" s="621">
        <f t="shared" si="32"/>
        <v>100</v>
      </c>
      <c r="M114" s="622">
        <f t="shared" si="32"/>
        <v>100</v>
      </c>
      <c r="N114" s="2737"/>
      <c r="O114" s="1768"/>
      <c r="P114" s="1768"/>
      <c r="Q114" s="1769"/>
      <c r="R114" s="1770"/>
      <c r="S114" s="1770"/>
      <c r="T114" s="1770"/>
      <c r="U114" s="1770"/>
      <c r="V114" s="1770"/>
      <c r="W114" s="1770"/>
      <c r="X114" s="1770"/>
      <c r="Y114" s="1770"/>
      <c r="Z114" s="1770"/>
      <c r="AA114" s="1770"/>
      <c r="AB114" s="1770"/>
      <c r="AC114" s="1770"/>
    </row>
    <row r="115" spans="1:29" ht="15" thickTop="1">
      <c r="A115" s="543"/>
      <c r="B115" s="615" t="s">
        <v>544</v>
      </c>
      <c r="C115" s="630"/>
      <c r="D115" s="630"/>
      <c r="E115" s="658"/>
      <c r="F115" s="658"/>
      <c r="G115" s="658"/>
      <c r="H115" s="658"/>
      <c r="I115" s="658"/>
      <c r="J115" s="658"/>
      <c r="K115" s="659"/>
      <c r="L115" s="660"/>
      <c r="M115" s="661"/>
      <c r="N115" s="2735"/>
      <c r="O115" s="1766"/>
      <c r="P115" s="1765"/>
      <c r="Q115" s="1762"/>
      <c r="R115" s="1741"/>
      <c r="S115" s="1741"/>
      <c r="T115" s="1741"/>
      <c r="U115" s="1741"/>
      <c r="V115" s="1741"/>
      <c r="W115" s="1741"/>
      <c r="X115" s="1741"/>
      <c r="Y115" s="1741"/>
      <c r="Z115" s="1741"/>
      <c r="AA115" s="1741"/>
      <c r="AB115" s="1741"/>
      <c r="AC115" s="1741"/>
    </row>
    <row r="116" spans="1:29" ht="15.75" thickBot="1">
      <c r="A116" s="482"/>
      <c r="B116" s="620"/>
      <c r="C116" s="621">
        <v>100</v>
      </c>
      <c r="D116" s="621">
        <f t="shared" ref="D116:M116" si="33">C116-$K39</f>
        <v>100</v>
      </c>
      <c r="E116" s="621">
        <f t="shared" si="33"/>
        <v>100</v>
      </c>
      <c r="F116" s="621">
        <f t="shared" si="33"/>
        <v>100</v>
      </c>
      <c r="G116" s="621">
        <f t="shared" si="33"/>
        <v>100</v>
      </c>
      <c r="H116" s="621">
        <f t="shared" si="33"/>
        <v>100</v>
      </c>
      <c r="I116" s="621">
        <f t="shared" si="33"/>
        <v>100</v>
      </c>
      <c r="J116" s="621">
        <f t="shared" si="33"/>
        <v>100</v>
      </c>
      <c r="K116" s="621">
        <f t="shared" si="33"/>
        <v>100</v>
      </c>
      <c r="L116" s="621">
        <f t="shared" si="33"/>
        <v>100</v>
      </c>
      <c r="M116" s="622">
        <f t="shared" si="33"/>
        <v>100</v>
      </c>
      <c r="N116" s="2736"/>
      <c r="O116" s="1767"/>
      <c r="P116" s="1765"/>
      <c r="Q116" s="1762"/>
      <c r="R116" s="1741"/>
      <c r="S116" s="1741"/>
      <c r="T116" s="1741"/>
      <c r="U116" s="1741"/>
      <c r="V116" s="1741"/>
      <c r="W116" s="1741"/>
      <c r="X116" s="1741"/>
      <c r="Y116" s="1741"/>
      <c r="Z116" s="1741"/>
      <c r="AA116" s="1741"/>
      <c r="AB116" s="1741"/>
      <c r="AC116" s="1741"/>
    </row>
    <row r="117" spans="1:29" ht="15" thickTop="1">
      <c r="A117" s="543"/>
      <c r="B117" s="615">
        <f>B40</f>
        <v>0</v>
      </c>
      <c r="C117" s="630"/>
      <c r="D117" s="630"/>
      <c r="E117" s="630"/>
      <c r="F117" s="630"/>
      <c r="G117" s="630"/>
      <c r="H117" s="658"/>
      <c r="I117" s="658"/>
      <c r="J117" s="658"/>
      <c r="K117" s="659"/>
      <c r="L117" s="660"/>
      <c r="M117" s="661"/>
      <c r="N117" s="2735"/>
      <c r="O117" s="1766"/>
      <c r="P117" s="1765"/>
      <c r="Q117" s="1762"/>
      <c r="R117" s="1741"/>
      <c r="S117" s="1741"/>
      <c r="T117" s="1741"/>
      <c r="U117" s="1741"/>
      <c r="V117" s="1741"/>
      <c r="W117" s="1741"/>
      <c r="X117" s="1741"/>
      <c r="Y117" s="1741"/>
      <c r="Z117" s="1741"/>
      <c r="AA117" s="1741"/>
      <c r="AB117" s="1741"/>
      <c r="AC117" s="1741"/>
    </row>
    <row r="118" spans="1:29" ht="15.75" thickBot="1">
      <c r="A118" s="482"/>
      <c r="B118" s="620"/>
      <c r="C118" s="634"/>
      <c r="D118" s="613"/>
      <c r="E118" s="613"/>
      <c r="F118" s="613"/>
      <c r="G118" s="613"/>
      <c r="H118" s="613"/>
      <c r="I118" s="613"/>
      <c r="J118" s="613"/>
      <c r="K118" s="613"/>
      <c r="L118" s="613"/>
      <c r="M118" s="614"/>
      <c r="N118" s="2736"/>
      <c r="O118" s="1767"/>
      <c r="P118" s="1765"/>
      <c r="Q118" s="1762"/>
      <c r="R118" s="1741"/>
      <c r="S118" s="1741"/>
      <c r="T118" s="1741"/>
      <c r="U118" s="1741"/>
      <c r="V118" s="1741"/>
      <c r="W118" s="1741"/>
      <c r="X118" s="1741"/>
      <c r="Y118" s="1741"/>
      <c r="Z118" s="1741"/>
      <c r="AA118" s="1741"/>
      <c r="AB118" s="1741"/>
      <c r="AC118" s="1741"/>
    </row>
    <row r="119" spans="1:29" ht="15" thickTop="1">
      <c r="A119" s="543"/>
      <c r="B119" s="615">
        <f>B41</f>
        <v>0</v>
      </c>
      <c r="C119" s="630"/>
      <c r="D119" s="630"/>
      <c r="E119" s="630"/>
      <c r="F119" s="630"/>
      <c r="G119" s="658"/>
      <c r="H119" s="658"/>
      <c r="I119" s="658"/>
      <c r="J119" s="658"/>
      <c r="K119" s="659"/>
      <c r="L119" s="660"/>
      <c r="M119" s="661"/>
      <c r="N119" s="2735"/>
      <c r="O119" s="1766"/>
      <c r="P119" s="1765"/>
      <c r="Q119" s="1762"/>
      <c r="R119" s="1741"/>
      <c r="S119" s="1741"/>
      <c r="T119" s="1741"/>
      <c r="U119" s="1741"/>
      <c r="V119" s="1741"/>
      <c r="W119" s="1741"/>
      <c r="X119" s="1741"/>
      <c r="Y119" s="1741"/>
      <c r="Z119" s="1741"/>
      <c r="AA119" s="1741"/>
      <c r="AB119" s="1741"/>
      <c r="AC119" s="1741"/>
    </row>
    <row r="120" spans="1:29" ht="15.75" thickBot="1">
      <c r="A120" s="482"/>
      <c r="B120" s="620"/>
      <c r="C120" s="634"/>
      <c r="D120" s="634"/>
      <c r="E120" s="634"/>
      <c r="F120" s="634"/>
      <c r="G120" s="613"/>
      <c r="H120" s="613"/>
      <c r="I120" s="613"/>
      <c r="J120" s="613"/>
      <c r="K120" s="613"/>
      <c r="L120" s="613"/>
      <c r="M120" s="614"/>
      <c r="N120" s="2736"/>
      <c r="O120" s="1767"/>
      <c r="P120" s="1765"/>
      <c r="Q120" s="1762"/>
      <c r="R120" s="1741"/>
      <c r="S120" s="1741"/>
      <c r="T120" s="1741"/>
      <c r="U120" s="1741"/>
      <c r="V120" s="1741"/>
      <c r="W120" s="1741"/>
      <c r="X120" s="1741"/>
      <c r="Y120" s="1741"/>
      <c r="Z120" s="1741"/>
      <c r="AA120" s="1741"/>
      <c r="AB120" s="1741"/>
      <c r="AC120" s="1741"/>
    </row>
    <row r="121" spans="1:29" s="1132" customFormat="1" ht="15" thickTop="1">
      <c r="A121" s="552"/>
      <c r="B121" s="615">
        <f>B42</f>
        <v>0</v>
      </c>
      <c r="C121" s="80"/>
      <c r="D121" s="80"/>
      <c r="E121" s="80"/>
      <c r="F121" s="80"/>
      <c r="G121" s="631"/>
      <c r="H121" s="631"/>
      <c r="I121" s="631"/>
      <c r="J121" s="631"/>
      <c r="K121" s="631"/>
      <c r="L121" s="632"/>
      <c r="M121" s="633"/>
      <c r="N121" s="2737"/>
      <c r="O121" s="1768"/>
      <c r="P121" s="1768"/>
      <c r="Q121" s="1769"/>
      <c r="R121" s="1770"/>
      <c r="S121" s="1770"/>
      <c r="T121" s="1770"/>
      <c r="U121" s="1770"/>
      <c r="V121" s="1770"/>
      <c r="W121" s="1770"/>
      <c r="X121" s="1770"/>
      <c r="Y121" s="1770"/>
      <c r="Z121" s="1770"/>
      <c r="AA121" s="1770"/>
      <c r="AB121" s="1770"/>
      <c r="AC121" s="1770"/>
    </row>
    <row r="122" spans="1:29" s="1132" customFormat="1" ht="15.75" thickBot="1">
      <c r="A122" s="640"/>
      <c r="B122" s="673"/>
      <c r="C122" s="642"/>
      <c r="D122" s="642"/>
      <c r="E122" s="642"/>
      <c r="F122" s="642"/>
      <c r="G122" s="666"/>
      <c r="H122" s="666"/>
      <c r="I122" s="666"/>
      <c r="J122" s="666"/>
      <c r="K122" s="666"/>
      <c r="L122" s="666"/>
      <c r="M122" s="667"/>
      <c r="N122" s="2737"/>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3" type="noConversion"/>
  <conditionalFormatting sqref="E48">
    <cfRule type="expression" dxfId="101" priority="12" stopIfTrue="1">
      <formula>$F$48="超过30%"</formula>
    </cfRule>
  </conditionalFormatting>
  <conditionalFormatting sqref="E49">
    <cfRule type="expression" dxfId="100" priority="14" stopIfTrue="1">
      <formula>#REF!+$F$49="超过20%"</formula>
    </cfRule>
  </conditionalFormatting>
  <conditionalFormatting sqref="E50">
    <cfRule type="expression" dxfId="99" priority="10" stopIfTrue="1">
      <formula>$F$50="超过30%"</formula>
    </cfRule>
  </conditionalFormatting>
  <conditionalFormatting sqref="F9:F42 H9:H42 J9:J42">
    <cfRule type="cellIs" dxfId="98" priority="1" operator="notEqual">
      <formula>100</formula>
    </cfRule>
  </conditionalFormatting>
  <conditionalFormatting sqref="F44">
    <cfRule type="expression" dxfId="97" priority="4">
      <formula>$D$44="简单平均"</formula>
    </cfRule>
  </conditionalFormatting>
  <conditionalFormatting sqref="F48:F50 H48:H50 J48:J50">
    <cfRule type="containsText" dxfId="96" priority="13" stopIfTrue="1" operator="containsText" text="超过">
      <formula>NOT(ISERROR(SEARCH("超过",F48)))</formula>
    </cfRule>
  </conditionalFormatting>
  <conditionalFormatting sqref="G48">
    <cfRule type="expression" dxfId="95" priority="9" stopIfTrue="1">
      <formula>$H$48="超过30%"</formula>
    </cfRule>
  </conditionalFormatting>
  <conditionalFormatting sqref="G49">
    <cfRule type="expression" dxfId="94" priority="8" stopIfTrue="1">
      <formula>$H$49="超过20%"</formula>
    </cfRule>
  </conditionalFormatting>
  <conditionalFormatting sqref="G50">
    <cfRule type="expression" dxfId="93" priority="11" stopIfTrue="1">
      <formula>$H$50="超过30%"</formula>
    </cfRule>
  </conditionalFormatting>
  <conditionalFormatting sqref="H44">
    <cfRule type="expression" dxfId="92" priority="3">
      <formula>$D$44="简单平均"</formula>
    </cfRule>
  </conditionalFormatting>
  <conditionalFormatting sqref="I48">
    <cfRule type="expression" dxfId="91" priority="7" stopIfTrue="1">
      <formula>$J$48="超过30%"</formula>
    </cfRule>
  </conditionalFormatting>
  <conditionalFormatting sqref="I49">
    <cfRule type="expression" dxfId="90" priority="6" stopIfTrue="1">
      <formula>$J$49="超过20%"</formula>
    </cfRule>
  </conditionalFormatting>
  <conditionalFormatting sqref="I50">
    <cfRule type="expression" dxfId="89" priority="5" stopIfTrue="1">
      <formula>$J$50="超过30%"</formula>
    </cfRule>
  </conditionalFormatting>
  <conditionalFormatting sqref="J44">
    <cfRule type="expression" dxfId="88" priority="2">
      <formula>$D$44="简单平均"</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O34"/>
  <sheetViews>
    <sheetView topLeftCell="F1" workbookViewId="0">
      <pane ySplit="8" topLeftCell="A9" activePane="bottomLeft" state="frozen"/>
      <selection pane="bottomLeft" activeCell="K13" sqref="K13"/>
    </sheetView>
  </sheetViews>
  <sheetFormatPr defaultColWidth="9" defaultRowHeight="35.1" customHeight="1"/>
  <cols>
    <col min="1" max="1" width="10.125" style="3439" customWidth="1"/>
    <col min="2" max="2" width="7.125" style="3443" customWidth="1"/>
    <col min="3" max="4" width="8.375" style="3443" customWidth="1"/>
    <col min="5" max="5" width="30.625" style="3470" customWidth="1"/>
    <col min="6" max="6" width="12.625" style="3443" customWidth="1"/>
    <col min="7" max="7" width="18.875" style="3443" customWidth="1"/>
    <col min="8" max="8" width="9.125" style="3443" hidden="1" customWidth="1"/>
    <col min="9" max="11" width="14.625" style="3443" customWidth="1"/>
    <col min="12" max="12" width="12.5" style="3443" customWidth="1"/>
    <col min="13" max="13" width="12.5" style="3471" customWidth="1"/>
    <col min="14" max="14" width="36.125" style="3443" customWidth="1"/>
    <col min="15" max="16384" width="9" style="3443"/>
  </cols>
  <sheetData>
    <row r="1" spans="1:15" ht="35.1" customHeight="1">
      <c r="B1" s="3440" t="s">
        <v>1726</v>
      </c>
      <c r="C1" s="3440" t="s">
        <v>3710</v>
      </c>
      <c r="D1" s="3440" t="s">
        <v>3711</v>
      </c>
      <c r="E1" s="3441" t="s">
        <v>3712</v>
      </c>
      <c r="F1" s="3441" t="s">
        <v>3713</v>
      </c>
      <c r="G1" s="3441" t="s">
        <v>3714</v>
      </c>
      <c r="H1" s="3441" t="s">
        <v>3715</v>
      </c>
      <c r="I1" s="3441" t="s">
        <v>3716</v>
      </c>
      <c r="J1" s="3441" t="s">
        <v>3717</v>
      </c>
      <c r="K1" s="3441" t="s">
        <v>3718</v>
      </c>
      <c r="L1" s="3441" t="s">
        <v>3719</v>
      </c>
      <c r="M1" s="3442" t="s">
        <v>3720</v>
      </c>
      <c r="N1" s="3441" t="s">
        <v>3721</v>
      </c>
    </row>
    <row r="2" spans="1:15" ht="35.1" customHeight="1">
      <c r="A2" s="3439" t="s">
        <v>3722</v>
      </c>
      <c r="B2" s="3440">
        <v>1</v>
      </c>
      <c r="C2" s="3440">
        <v>2021</v>
      </c>
      <c r="D2" s="3440">
        <v>11</v>
      </c>
      <c r="E2" s="3441" t="s">
        <v>3723</v>
      </c>
      <c r="F2" s="3509" t="s">
        <v>3780</v>
      </c>
      <c r="G2" s="3441">
        <v>468.28</v>
      </c>
      <c r="H2" s="3441"/>
      <c r="I2" s="3444">
        <f>819904368.58/10000</f>
        <v>81990.436858000001</v>
      </c>
      <c r="J2" s="3441">
        <f>7515400349.64/10000</f>
        <v>751540.03496399999</v>
      </c>
      <c r="K2" s="3445">
        <f>SUM(I2:J2)</f>
        <v>833530.47182199999</v>
      </c>
      <c r="L2" s="3445">
        <f>K2/G2</f>
        <v>1779.9830695780304</v>
      </c>
      <c r="M2" s="3446">
        <f>ROUND(L2*$B$26/B28,0)</f>
        <v>3642</v>
      </c>
      <c r="N2" s="3441" t="s">
        <v>3725</v>
      </c>
    </row>
    <row r="3" spans="1:15" s="3452" customFormat="1" ht="34.5" customHeight="1">
      <c r="A3" s="3447"/>
      <c r="B3" s="3448">
        <v>2</v>
      </c>
      <c r="C3" s="3448">
        <v>2021</v>
      </c>
      <c r="D3" s="3448">
        <v>3</v>
      </c>
      <c r="E3" s="3449" t="s">
        <v>3726</v>
      </c>
      <c r="F3" s="3448" t="s">
        <v>3727</v>
      </c>
      <c r="G3" s="3449">
        <v>22.65</v>
      </c>
      <c r="H3" s="3449"/>
      <c r="I3" s="3449">
        <v>13508.16</v>
      </c>
      <c r="J3" s="3449">
        <v>254119.46</v>
      </c>
      <c r="K3" s="3450">
        <f>SUM(I3:J3)</f>
        <v>267627.62</v>
      </c>
      <c r="L3" s="3450">
        <f>K3/G3</f>
        <v>11815.788962472407</v>
      </c>
      <c r="M3" s="3451">
        <f>ROUND(L3*$B$26/B25,0)</f>
        <v>8276</v>
      </c>
      <c r="N3" s="3449" t="s">
        <v>3725</v>
      </c>
    </row>
    <row r="4" spans="1:15" s="3452" customFormat="1" ht="35.1" customHeight="1">
      <c r="A4" s="3447" t="s">
        <v>3728</v>
      </c>
      <c r="B4" s="3448">
        <v>3</v>
      </c>
      <c r="C4" s="3448">
        <v>2021</v>
      </c>
      <c r="D4" s="3448">
        <v>7</v>
      </c>
      <c r="E4" s="3449" t="s">
        <v>3729</v>
      </c>
      <c r="F4" s="3448" t="s">
        <v>3730</v>
      </c>
      <c r="G4" s="3449">
        <v>50.75</v>
      </c>
      <c r="H4" s="3449"/>
      <c r="I4" s="3449">
        <v>27401.06</v>
      </c>
      <c r="J4" s="3449">
        <f>253764.03</f>
        <v>253764.03</v>
      </c>
      <c r="K4" s="3450">
        <f>SUM(I4:J4)</f>
        <v>281165.09000000003</v>
      </c>
      <c r="L4" s="3453">
        <f>K4/G4+[6]成本法!$F$56</f>
        <v>11990.198817733992</v>
      </c>
      <c r="M4" s="3451">
        <f>ROUND(L4*$B$26/B25,0)</f>
        <v>8398</v>
      </c>
      <c r="N4" s="3449" t="s">
        <v>3731</v>
      </c>
    </row>
    <row r="5" spans="1:15" ht="35.1" customHeight="1">
      <c r="A5" s="3439" t="s">
        <v>3732</v>
      </c>
      <c r="B5" s="3440">
        <v>4</v>
      </c>
      <c r="C5" s="3440">
        <v>2021</v>
      </c>
      <c r="D5" s="3440">
        <v>3</v>
      </c>
      <c r="E5" s="3441" t="s">
        <v>3733</v>
      </c>
      <c r="F5" s="3441" t="s">
        <v>1156</v>
      </c>
      <c r="G5" s="3440">
        <v>147.41</v>
      </c>
      <c r="H5" s="3440">
        <v>9.25</v>
      </c>
      <c r="I5" s="3440">
        <v>153400</v>
      </c>
      <c r="J5" s="3440">
        <v>445700</v>
      </c>
      <c r="K5" s="3440">
        <f>SUM(I5:J5)</f>
        <v>599100</v>
      </c>
      <c r="L5" s="3445">
        <f t="shared" ref="L5:L7" si="0">K5/G5</f>
        <v>4064.1747506953398</v>
      </c>
      <c r="M5" s="3446">
        <f>ROUND(L5*$B$26/B31,0)</f>
        <v>21005</v>
      </c>
      <c r="N5" s="3441" t="s">
        <v>3725</v>
      </c>
    </row>
    <row r="6" spans="1:15" ht="35.1" customHeight="1">
      <c r="A6" s="3439" t="s">
        <v>3732</v>
      </c>
      <c r="B6" s="3440">
        <v>5</v>
      </c>
      <c r="C6" s="3454">
        <v>2021</v>
      </c>
      <c r="D6" s="3454"/>
      <c r="E6" s="3441" t="s">
        <v>3734</v>
      </c>
      <c r="F6" s="3441" t="s">
        <v>1156</v>
      </c>
      <c r="G6" s="3440">
        <v>14.27</v>
      </c>
      <c r="H6" s="3440" t="s">
        <v>3724</v>
      </c>
      <c r="I6" s="3440">
        <v>27745.940999999999</v>
      </c>
      <c r="J6" s="3440">
        <v>80611.956999999995</v>
      </c>
      <c r="K6" s="3440">
        <v>108357.898</v>
      </c>
      <c r="L6" s="3445">
        <f t="shared" si="0"/>
        <v>7593.4056061667834</v>
      </c>
      <c r="M6" s="3446">
        <f>ROUND(L6*$B$26/B31,0)</f>
        <v>39246</v>
      </c>
      <c r="N6" s="3441" t="s">
        <v>3725</v>
      </c>
    </row>
    <row r="7" spans="1:15" s="3459" customFormat="1" ht="35.1" customHeight="1">
      <c r="A7" s="3455" t="s">
        <v>3728</v>
      </c>
      <c r="B7" s="3456">
        <v>6</v>
      </c>
      <c r="C7" s="3456">
        <v>2020</v>
      </c>
      <c r="D7" s="3456">
        <v>10</v>
      </c>
      <c r="E7" s="3457" t="s">
        <v>3735</v>
      </c>
      <c r="F7" s="3456" t="s">
        <v>3736</v>
      </c>
      <c r="G7" s="3457">
        <v>8.4600000000000009</v>
      </c>
      <c r="H7" s="3457"/>
      <c r="I7" s="3457">
        <v>110467.13</v>
      </c>
      <c r="J7" s="3457">
        <v>52283.35</v>
      </c>
      <c r="K7" s="3458">
        <f>SUM(I7:J7)</f>
        <v>162750.48000000001</v>
      </c>
      <c r="L7" s="3458">
        <f t="shared" si="0"/>
        <v>19237.64539007092</v>
      </c>
      <c r="M7" s="3508">
        <f>ROUND(L7*$B$26/B26,0)</f>
        <v>19238</v>
      </c>
      <c r="N7" s="3457" t="s">
        <v>3737</v>
      </c>
    </row>
    <row r="8" spans="1:15" s="3507" customFormat="1" ht="35.1" customHeight="1" thickBot="1">
      <c r="A8" s="3500" t="s">
        <v>3722</v>
      </c>
      <c r="B8" s="3501">
        <v>7</v>
      </c>
      <c r="C8" s="3502">
        <v>2020</v>
      </c>
      <c r="D8" s="3502">
        <v>9</v>
      </c>
      <c r="E8" s="3502" t="s">
        <v>3738</v>
      </c>
      <c r="F8" s="3503" t="s">
        <v>3812</v>
      </c>
      <c r="G8" s="3502">
        <f>318-H8</f>
        <v>140</v>
      </c>
      <c r="H8" s="3502">
        <v>178</v>
      </c>
      <c r="I8" s="3502">
        <v>143896.98000000001</v>
      </c>
      <c r="J8" s="3502">
        <f>603585.19+193504.07</f>
        <v>797089.26</v>
      </c>
      <c r="K8" s="3502">
        <f>SUM(I8:J8)</f>
        <v>940986.24</v>
      </c>
      <c r="L8" s="3504">
        <f>I8/G8+J8/(G8+H8)</f>
        <v>3534.4055714285714</v>
      </c>
      <c r="M8" s="3505">
        <f>ROUND(L8*$B$26/B29,0)</f>
        <v>10089</v>
      </c>
      <c r="N8" s="3502" t="s">
        <v>3725</v>
      </c>
      <c r="O8" s="3506" t="s">
        <v>3739</v>
      </c>
    </row>
    <row r="9" spans="1:15" ht="35.1" customHeight="1">
      <c r="B9" s="3496">
        <v>8</v>
      </c>
      <c r="C9" s="3497">
        <v>2019</v>
      </c>
      <c r="D9" s="3497">
        <v>1</v>
      </c>
      <c r="E9" s="3497" t="s">
        <v>3740</v>
      </c>
      <c r="F9" s="3497" t="s">
        <v>3730</v>
      </c>
      <c r="G9" s="3497">
        <v>50.75</v>
      </c>
      <c r="H9" s="3497"/>
      <c r="I9" s="3497"/>
      <c r="J9" s="3497"/>
      <c r="K9" s="3497"/>
      <c r="L9" s="3498">
        <v>11725.86</v>
      </c>
      <c r="M9" s="3499">
        <f>ROUND(L9*$B$26/B25,0)</f>
        <v>8213</v>
      </c>
      <c r="N9" s="3497"/>
    </row>
    <row r="10" spans="1:15" ht="35.1" customHeight="1">
      <c r="A10" s="3439" t="s">
        <v>3741</v>
      </c>
      <c r="B10" s="3440">
        <v>9</v>
      </c>
      <c r="C10" s="3441">
        <v>2019</v>
      </c>
      <c r="D10" s="3441">
        <v>1</v>
      </c>
      <c r="E10" s="3441" t="s">
        <v>3742</v>
      </c>
      <c r="F10" s="3460" t="s">
        <v>3743</v>
      </c>
      <c r="G10" s="3441">
        <v>98.44</v>
      </c>
      <c r="H10" s="3441"/>
      <c r="I10" s="3441"/>
      <c r="J10" s="3441"/>
      <c r="K10" s="3441"/>
      <c r="L10" s="3445">
        <v>2649.61</v>
      </c>
      <c r="M10" s="3446"/>
      <c r="N10" s="3441"/>
    </row>
    <row r="11" spans="1:15" ht="35.1" customHeight="1">
      <c r="A11" s="3439" t="s">
        <v>3744</v>
      </c>
      <c r="B11" s="3440">
        <v>10</v>
      </c>
      <c r="C11" s="3441">
        <v>2019</v>
      </c>
      <c r="D11" s="3441">
        <v>1</v>
      </c>
      <c r="E11" s="3441" t="s">
        <v>3745</v>
      </c>
      <c r="F11" s="3440" t="s">
        <v>3746</v>
      </c>
      <c r="G11" s="3441">
        <v>12.82</v>
      </c>
      <c r="H11" s="3441"/>
      <c r="I11" s="3441"/>
      <c r="J11" s="3441"/>
      <c r="K11" s="3441"/>
      <c r="L11" s="3445">
        <v>39148.75</v>
      </c>
      <c r="M11" s="3446">
        <f>ROUND(L11*$B$26/B27,0)</f>
        <v>55716</v>
      </c>
      <c r="N11" s="3441"/>
      <c r="O11" s="3461" t="s">
        <v>3747</v>
      </c>
    </row>
    <row r="12" spans="1:15" ht="35.1" customHeight="1">
      <c r="A12" s="3439" t="s">
        <v>3722</v>
      </c>
      <c r="B12" s="3440">
        <v>11</v>
      </c>
      <c r="C12" s="3441">
        <v>2018</v>
      </c>
      <c r="D12" s="3441">
        <v>9</v>
      </c>
      <c r="E12" s="3441" t="s">
        <v>3748</v>
      </c>
      <c r="F12" s="3440" t="s">
        <v>3749</v>
      </c>
      <c r="G12" s="3441">
        <v>61.82</v>
      </c>
      <c r="H12" s="3441">
        <v>0</v>
      </c>
      <c r="I12" s="3441">
        <v>42500</v>
      </c>
      <c r="J12" s="3441">
        <v>153700</v>
      </c>
      <c r="K12" s="3441">
        <f>SUM(I12:J12)</f>
        <v>196200</v>
      </c>
      <c r="L12" s="3445">
        <f>K12/G12</f>
        <v>3173.7301844063409</v>
      </c>
      <c r="M12" s="3446">
        <f>ROUND(L12*$B$26/B28,0)</f>
        <v>6493</v>
      </c>
      <c r="N12" s="3441"/>
    </row>
    <row r="13" spans="1:15" ht="35.1" customHeight="1">
      <c r="A13" s="3439" t="s">
        <v>3744</v>
      </c>
      <c r="B13" s="3440">
        <v>12</v>
      </c>
      <c r="C13" s="3441">
        <v>2018</v>
      </c>
      <c r="D13" s="3441">
        <v>3</v>
      </c>
      <c r="E13" s="3441" t="s">
        <v>3750</v>
      </c>
      <c r="F13" s="3440" t="s">
        <v>3746</v>
      </c>
      <c r="G13" s="3441">
        <v>252.99</v>
      </c>
      <c r="H13" s="3441"/>
      <c r="I13" s="3441"/>
      <c r="J13" s="3441"/>
      <c r="K13" s="3441"/>
      <c r="L13" s="3445">
        <v>7132.82</v>
      </c>
      <c r="M13" s="3446">
        <f>ROUND(L13*$B$26/B27,0)</f>
        <v>10151</v>
      </c>
      <c r="N13" s="3441"/>
    </row>
    <row r="14" spans="1:15" ht="35.1" customHeight="1">
      <c r="B14" s="3440">
        <v>13</v>
      </c>
      <c r="C14" s="3441">
        <v>2018</v>
      </c>
      <c r="D14" s="3441">
        <v>2</v>
      </c>
      <c r="E14" s="3441" t="s">
        <v>3751</v>
      </c>
      <c r="F14" s="3441"/>
      <c r="G14" s="3441">
        <v>93.71</v>
      </c>
      <c r="H14" s="3441"/>
      <c r="I14" s="3441"/>
      <c r="J14" s="3441"/>
      <c r="K14" s="3441"/>
      <c r="L14" s="3445">
        <v>10857.14</v>
      </c>
      <c r="M14" s="3446"/>
      <c r="N14" s="3441"/>
    </row>
    <row r="15" spans="1:15" ht="35.1" customHeight="1">
      <c r="A15" s="3439" t="s">
        <v>3722</v>
      </c>
      <c r="B15" s="3440">
        <v>14</v>
      </c>
      <c r="C15" s="3441">
        <v>2018</v>
      </c>
      <c r="D15" s="3441">
        <v>2</v>
      </c>
      <c r="E15" s="3441" t="s">
        <v>3752</v>
      </c>
      <c r="F15" s="3440" t="s">
        <v>3749</v>
      </c>
      <c r="G15" s="3441">
        <v>61.82</v>
      </c>
      <c r="H15" s="3441"/>
      <c r="I15" s="3441"/>
      <c r="J15" s="3441"/>
      <c r="K15" s="3441"/>
      <c r="L15" s="3445">
        <v>3331.71</v>
      </c>
      <c r="M15" s="3446">
        <f>ROUND(L15*$B$26/B28,0)</f>
        <v>6816</v>
      </c>
      <c r="N15" s="3441"/>
    </row>
    <row r="16" spans="1:15" s="3459" customFormat="1" ht="35.1" customHeight="1">
      <c r="A16" s="3455" t="s">
        <v>3728</v>
      </c>
      <c r="B16" s="3456">
        <v>15</v>
      </c>
      <c r="C16" s="3456">
        <v>2018</v>
      </c>
      <c r="D16" s="3456">
        <v>12</v>
      </c>
      <c r="E16" s="3457" t="s">
        <v>3753</v>
      </c>
      <c r="F16" s="3456" t="s">
        <v>3736</v>
      </c>
      <c r="G16" s="3456">
        <v>66.48</v>
      </c>
      <c r="H16" s="3462"/>
      <c r="I16" s="3456">
        <v>52052</v>
      </c>
      <c r="J16" s="3456">
        <v>407351</v>
      </c>
      <c r="K16" s="3456">
        <f>SUM(I16:J16)</f>
        <v>459403</v>
      </c>
      <c r="L16" s="3458">
        <f>K16/G16</f>
        <v>6910.3941034897707</v>
      </c>
      <c r="M16" s="3508">
        <f>ROUND(L16*$B$26/B26,0)</f>
        <v>6910</v>
      </c>
      <c r="N16" s="3457" t="s">
        <v>3754</v>
      </c>
    </row>
    <row r="17" spans="1:14" s="3459" customFormat="1" ht="35.1" customHeight="1">
      <c r="A17" s="3455" t="s">
        <v>3728</v>
      </c>
      <c r="B17" s="3456">
        <v>16</v>
      </c>
      <c r="C17" s="3456">
        <v>2018</v>
      </c>
      <c r="D17" s="3457" t="s">
        <v>3755</v>
      </c>
      <c r="E17" s="3457" t="s">
        <v>3756</v>
      </c>
      <c r="F17" s="3456" t="s">
        <v>3746</v>
      </c>
      <c r="G17" s="3456">
        <v>73.94</v>
      </c>
      <c r="H17" s="3462"/>
      <c r="I17" s="3456">
        <v>60390.559999999998</v>
      </c>
      <c r="J17" s="3456">
        <v>332302.90999999997</v>
      </c>
      <c r="K17" s="3456">
        <f>SUM(I17:J17)</f>
        <v>392693.47</v>
      </c>
      <c r="L17" s="3458">
        <f>K17/G17</f>
        <v>5310.9747092236948</v>
      </c>
      <c r="M17" s="3508">
        <f>ROUND(L17*$B$26/B27,0)</f>
        <v>7559</v>
      </c>
      <c r="N17" s="3457" t="s">
        <v>3757</v>
      </c>
    </row>
    <row r="18" spans="1:14" ht="35.1" customHeight="1">
      <c r="A18" s="3439" t="s">
        <v>3758</v>
      </c>
      <c r="B18" s="3440">
        <v>17</v>
      </c>
      <c r="C18" s="3440">
        <v>2018</v>
      </c>
      <c r="D18" s="3454">
        <v>3</v>
      </c>
      <c r="E18" s="3441" t="s">
        <v>3759</v>
      </c>
      <c r="F18" s="3440" t="s">
        <v>3746</v>
      </c>
      <c r="G18" s="3440">
        <v>214.34</v>
      </c>
      <c r="H18" s="3454"/>
      <c r="I18" s="3440">
        <v>410518</v>
      </c>
      <c r="J18" s="3440">
        <v>1480680.08</v>
      </c>
      <c r="K18" s="3440">
        <f>SUM(I18:J18)</f>
        <v>1891198.08</v>
      </c>
      <c r="L18" s="3445">
        <f>K18/G18</f>
        <v>8823.3557898665676</v>
      </c>
      <c r="M18" s="3446">
        <f>ROUND(L18*$B$26/B27,0)</f>
        <v>12557</v>
      </c>
      <c r="N18" s="3441"/>
    </row>
    <row r="19" spans="1:14" s="3468" customFormat="1" ht="35.1" customHeight="1">
      <c r="A19" s="3463" t="s">
        <v>3744</v>
      </c>
      <c r="B19" s="3464">
        <v>18</v>
      </c>
      <c r="C19" s="3464">
        <v>2018</v>
      </c>
      <c r="D19" s="3465">
        <v>8</v>
      </c>
      <c r="E19" s="3466" t="s">
        <v>3760</v>
      </c>
      <c r="F19" s="3464" t="s">
        <v>3746</v>
      </c>
      <c r="G19" s="3464"/>
      <c r="H19" s="3465"/>
      <c r="I19" s="3464"/>
      <c r="J19" s="3464"/>
      <c r="K19" s="3464"/>
      <c r="L19" s="3467">
        <v>7458.7</v>
      </c>
      <c r="M19" s="3446">
        <f>ROUND(L19*$B$26/B27,0)</f>
        <v>10615</v>
      </c>
      <c r="N19" s="3466"/>
    </row>
    <row r="20" spans="1:14" ht="35.1" customHeight="1">
      <c r="A20" s="3439" t="s">
        <v>3758</v>
      </c>
      <c r="B20" s="3440">
        <v>19</v>
      </c>
      <c r="C20" s="3440">
        <v>2018</v>
      </c>
      <c r="D20" s="3454"/>
      <c r="E20" s="3441" t="s">
        <v>3761</v>
      </c>
      <c r="F20" s="3440" t="s">
        <v>3746</v>
      </c>
      <c r="G20" s="3440">
        <v>22.71</v>
      </c>
      <c r="H20" s="3454"/>
      <c r="I20" s="3440">
        <v>51633.43</v>
      </c>
      <c r="J20" s="3440">
        <v>13738.56</v>
      </c>
      <c r="K20" s="3440">
        <f>SUM(I20:J20)</f>
        <v>65371.99</v>
      </c>
      <c r="L20" s="3445">
        <f>K20/G20</f>
        <v>2878.555261999119</v>
      </c>
      <c r="M20" s="3446">
        <f>ROUND(L20*$B$26/B27,0)</f>
        <v>4097</v>
      </c>
      <c r="N20" s="3441"/>
    </row>
    <row r="22" spans="1:14" ht="35.1" customHeight="1">
      <c r="A22" s="3469" t="s">
        <v>3762</v>
      </c>
      <c r="B22" s="3469"/>
      <c r="D22" s="3469" t="s">
        <v>3763</v>
      </c>
    </row>
    <row r="23" spans="1:14" ht="35.1" customHeight="1">
      <c r="A23" s="3469" t="s">
        <v>3764</v>
      </c>
      <c r="B23" s="3469">
        <v>13780</v>
      </c>
      <c r="D23" s="3469">
        <v>1.5</v>
      </c>
    </row>
    <row r="24" spans="1:14" ht="35.1" customHeight="1">
      <c r="A24" s="3469" t="s">
        <v>3765</v>
      </c>
      <c r="B24" s="3469">
        <v>10100</v>
      </c>
      <c r="D24" s="3469">
        <v>1.5</v>
      </c>
    </row>
    <row r="25" spans="1:14" ht="35.1" customHeight="1">
      <c r="A25" s="3469" t="s">
        <v>3766</v>
      </c>
      <c r="B25" s="3469">
        <v>7010</v>
      </c>
      <c r="D25" s="3469">
        <v>1.5</v>
      </c>
    </row>
    <row r="26" spans="1:14" ht="35.1" customHeight="1">
      <c r="A26" s="3472" t="s">
        <v>3767</v>
      </c>
      <c r="B26" s="3472">
        <v>4910</v>
      </c>
      <c r="C26" s="3473"/>
      <c r="D26" s="3472">
        <v>1.5</v>
      </c>
    </row>
    <row r="27" spans="1:14" ht="35.1" customHeight="1">
      <c r="A27" s="3469" t="s">
        <v>3768</v>
      </c>
      <c r="B27" s="3469">
        <v>3450</v>
      </c>
      <c r="D27" s="3469">
        <v>1.5</v>
      </c>
    </row>
    <row r="28" spans="1:14" ht="35.1" customHeight="1">
      <c r="A28" s="3469" t="s">
        <v>3769</v>
      </c>
      <c r="B28" s="3469">
        <v>2400</v>
      </c>
      <c r="D28" s="3469">
        <v>1.2</v>
      </c>
    </row>
    <row r="29" spans="1:14" ht="35.1" customHeight="1">
      <c r="A29" s="3469" t="s">
        <v>3770</v>
      </c>
      <c r="B29" s="3469">
        <v>1720</v>
      </c>
      <c r="D29" s="3469">
        <v>1.2</v>
      </c>
    </row>
    <row r="30" spans="1:14" ht="35.1" customHeight="1">
      <c r="A30" s="3469" t="s">
        <v>3771</v>
      </c>
      <c r="B30" s="3469">
        <v>1260</v>
      </c>
      <c r="D30" s="3469">
        <v>1</v>
      </c>
    </row>
    <row r="31" spans="1:14" ht="35.1" customHeight="1">
      <c r="A31" s="3469" t="s">
        <v>3772</v>
      </c>
      <c r="B31" s="3469">
        <v>950</v>
      </c>
      <c r="D31" s="3469">
        <v>1</v>
      </c>
    </row>
    <row r="32" spans="1:14" ht="35.1" customHeight="1">
      <c r="A32" s="3469" t="s">
        <v>3773</v>
      </c>
      <c r="B32" s="3469">
        <v>730</v>
      </c>
      <c r="D32" s="3469">
        <v>1</v>
      </c>
    </row>
    <row r="33" spans="1:4" ht="35.1" customHeight="1">
      <c r="A33" s="3469" t="s">
        <v>3774</v>
      </c>
      <c r="B33" s="3469">
        <v>570</v>
      </c>
      <c r="D33" s="3469">
        <v>1</v>
      </c>
    </row>
    <row r="34" spans="1:4" ht="35.1" customHeight="1">
      <c r="A34" s="3469" t="s">
        <v>3775</v>
      </c>
      <c r="B34" s="3469">
        <v>450</v>
      </c>
      <c r="D34" s="3469">
        <v>1</v>
      </c>
    </row>
  </sheetData>
  <phoneticPr fontId="223" type="noConversion"/>
  <hyperlinks>
    <hyperlink ref="O8" r:id="rId1"/>
    <hyperlink ref="O11" r:id="rId2"/>
  </hyperlinks>
  <pageMargins left="0.7" right="0.7" top="0.75" bottom="0.75" header="0.3" footer="0.3"/>
  <pageSetup paperSize="9" orientation="portrait"/>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37.5">
      <c r="A4" s="1487" t="str">
        <f>"受贵公司委托，我公司对"&amp;项目基本情况!K2&amp;项目基本情况!B9&amp;"进行了预评估。"</f>
        <v>受贵公司委托，我公司对北京市丰台区大红门西后街甲1号“鸿都国际轻纺城”项目划拨国有建设用地使用权市场价格进行了预评估。</v>
      </c>
    </row>
    <row r="5" spans="1:4" ht="18.75">
      <c r="A5" s="1490" t="s">
        <v>1429</v>
      </c>
    </row>
    <row r="6" spans="1:4" ht="93.75">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丰台区大红门西后街甲1号“鸿都国际轻纺城”项目划拨国有建设用地使用权。根据《国有土地使用证》[丰国用（2002）字第001393号]，估价对象（分摊）出让国有建设用地使用权面积为17556.58平方米。根据《房屋所有权证》[京房权证丰国字第04279号]，估价对象规划建筑面积为5006.88平方米。</v>
      </c>
    </row>
    <row r="7" spans="1:4" ht="93.75">
      <c r="A7" s="2177" t="s">
        <v>2027</v>
      </c>
    </row>
    <row r="8" spans="1:4" ht="18.75">
      <c r="A8" s="1490" t="s">
        <v>1430</v>
      </c>
    </row>
    <row r="9" spans="1:4" ht="37.5">
      <c r="A9" s="1487" t="str">
        <f>IF(项目基本情况!B8="抵押",IF(项目基本情况!B5=项目基本情况!B6,定义!C51,定义!B51),定义!D51)</f>
        <v>本次评估为委托估价方了解标的物之市场价格提供参考依据而评估划拨国有建设用地使用权市场价格。</v>
      </c>
    </row>
    <row r="10" spans="1:4" ht="18.75">
      <c r="A10" s="1492" t="s">
        <v>1542</v>
      </c>
    </row>
    <row r="11" spans="1:4" ht="18.75">
      <c r="A11" s="1476" t="str">
        <f>TEXT(项目基本情况!D3,"yyyy年m月d日;;")&amp;IF(项目基本情况!B3=项目基本情况!D3,"（评估专业人员勘察现场之日）","")</f>
        <v>2023年9月27日</v>
      </c>
    </row>
    <row r="12" spans="1:4" ht="18.75">
      <c r="A12" s="1492" t="s">
        <v>1541</v>
      </c>
    </row>
    <row r="13" spans="1:4" ht="18.75">
      <c r="A13" s="1487" t="s">
        <v>1587</v>
      </c>
    </row>
    <row r="14" spans="1:4" ht="37.5">
      <c r="A14" s="1487" t="str">
        <f>"根据"&amp;项目基本情况!F12&amp;"，本次评估估价对象证载（地类）用途为"&amp;项目基本情况!B12&amp;"。"</f>
        <v>根据《国有土地使用证》[丰国用（2002）字第001393号]，本次评估估价对象证载（地类）用途为仓储。</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本次评估设定用途即为证载用途仓储。</v>
      </c>
      <c r="C15" s="1477"/>
      <c r="D15" s="1478"/>
    </row>
    <row r="16" spans="1:4" ht="18.75">
      <c r="A16" s="1487" t="s">
        <v>1588</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根据委托估价方介绍及评估专业人员现场勘查，本次评估估价对象实际土地开发程度为红线外市政基础设施达“七通”（即通路、通电、通讯、通上水、通下水、通热、燃气）、宗地红线内场地未平整，已完工。</v>
      </c>
    </row>
    <row r="18" spans="1:1" ht="56.25">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7" t="s">
        <v>1589</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根据《国有土地使用证》[丰国用（2002）字第001393号]，估价对象（分摊）出让国有建设用地使用权面积为17556.58平方米。根据《房屋所有权证》[京房权证丰国字第04279号]，估价对象规划建筑面积为5006.88平方米。</v>
      </c>
    </row>
    <row r="21" spans="1:1" ht="93.75">
      <c r="A21" s="21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7" t="s">
        <v>1590</v>
      </c>
    </row>
    <row r="23" spans="1:1" ht="18.75">
      <c r="A23" s="2179" t="s">
        <v>2028</v>
      </c>
    </row>
    <row r="24" spans="1:1" ht="18.75">
      <c r="A24" s="1487" t="s">
        <v>1591</v>
      </c>
    </row>
    <row r="25" spans="1:1" ht="75">
      <c r="A25" s="1487" t="str">
        <f>定义!C53</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仓储的划拨国有建设用地使用权价格。</v>
      </c>
    </row>
    <row r="26" spans="1:1" ht="93.75">
      <c r="A26" s="148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2" t="s">
        <v>1543</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93"/>
    </row>
    <row r="32" spans="1:1" ht="18.75">
      <c r="A32" s="1494" t="s">
        <v>1544</v>
      </c>
    </row>
  </sheetData>
  <sheetProtection formatCells="0" formatRows="0" insertRows="0" deleteRows="0"/>
  <phoneticPr fontId="22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H49" sqref="H49"/>
    </sheetView>
  </sheetViews>
  <sheetFormatPr defaultColWidth="9" defaultRowHeight="14.25"/>
  <cols>
    <col min="1" max="1" width="10.5" style="1130" customWidth="1"/>
    <col min="2" max="2" width="15.625" style="1130" customWidth="1"/>
    <col min="3" max="3" width="15.12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2077" t="s">
        <v>666</v>
      </c>
      <c r="C1" s="2078" t="s">
        <v>667</v>
      </c>
      <c r="D1" s="2079"/>
      <c r="E1" s="1734"/>
      <c r="F1" s="2117"/>
      <c r="G1" s="1327" t="s">
        <v>668</v>
      </c>
      <c r="H1" s="457"/>
      <c r="I1" s="457"/>
      <c r="J1" s="457"/>
      <c r="K1" s="458"/>
      <c r="L1" s="2717"/>
      <c r="M1" s="2718"/>
      <c r="N1" s="2718"/>
      <c r="O1" s="2718"/>
      <c r="P1" s="455"/>
      <c r="Q1" s="455"/>
      <c r="R1" s="455"/>
      <c r="S1" s="455"/>
      <c r="T1" s="455"/>
      <c r="U1" s="455"/>
      <c r="V1" s="455"/>
      <c r="W1" s="455"/>
      <c r="X1" s="455"/>
      <c r="Y1" s="455"/>
      <c r="Z1" s="455"/>
      <c r="AA1" s="455"/>
      <c r="AB1" s="455"/>
      <c r="AC1" s="398"/>
    </row>
    <row r="2" spans="1:29" s="1154" customFormat="1" ht="28.5" customHeight="1">
      <c r="A2" s="393" t="s">
        <v>427</v>
      </c>
      <c r="B2" s="2076" t="e">
        <f>ROUND(B3*D3/10000,0)</f>
        <v>#DIV/0!</v>
      </c>
      <c r="C2" s="1734"/>
      <c r="D2" s="1734"/>
      <c r="E2" s="1734"/>
      <c r="F2" s="1798"/>
      <c r="G2" s="1734"/>
      <c r="H2" s="1734"/>
      <c r="I2" s="1734"/>
      <c r="J2" s="1734"/>
      <c r="K2" s="1799"/>
      <c r="L2" s="1800"/>
      <c r="M2" s="1801"/>
      <c r="N2" s="1801"/>
      <c r="O2" s="1801"/>
      <c r="P2" s="1328"/>
      <c r="Q2" s="1328"/>
      <c r="R2" s="1328"/>
      <c r="S2" s="1328"/>
      <c r="T2" s="1328"/>
      <c r="U2" s="1328"/>
      <c r="V2" s="1328"/>
      <c r="W2" s="1328"/>
      <c r="X2" s="1328"/>
      <c r="Y2" s="1328"/>
      <c r="Z2" s="1328"/>
      <c r="AA2" s="1328"/>
      <c r="AB2" s="1328"/>
      <c r="AC2" s="1329"/>
    </row>
    <row r="3" spans="1:29" s="1154" customFormat="1" ht="28.5" customHeight="1" thickBot="1">
      <c r="A3" s="460" t="s">
        <v>468</v>
      </c>
      <c r="B3" s="783" t="e">
        <f>C49</f>
        <v>#DIV/0!</v>
      </c>
      <c r="C3" s="784" t="s">
        <v>669</v>
      </c>
      <c r="D3" s="783">
        <f>SUMIF('数据-汇总表'!$C19:$C33,D1,'数据-汇总表'!$E19:$E33)</f>
        <v>0</v>
      </c>
      <c r="E3" s="1734"/>
      <c r="F3" s="1798"/>
      <c r="G3" s="1734"/>
      <c r="H3" s="1734"/>
      <c r="I3" s="1734"/>
      <c r="J3" s="1734"/>
      <c r="K3" s="1799"/>
      <c r="L3" s="1800"/>
      <c r="M3" s="1801"/>
      <c r="N3" s="1801"/>
      <c r="O3" s="1801"/>
      <c r="P3" s="1328"/>
      <c r="Q3" s="1328"/>
      <c r="R3" s="1328"/>
      <c r="S3" s="1328"/>
      <c r="T3" s="1328"/>
      <c r="U3" s="1328"/>
      <c r="V3" s="1328"/>
      <c r="W3" s="1328"/>
      <c r="X3" s="1328"/>
      <c r="Y3" s="1328"/>
      <c r="Z3" s="1328"/>
      <c r="AA3" s="1328"/>
      <c r="AB3" s="1328"/>
      <c r="AC3" s="1329"/>
    </row>
    <row r="4" spans="1:29" ht="15">
      <c r="A4" s="463" t="s">
        <v>470</v>
      </c>
      <c r="B4" s="464"/>
      <c r="C4" s="3732" t="s">
        <v>471</v>
      </c>
      <c r="D4" s="3733"/>
      <c r="E4" s="3769" t="s">
        <v>472</v>
      </c>
      <c r="F4" s="3770"/>
      <c r="G4" s="3732" t="s">
        <v>473</v>
      </c>
      <c r="H4" s="3733"/>
      <c r="I4" s="3732" t="s">
        <v>474</v>
      </c>
      <c r="J4" s="3733"/>
      <c r="K4" s="785" t="s">
        <v>475</v>
      </c>
      <c r="L4" s="1740"/>
      <c r="M4" s="1741"/>
      <c r="N4" s="1741"/>
      <c r="O4" s="1741"/>
      <c r="P4" s="3734" t="s">
        <v>476</v>
      </c>
      <c r="Q4" s="3735"/>
      <c r="R4" s="3718" t="s">
        <v>472</v>
      </c>
      <c r="S4" s="3719"/>
      <c r="T4" s="3718" t="s">
        <v>473</v>
      </c>
      <c r="U4" s="3719"/>
      <c r="V4" s="3740" t="s">
        <v>474</v>
      </c>
      <c r="W4" s="3740"/>
      <c r="X4" s="1301"/>
      <c r="Y4" s="3718" t="s">
        <v>476</v>
      </c>
      <c r="Z4" s="3719"/>
      <c r="AA4" s="3713" t="s">
        <v>472</v>
      </c>
      <c r="AB4" s="3713" t="s">
        <v>473</v>
      </c>
      <c r="AC4" s="3713" t="s">
        <v>474</v>
      </c>
    </row>
    <row r="5" spans="1:29" ht="15">
      <c r="A5" s="466"/>
      <c r="B5" s="467"/>
      <c r="C5" s="3743" t="s">
        <v>2186</v>
      </c>
      <c r="D5" s="3744"/>
      <c r="E5" s="3771" t="s">
        <v>2187</v>
      </c>
      <c r="F5" s="3772"/>
      <c r="G5" s="3743" t="s">
        <v>2188</v>
      </c>
      <c r="H5" s="3744"/>
      <c r="I5" s="3743" t="s">
        <v>2189</v>
      </c>
      <c r="J5" s="3744"/>
      <c r="K5" s="786"/>
      <c r="L5" s="1740"/>
      <c r="M5" s="1741"/>
      <c r="N5" s="1741"/>
      <c r="O5" s="1741"/>
      <c r="P5" s="3736"/>
      <c r="Q5" s="3737"/>
      <c r="R5" s="3720"/>
      <c r="S5" s="3721"/>
      <c r="T5" s="3720"/>
      <c r="U5" s="3721"/>
      <c r="V5" s="3740"/>
      <c r="W5" s="3740"/>
      <c r="X5" s="1301"/>
      <c r="Y5" s="3720"/>
      <c r="Z5" s="3721"/>
      <c r="AA5" s="3714"/>
      <c r="AB5" s="3714"/>
      <c r="AC5" s="3714"/>
    </row>
    <row r="6" spans="1:29" ht="15.75" thickBot="1">
      <c r="A6" s="468"/>
      <c r="B6" s="469"/>
      <c r="C6" s="3741" t="s">
        <v>2190</v>
      </c>
      <c r="D6" s="3742"/>
      <c r="E6" s="3773" t="s">
        <v>2190</v>
      </c>
      <c r="F6" s="3774"/>
      <c r="G6" s="3741" t="s">
        <v>2190</v>
      </c>
      <c r="H6" s="3742"/>
      <c r="I6" s="3741" t="s">
        <v>2190</v>
      </c>
      <c r="J6" s="3742"/>
      <c r="K6" s="786" t="s">
        <v>477</v>
      </c>
      <c r="L6" s="1740"/>
      <c r="M6" s="1741"/>
      <c r="N6" s="1741"/>
      <c r="O6" s="1741"/>
      <c r="P6" s="3738"/>
      <c r="Q6" s="3739"/>
      <c r="R6" s="3720"/>
      <c r="S6" s="3721"/>
      <c r="T6" s="3722"/>
      <c r="U6" s="3723"/>
      <c r="V6" s="3740"/>
      <c r="W6" s="3740"/>
      <c r="X6" s="1301"/>
      <c r="Y6" s="3722"/>
      <c r="Z6" s="3723"/>
      <c r="AA6" s="3715"/>
      <c r="AB6" s="3715"/>
      <c r="AC6" s="3715"/>
    </row>
    <row r="7" spans="1:29" s="1058" customFormat="1" ht="15.75" thickBot="1">
      <c r="A7" s="2208"/>
      <c r="B7" s="2215" t="s">
        <v>478</v>
      </c>
      <c r="C7" s="470">
        <f>'数据-取费表'!B2</f>
        <v>45196</v>
      </c>
      <c r="D7" s="471">
        <v>100</v>
      </c>
      <c r="E7" s="472"/>
      <c r="F7" s="473">
        <f>SUMIF(58:58,YEAR(E7)&amp;"-"&amp;MONTH(E7),59:59)</f>
        <v>0</v>
      </c>
      <c r="G7" s="474"/>
      <c r="H7" s="471">
        <f>SUMIF(58:58,YEAR(G7)&amp;"-"&amp;MONTH(G7),59:59)</f>
        <v>0</v>
      </c>
      <c r="I7" s="474"/>
      <c r="J7" s="471">
        <f>SUMIF(58:58,YEAR(I7)&amp;"-"&amp;MONTH(I7),59:59)</f>
        <v>0</v>
      </c>
      <c r="K7" s="787"/>
      <c r="L7" s="1742"/>
      <c r="M7" s="1639"/>
      <c r="N7" s="1639"/>
      <c r="O7" s="1639"/>
      <c r="P7" s="3716" t="s">
        <v>479</v>
      </c>
      <c r="Q7" s="3725"/>
      <c r="R7" s="1302" t="s">
        <v>10</v>
      </c>
      <c r="S7" s="1303">
        <f t="shared" ref="S7:S15" si="0">F7</f>
        <v>0</v>
      </c>
      <c r="T7" s="1302" t="s">
        <v>10</v>
      </c>
      <c r="U7" s="1303">
        <f t="shared" ref="U7:U15" si="1">H7</f>
        <v>0</v>
      </c>
      <c r="V7" s="1302" t="s">
        <v>10</v>
      </c>
      <c r="W7" s="1303">
        <f t="shared" ref="W7:W15" si="2">J7</f>
        <v>0</v>
      </c>
      <c r="X7" s="1304"/>
      <c r="Y7" s="3716" t="s">
        <v>479</v>
      </c>
      <c r="Z7" s="3717"/>
      <c r="AA7" s="995" t="e">
        <f>D7/F7</f>
        <v>#DIV/0!</v>
      </c>
      <c r="AB7" s="995" t="e">
        <f>D7/H7</f>
        <v>#DIV/0!</v>
      </c>
      <c r="AC7" s="995" t="e">
        <f>D7/J7</f>
        <v>#DIV/0!</v>
      </c>
    </row>
    <row r="8" spans="1:29" s="1058" customFormat="1" ht="15.75" thickBot="1">
      <c r="A8" s="2209"/>
      <c r="B8" s="2216" t="s">
        <v>480</v>
      </c>
      <c r="C8" s="475" t="s">
        <v>524</v>
      </c>
      <c r="D8" s="471">
        <v>100</v>
      </c>
      <c r="E8" s="788"/>
      <c r="F8" s="473">
        <f>SUMIF(61:61,E8,62:62)-SUMIF(61:61,C8,62:62)+100</f>
        <v>0</v>
      </c>
      <c r="G8" s="475"/>
      <c r="H8" s="471">
        <f>SUMIF(61:61,G8,62:62)-SUMIF(61:61,C8,62:62)+100</f>
        <v>0</v>
      </c>
      <c r="I8" s="788"/>
      <c r="J8" s="471">
        <f>SUMIF(61:61,I8,62:62)-SUMIF(61:61,C8,62:62)+100</f>
        <v>0</v>
      </c>
      <c r="K8" s="787"/>
      <c r="L8" s="1742"/>
      <c r="M8" s="1639"/>
      <c r="N8" s="1639"/>
      <c r="O8" s="1639"/>
      <c r="P8" s="3716" t="s">
        <v>482</v>
      </c>
      <c r="Q8" s="3717"/>
      <c r="R8" s="1302" t="s">
        <v>10</v>
      </c>
      <c r="S8" s="1303">
        <f t="shared" si="0"/>
        <v>0</v>
      </c>
      <c r="T8" s="1302" t="s">
        <v>10</v>
      </c>
      <c r="U8" s="1303">
        <f t="shared" si="1"/>
        <v>0</v>
      </c>
      <c r="V8" s="1302" t="s">
        <v>10</v>
      </c>
      <c r="W8" s="1303">
        <f t="shared" si="2"/>
        <v>0</v>
      </c>
      <c r="X8" s="1304"/>
      <c r="Y8" s="3716" t="s">
        <v>482</v>
      </c>
      <c r="Z8" s="3717"/>
      <c r="AA8" s="995" t="e">
        <f t="shared" ref="AA8:AA46" si="3">D8/F8</f>
        <v>#DIV/0!</v>
      </c>
      <c r="AB8" s="995" t="e">
        <f t="shared" ref="AB8:AB46" si="4">D8/H8</f>
        <v>#DIV/0!</v>
      </c>
      <c r="AC8" s="995" t="e">
        <f t="shared" ref="AC8:AC46" si="5">D8/J8</f>
        <v>#DIV/0!</v>
      </c>
    </row>
    <row r="9" spans="1:29" s="1058" customFormat="1" ht="15">
      <c r="A9" s="2210"/>
      <c r="B9" s="2217" t="s">
        <v>2035</v>
      </c>
      <c r="C9" s="789"/>
      <c r="D9" s="154">
        <v>100</v>
      </c>
      <c r="E9" s="790"/>
      <c r="F9" s="156">
        <f>SUMIF(63:63,E9,64:64)-SUMIF(63:63,C9,64:64)+100</f>
        <v>100</v>
      </c>
      <c r="G9" s="791"/>
      <c r="H9" s="154">
        <f>SUMIF(63:63,G9,64:64)-SUMIF(63:63,C9,64:64)+100</f>
        <v>100</v>
      </c>
      <c r="I9" s="791"/>
      <c r="J9" s="154">
        <f>SUMIF(63:63,I9,64:64)-SUMIF(63:63,C9,64:64)+100</f>
        <v>100</v>
      </c>
      <c r="K9" s="787"/>
      <c r="L9" s="1742"/>
      <c r="M9" s="1639"/>
      <c r="N9" s="1639"/>
      <c r="O9" s="1743"/>
      <c r="P9" s="3724" t="s">
        <v>484</v>
      </c>
      <c r="Q9" s="816" t="str">
        <f t="shared" ref="Q9:Q15" si="6">B9</f>
        <v>用途</v>
      </c>
      <c r="R9" s="1302" t="s">
        <v>5</v>
      </c>
      <c r="S9" s="1303">
        <f t="shared" si="0"/>
        <v>100</v>
      </c>
      <c r="T9" s="1302" t="s">
        <v>5</v>
      </c>
      <c r="U9" s="1303">
        <f t="shared" si="1"/>
        <v>100</v>
      </c>
      <c r="V9" s="1302" t="s">
        <v>5</v>
      </c>
      <c r="W9" s="1303">
        <f t="shared" si="2"/>
        <v>100</v>
      </c>
      <c r="X9" s="1304"/>
      <c r="Y9" s="3672" t="s">
        <v>485</v>
      </c>
      <c r="Z9" s="995" t="str">
        <f t="shared" ref="Z9:Z15" si="7">Q9</f>
        <v>用途</v>
      </c>
      <c r="AA9" s="995">
        <f t="shared" si="3"/>
        <v>1</v>
      </c>
      <c r="AB9" s="995">
        <f t="shared" si="4"/>
        <v>1</v>
      </c>
      <c r="AC9" s="995">
        <f t="shared" si="5"/>
        <v>1</v>
      </c>
    </row>
    <row r="10" spans="1:29" s="1131" customFormat="1" ht="27">
      <c r="A10" s="2211"/>
      <c r="B10" s="2216" t="s">
        <v>2036</v>
      </c>
      <c r="C10" s="3386"/>
      <c r="D10" s="235">
        <v>100</v>
      </c>
      <c r="E10" s="3387"/>
      <c r="F10" s="477">
        <f>SUMIF(65:65,E10,66:66)-SUMIF(65:65,C10,66:66)+100</f>
        <v>100</v>
      </c>
      <c r="G10" s="3386"/>
      <c r="H10" s="235">
        <f>SUMIF(65:65,G10,66:66)-SUMIF(65:65,C10,66:66)+100</f>
        <v>100</v>
      </c>
      <c r="I10" s="3386"/>
      <c r="J10" s="235">
        <f>SUMIF(65:65,I10,66:66)-SUMIF(65:65,C10,66:66)+100</f>
        <v>100</v>
      </c>
      <c r="K10" s="787"/>
      <c r="L10" s="1744"/>
      <c r="M10" s="1777"/>
      <c r="N10" s="1777"/>
      <c r="O10" s="1745"/>
      <c r="P10" s="3724"/>
      <c r="Q10" s="816" t="str">
        <f t="shared" si="6"/>
        <v>土地使用年限（年）</v>
      </c>
      <c r="R10" s="1302" t="s">
        <v>5</v>
      </c>
      <c r="S10" s="1303">
        <f t="shared" si="0"/>
        <v>100</v>
      </c>
      <c r="T10" s="1302" t="s">
        <v>5</v>
      </c>
      <c r="U10" s="1303">
        <f t="shared" si="1"/>
        <v>100</v>
      </c>
      <c r="V10" s="1302" t="s">
        <v>5</v>
      </c>
      <c r="W10" s="1303">
        <f t="shared" si="2"/>
        <v>100</v>
      </c>
      <c r="X10" s="1304"/>
      <c r="Y10" s="3672"/>
      <c r="Z10" s="995" t="str">
        <f t="shared" si="7"/>
        <v>土地使用年限（年）</v>
      </c>
      <c r="AA10" s="995">
        <f t="shared" si="3"/>
        <v>1</v>
      </c>
      <c r="AB10" s="995">
        <f t="shared" si="4"/>
        <v>1</v>
      </c>
      <c r="AC10" s="995">
        <f t="shared" si="5"/>
        <v>1</v>
      </c>
    </row>
    <row r="11" spans="1:29" ht="15">
      <c r="A11" s="2212"/>
      <c r="B11" s="2216" t="s">
        <v>2037</v>
      </c>
      <c r="C11" s="483"/>
      <c r="D11" s="235">
        <v>100</v>
      </c>
      <c r="E11" s="484"/>
      <c r="F11" s="477" t="e">
        <f>LOOKUP(E11,68:68,69:69)-LOOKUP(C11,68:68,69:69)+100</f>
        <v>#N/A</v>
      </c>
      <c r="G11" s="483"/>
      <c r="H11" s="235" t="e">
        <f>LOOKUP(G11,68:68,69:69)-LOOKUP(C11,68:68,69:69)+100</f>
        <v>#N/A</v>
      </c>
      <c r="I11" s="483"/>
      <c r="J11" s="235" t="e">
        <f>LOOKUP(I11,68:68,69:69)-LOOKUP(C11,68:68,69:69)+100</f>
        <v>#N/A</v>
      </c>
      <c r="K11" s="792"/>
      <c r="L11" s="1746"/>
      <c r="M11" s="1741"/>
      <c r="N11" s="1741"/>
      <c r="O11" s="1747"/>
      <c r="P11" s="3724"/>
      <c r="Q11" s="816" t="str">
        <f t="shared" si="6"/>
        <v>容积率</v>
      </c>
      <c r="R11" s="1302" t="s">
        <v>8</v>
      </c>
      <c r="S11" s="1303" t="e">
        <f t="shared" si="0"/>
        <v>#N/A</v>
      </c>
      <c r="T11" s="1302" t="s">
        <v>8</v>
      </c>
      <c r="U11" s="1303" t="e">
        <f t="shared" si="1"/>
        <v>#N/A</v>
      </c>
      <c r="V11" s="1302" t="s">
        <v>8</v>
      </c>
      <c r="W11" s="1303" t="e">
        <f t="shared" si="2"/>
        <v>#N/A</v>
      </c>
      <c r="X11" s="1304"/>
      <c r="Y11" s="3672"/>
      <c r="Z11" s="995" t="str">
        <f t="shared" si="7"/>
        <v>容积率</v>
      </c>
      <c r="AA11" s="995" t="e">
        <f t="shared" si="3"/>
        <v>#N/A</v>
      </c>
      <c r="AB11" s="995" t="e">
        <f t="shared" si="4"/>
        <v>#N/A</v>
      </c>
      <c r="AC11" s="995" t="e">
        <f t="shared" si="5"/>
        <v>#N/A</v>
      </c>
    </row>
    <row r="12" spans="1:29" s="1058" customFormat="1" ht="15">
      <c r="A12" s="2213"/>
      <c r="B12" s="2219">
        <v>111</v>
      </c>
      <c r="C12" s="478"/>
      <c r="D12" s="488">
        <v>100</v>
      </c>
      <c r="E12" s="478"/>
      <c r="F12" s="477">
        <f>SUMIF(70:70,E12,71:71)-SUMIF(70:70,C12,71:71)+100</f>
        <v>100</v>
      </c>
      <c r="G12" s="478"/>
      <c r="H12" s="235">
        <f>SUMIF(70:70,G12,71:71)-SUMIF(70:70,C12,71:71)+100</f>
        <v>100</v>
      </c>
      <c r="I12" s="478"/>
      <c r="J12" s="235">
        <f>SUMIF(70:70,I12,71:71)-SUMIF(70:70,C12,71:71)+100</f>
        <v>100</v>
      </c>
      <c r="K12" s="793"/>
      <c r="L12" s="1742"/>
      <c r="M12" s="1639"/>
      <c r="N12" s="1639"/>
      <c r="O12" s="1743"/>
      <c r="P12" s="3724"/>
      <c r="Q12" s="816">
        <f t="shared" si="6"/>
        <v>111</v>
      </c>
      <c r="R12" s="1302" t="s">
        <v>8</v>
      </c>
      <c r="S12" s="1303">
        <f t="shared" si="0"/>
        <v>100</v>
      </c>
      <c r="T12" s="1302" t="s">
        <v>8</v>
      </c>
      <c r="U12" s="1303">
        <f t="shared" si="1"/>
        <v>100</v>
      </c>
      <c r="V12" s="1302" t="s">
        <v>8</v>
      </c>
      <c r="W12" s="1303">
        <f t="shared" si="2"/>
        <v>100</v>
      </c>
      <c r="X12" s="1304"/>
      <c r="Y12" s="3672"/>
      <c r="Z12" s="995">
        <f t="shared" si="7"/>
        <v>111</v>
      </c>
      <c r="AA12" s="995">
        <f>D12/F12</f>
        <v>1</v>
      </c>
      <c r="AB12" s="995">
        <f>D12/H12</f>
        <v>1</v>
      </c>
      <c r="AC12" s="995">
        <f>D12/J12</f>
        <v>1</v>
      </c>
    </row>
    <row r="13" spans="1:29" ht="15">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3"/>
      <c r="L13" s="1748"/>
      <c r="M13" s="1741"/>
      <c r="N13" s="1741"/>
      <c r="O13" s="1747"/>
      <c r="P13" s="3724"/>
      <c r="Q13" s="816">
        <f t="shared" si="6"/>
        <v>111</v>
      </c>
      <c r="R13" s="1302" t="s">
        <v>8</v>
      </c>
      <c r="S13" s="1303">
        <f t="shared" si="0"/>
        <v>100</v>
      </c>
      <c r="T13" s="1302" t="s">
        <v>8</v>
      </c>
      <c r="U13" s="1303">
        <f t="shared" si="1"/>
        <v>100</v>
      </c>
      <c r="V13" s="1302" t="s">
        <v>8</v>
      </c>
      <c r="W13" s="1303">
        <f t="shared" si="2"/>
        <v>100</v>
      </c>
      <c r="X13" s="1304"/>
      <c r="Y13" s="3672"/>
      <c r="Z13" s="995">
        <f t="shared" si="7"/>
        <v>111</v>
      </c>
      <c r="AA13" s="995">
        <f t="shared" si="3"/>
        <v>1</v>
      </c>
      <c r="AB13" s="995">
        <f t="shared" si="4"/>
        <v>1</v>
      </c>
      <c r="AC13" s="995">
        <f t="shared" si="5"/>
        <v>1</v>
      </c>
    </row>
    <row r="14" spans="1:29" ht="15.75" thickBot="1">
      <c r="A14" s="2214"/>
      <c r="B14" s="2220">
        <v>111</v>
      </c>
      <c r="C14" s="495"/>
      <c r="D14" s="496">
        <v>100</v>
      </c>
      <c r="E14" s="495"/>
      <c r="F14" s="794">
        <f>SUMIF(74:74,E14,75:75)-SUMIF(74:74,C14,75:75)+100</f>
        <v>100</v>
      </c>
      <c r="G14" s="495"/>
      <c r="H14" s="496">
        <f>SUMIF(74:74,G14,75:75)-SUMIF(74:74,C14,75:75)+100</f>
        <v>100</v>
      </c>
      <c r="I14" s="495"/>
      <c r="J14" s="496">
        <f>SUMIF(74:74,I14,75:75)-SUMIF(74:74,C14,75:75)+100</f>
        <v>100</v>
      </c>
      <c r="K14" s="793"/>
      <c r="L14" s="1748"/>
      <c r="M14" s="1741"/>
      <c r="N14" s="1741"/>
      <c r="O14" s="1747"/>
      <c r="P14" s="3724"/>
      <c r="Q14" s="816">
        <f t="shared" si="6"/>
        <v>111</v>
      </c>
      <c r="R14" s="1302" t="s">
        <v>8</v>
      </c>
      <c r="S14" s="1303">
        <f t="shared" si="0"/>
        <v>100</v>
      </c>
      <c r="T14" s="1302" t="s">
        <v>8</v>
      </c>
      <c r="U14" s="1303">
        <f t="shared" si="1"/>
        <v>100</v>
      </c>
      <c r="V14" s="1302" t="s">
        <v>8</v>
      </c>
      <c r="W14" s="1303">
        <f t="shared" si="2"/>
        <v>100</v>
      </c>
      <c r="X14" s="1304"/>
      <c r="Y14" s="3672"/>
      <c r="Z14" s="995">
        <f t="shared" si="7"/>
        <v>111</v>
      </c>
      <c r="AA14" s="995">
        <f t="shared" si="3"/>
        <v>1</v>
      </c>
      <c r="AB14" s="995">
        <f t="shared" si="4"/>
        <v>1</v>
      </c>
      <c r="AC14" s="995">
        <f t="shared" si="5"/>
        <v>1</v>
      </c>
    </row>
    <row r="15" spans="1:29" ht="99.75">
      <c r="A15" s="2206" t="s">
        <v>2033</v>
      </c>
      <c r="B15" s="150" t="s">
        <v>261</v>
      </c>
      <c r="C15" s="795"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6"/>
      <c r="L15" s="1748"/>
      <c r="M15" s="1741"/>
      <c r="N15" s="1741"/>
      <c r="O15" s="1747"/>
      <c r="P15" s="3726" t="s">
        <v>489</v>
      </c>
      <c r="Q15" s="1305" t="str">
        <f t="shared" si="6"/>
        <v>居住社区成熟度</v>
      </c>
      <c r="R15" s="1306" t="s">
        <v>8</v>
      </c>
      <c r="S15" s="1307">
        <f t="shared" si="0"/>
        <v>100</v>
      </c>
      <c r="T15" s="1306" t="s">
        <v>8</v>
      </c>
      <c r="U15" s="1307">
        <f t="shared" si="1"/>
        <v>100</v>
      </c>
      <c r="V15" s="1306" t="s">
        <v>8</v>
      </c>
      <c r="W15" s="1307">
        <f t="shared" si="2"/>
        <v>100</v>
      </c>
      <c r="X15" s="1301"/>
      <c r="Y15" s="3726" t="s">
        <v>489</v>
      </c>
      <c r="Z15" s="1308" t="str">
        <f t="shared" si="7"/>
        <v>居住社区成熟度</v>
      </c>
      <c r="AA15" s="1308">
        <f t="shared" si="3"/>
        <v>1</v>
      </c>
      <c r="AB15" s="1308">
        <f t="shared" si="4"/>
        <v>1</v>
      </c>
      <c r="AC15" s="1308">
        <f t="shared" si="5"/>
        <v>1</v>
      </c>
    </row>
    <row r="16" spans="1:29" ht="15">
      <c r="A16" s="482"/>
      <c r="B16" s="797"/>
      <c r="C16" s="526"/>
      <c r="D16" s="505"/>
      <c r="E16" s="506"/>
      <c r="F16" s="507"/>
      <c r="G16" s="508"/>
      <c r="H16" s="509"/>
      <c r="I16" s="506"/>
      <c r="J16" s="505"/>
      <c r="K16" s="798"/>
      <c r="L16" s="1748"/>
      <c r="M16" s="1741"/>
      <c r="N16" s="1741"/>
      <c r="O16" s="1747"/>
      <c r="P16" s="3727"/>
      <c r="Q16" s="1305"/>
      <c r="R16" s="1306"/>
      <c r="S16" s="1307"/>
      <c r="T16" s="1306"/>
      <c r="U16" s="1307"/>
      <c r="V16" s="1306"/>
      <c r="W16" s="1307"/>
      <c r="X16" s="1301"/>
      <c r="Y16" s="3727"/>
      <c r="Z16" s="1308"/>
      <c r="AA16" s="1308">
        <v>1</v>
      </c>
      <c r="AB16" s="1308">
        <v>1</v>
      </c>
      <c r="AC16" s="1308">
        <v>1</v>
      </c>
    </row>
    <row r="17" spans="1:29" ht="85.5">
      <c r="A17" s="482"/>
      <c r="B17" s="677" t="s">
        <v>262</v>
      </c>
      <c r="C17" s="799"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6"/>
      <c r="L17" s="1748"/>
      <c r="M17" s="1741"/>
      <c r="N17" s="1741"/>
      <c r="O17" s="1747"/>
      <c r="P17" s="3727"/>
      <c r="Q17" s="1305" t="str">
        <f>B17</f>
        <v>交通便捷度</v>
      </c>
      <c r="R17" s="1306" t="s">
        <v>8</v>
      </c>
      <c r="S17" s="1307">
        <f>F17</f>
        <v>100</v>
      </c>
      <c r="T17" s="1306" t="s">
        <v>8</v>
      </c>
      <c r="U17" s="1307">
        <f>H17</f>
        <v>100</v>
      </c>
      <c r="V17" s="1306" t="s">
        <v>8</v>
      </c>
      <c r="W17" s="1307">
        <f>J17</f>
        <v>100</v>
      </c>
      <c r="X17" s="1301"/>
      <c r="Y17" s="3727"/>
      <c r="Z17" s="1308" t="str">
        <f>Q17</f>
        <v>交通便捷度</v>
      </c>
      <c r="AA17" s="1308">
        <f t="shared" si="3"/>
        <v>1</v>
      </c>
      <c r="AB17" s="1308">
        <f t="shared" si="4"/>
        <v>1</v>
      </c>
      <c r="AC17" s="1308">
        <f t="shared" si="5"/>
        <v>1</v>
      </c>
    </row>
    <row r="18" spans="1:29" ht="15">
      <c r="A18" s="482"/>
      <c r="B18" s="544"/>
      <c r="C18" s="800"/>
      <c r="D18" s="509"/>
      <c r="E18" s="518"/>
      <c r="F18" s="513"/>
      <c r="G18" s="519"/>
      <c r="H18" s="505"/>
      <c r="I18" s="518"/>
      <c r="J18" s="505"/>
      <c r="K18" s="798"/>
      <c r="L18" s="1748"/>
      <c r="M18" s="1741"/>
      <c r="N18" s="1741"/>
      <c r="O18" s="1747"/>
      <c r="P18" s="3727"/>
      <c r="Q18" s="1305"/>
      <c r="R18" s="1306"/>
      <c r="S18" s="1307"/>
      <c r="T18" s="1306"/>
      <c r="U18" s="1307"/>
      <c r="V18" s="1306"/>
      <c r="W18" s="1307"/>
      <c r="X18" s="1301"/>
      <c r="Y18" s="3727"/>
      <c r="Z18" s="1308"/>
      <c r="AA18" s="1308">
        <v>1</v>
      </c>
      <c r="AB18" s="1308">
        <v>1</v>
      </c>
      <c r="AC18" s="1308">
        <v>1</v>
      </c>
    </row>
    <row r="19" spans="1:29" ht="42.75">
      <c r="A19" s="482"/>
      <c r="B19" s="2058" t="s">
        <v>1826</v>
      </c>
      <c r="C19" s="799"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6"/>
      <c r="L19" s="1748"/>
      <c r="M19" s="1741"/>
      <c r="N19" s="1741"/>
      <c r="O19" s="1747"/>
      <c r="P19" s="3727"/>
      <c r="Q19" s="1305" t="str">
        <f>B19</f>
        <v>公共配套设施</v>
      </c>
      <c r="R19" s="1306" t="s">
        <v>8</v>
      </c>
      <c r="S19" s="1307">
        <f>F19</f>
        <v>100</v>
      </c>
      <c r="T19" s="1306" t="s">
        <v>8</v>
      </c>
      <c r="U19" s="1307">
        <f>H19</f>
        <v>100</v>
      </c>
      <c r="V19" s="1306" t="s">
        <v>8</v>
      </c>
      <c r="W19" s="1307">
        <f>J19</f>
        <v>100</v>
      </c>
      <c r="X19" s="1301"/>
      <c r="Y19" s="3727"/>
      <c r="Z19" s="1308" t="str">
        <f>Q19</f>
        <v>公共配套设施</v>
      </c>
      <c r="AA19" s="1308">
        <f t="shared" si="3"/>
        <v>1</v>
      </c>
      <c r="AB19" s="1308">
        <f t="shared" si="4"/>
        <v>1</v>
      </c>
      <c r="AC19" s="1308">
        <f t="shared" si="5"/>
        <v>1</v>
      </c>
    </row>
    <row r="20" spans="1:29" ht="15">
      <c r="A20" s="482"/>
      <c r="B20" s="544"/>
      <c r="C20" s="526"/>
      <c r="D20" s="505"/>
      <c r="E20" s="506"/>
      <c r="F20" s="507"/>
      <c r="G20" s="508"/>
      <c r="H20" s="505"/>
      <c r="I20" s="506"/>
      <c r="J20" s="505"/>
      <c r="K20" s="798"/>
      <c r="L20" s="1748"/>
      <c r="M20" s="1741"/>
      <c r="N20" s="1741"/>
      <c r="O20" s="1747"/>
      <c r="P20" s="3727"/>
      <c r="Q20" s="1305"/>
      <c r="R20" s="1306"/>
      <c r="S20" s="1307"/>
      <c r="T20" s="1306"/>
      <c r="U20" s="1307"/>
      <c r="V20" s="1306"/>
      <c r="W20" s="1307"/>
      <c r="X20" s="1301"/>
      <c r="Y20" s="3727"/>
      <c r="Z20" s="1308"/>
      <c r="AA20" s="1308">
        <v>1</v>
      </c>
      <c r="AB20" s="1308">
        <v>1</v>
      </c>
      <c r="AC20" s="1308">
        <v>1</v>
      </c>
    </row>
    <row r="21" spans="1:29" ht="28.5">
      <c r="A21" s="482"/>
      <c r="B21" s="2051" t="s">
        <v>1838</v>
      </c>
      <c r="C21" s="799"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6"/>
      <c r="L21" s="1748"/>
      <c r="M21" s="1741"/>
      <c r="N21" s="1741"/>
      <c r="O21" s="1747"/>
      <c r="P21" s="3727"/>
      <c r="Q21" s="1305" t="str">
        <f>B21</f>
        <v>基础设施水平</v>
      </c>
      <c r="R21" s="1306" t="s">
        <v>8</v>
      </c>
      <c r="S21" s="1307">
        <f>F21</f>
        <v>100</v>
      </c>
      <c r="T21" s="1306" t="s">
        <v>8</v>
      </c>
      <c r="U21" s="1307">
        <f>H21</f>
        <v>100</v>
      </c>
      <c r="V21" s="1306" t="s">
        <v>8</v>
      </c>
      <c r="W21" s="1307">
        <f>J21</f>
        <v>100</v>
      </c>
      <c r="X21" s="1301"/>
      <c r="Y21" s="3727"/>
      <c r="Z21" s="1308" t="str">
        <f>Q21</f>
        <v>基础设施水平</v>
      </c>
      <c r="AA21" s="1308">
        <f>D21/F21</f>
        <v>1</v>
      </c>
      <c r="AB21" s="1308">
        <f>D21/H21</f>
        <v>1</v>
      </c>
      <c r="AC21" s="1308">
        <f>D21/J21</f>
        <v>1</v>
      </c>
    </row>
    <row r="22" spans="1:29" ht="15">
      <c r="A22" s="482"/>
      <c r="B22" s="842"/>
      <c r="C22" s="800"/>
      <c r="D22" s="505"/>
      <c r="E22" s="526"/>
      <c r="F22" s="507"/>
      <c r="G22" s="526"/>
      <c r="H22" s="505"/>
      <c r="I22" s="526"/>
      <c r="J22" s="505"/>
      <c r="K22" s="2057"/>
      <c r="L22" s="1748"/>
      <c r="M22" s="1741"/>
      <c r="N22" s="1741"/>
      <c r="O22" s="1747"/>
      <c r="P22" s="3727"/>
      <c r="Q22" s="1305"/>
      <c r="R22" s="1306"/>
      <c r="S22" s="1307"/>
      <c r="T22" s="1306"/>
      <c r="U22" s="1307"/>
      <c r="V22" s="1306"/>
      <c r="W22" s="1307"/>
      <c r="X22" s="1301"/>
      <c r="Y22" s="3727"/>
      <c r="Z22" s="1308"/>
      <c r="AA22" s="1308">
        <v>1</v>
      </c>
      <c r="AB22" s="1308">
        <v>1</v>
      </c>
      <c r="AC22" s="1308">
        <v>1</v>
      </c>
    </row>
    <row r="23" spans="1:29" ht="57">
      <c r="A23" s="482"/>
      <c r="B23" s="677" t="s">
        <v>263</v>
      </c>
      <c r="C23" s="799"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6"/>
      <c r="L23" s="1748"/>
      <c r="M23" s="1741"/>
      <c r="N23" s="1741"/>
      <c r="O23" s="1747"/>
      <c r="P23" s="3727"/>
      <c r="Q23" s="1305" t="str">
        <f>B23</f>
        <v>自然及人文环境</v>
      </c>
      <c r="R23" s="1306" t="s">
        <v>8</v>
      </c>
      <c r="S23" s="1307">
        <f>F23</f>
        <v>100</v>
      </c>
      <c r="T23" s="1306" t="s">
        <v>8</v>
      </c>
      <c r="U23" s="1307">
        <f>H23</f>
        <v>100</v>
      </c>
      <c r="V23" s="1306" t="s">
        <v>8</v>
      </c>
      <c r="W23" s="1307">
        <f>J23</f>
        <v>100</v>
      </c>
      <c r="X23" s="1301"/>
      <c r="Y23" s="3727"/>
      <c r="Z23" s="1308" t="str">
        <f>Q23</f>
        <v>自然及人文环境</v>
      </c>
      <c r="AA23" s="1308">
        <f t="shared" si="3"/>
        <v>1</v>
      </c>
      <c r="AB23" s="1308">
        <f t="shared" si="4"/>
        <v>1</v>
      </c>
      <c r="AC23" s="1308">
        <f t="shared" si="5"/>
        <v>1</v>
      </c>
    </row>
    <row r="24" spans="1:29" ht="15">
      <c r="A24" s="482"/>
      <c r="B24" s="544"/>
      <c r="C24" s="526"/>
      <c r="D24" s="505"/>
      <c r="E24" s="506"/>
      <c r="F24" s="507"/>
      <c r="G24" s="508"/>
      <c r="H24" s="505"/>
      <c r="I24" s="506"/>
      <c r="J24" s="505"/>
      <c r="K24" s="798"/>
      <c r="L24" s="1748"/>
      <c r="M24" s="1741"/>
      <c r="N24" s="1741"/>
      <c r="O24" s="1747"/>
      <c r="P24" s="3727"/>
      <c r="Q24" s="1305"/>
      <c r="R24" s="1306"/>
      <c r="S24" s="1307"/>
      <c r="T24" s="1306"/>
      <c r="U24" s="1307"/>
      <c r="V24" s="1306"/>
      <c r="W24" s="1307"/>
      <c r="X24" s="1301"/>
      <c r="Y24" s="3727"/>
      <c r="Z24" s="1308"/>
      <c r="AA24" s="1308">
        <v>1</v>
      </c>
      <c r="AB24" s="1308">
        <v>1</v>
      </c>
      <c r="AC24" s="1308">
        <v>1</v>
      </c>
    </row>
    <row r="25" spans="1:29" ht="15">
      <c r="A25" s="482"/>
      <c r="B25" s="1553" t="s">
        <v>1613</v>
      </c>
      <c r="C25" s="524"/>
      <c r="D25" s="490">
        <v>100</v>
      </c>
      <c r="E25" s="801"/>
      <c r="F25" s="525">
        <f>SUMIF(86:86,E25,87:87)-SUMIF(86:86,C25,87:87)+100</f>
        <v>100</v>
      </c>
      <c r="G25" s="548"/>
      <c r="H25" s="490">
        <f>SUMIF(86:86,G25,87:87)-SUMIF(86:86,C25,87:87)+100</f>
        <v>100</v>
      </c>
      <c r="I25" s="801"/>
      <c r="J25" s="490">
        <f>SUMIF(86:86,I25,87:87)-SUMIF(86:86,C25,87:87)+100</f>
        <v>100</v>
      </c>
      <c r="K25" s="792"/>
      <c r="L25" s="1748"/>
      <c r="M25" s="1741"/>
      <c r="N25" s="1741"/>
      <c r="O25" s="1747"/>
      <c r="P25" s="3727"/>
      <c r="Q25" s="1305" t="str">
        <f t="shared" ref="Q25:Q46" si="8">B25</f>
        <v>楼层-1</v>
      </c>
      <c r="R25" s="1306" t="s">
        <v>8</v>
      </c>
      <c r="S25" s="1307">
        <f>F25</f>
        <v>100</v>
      </c>
      <c r="T25" s="1306" t="s">
        <v>8</v>
      </c>
      <c r="U25" s="1307">
        <f>H25</f>
        <v>100</v>
      </c>
      <c r="V25" s="1306" t="s">
        <v>8</v>
      </c>
      <c r="W25" s="1307">
        <f>J25</f>
        <v>100</v>
      </c>
      <c r="X25" s="1301"/>
      <c r="Y25" s="3727"/>
      <c r="Z25" s="1308" t="str">
        <f>Q25</f>
        <v>楼层-1</v>
      </c>
      <c r="AA25" s="1308">
        <f t="shared" si="3"/>
        <v>1</v>
      </c>
      <c r="AB25" s="1308">
        <f t="shared" si="4"/>
        <v>1</v>
      </c>
      <c r="AC25" s="1308">
        <f t="shared" si="5"/>
        <v>1</v>
      </c>
    </row>
    <row r="26" spans="1:29" ht="15">
      <c r="A26" s="482"/>
      <c r="B26" s="477" t="s">
        <v>670</v>
      </c>
      <c r="C26" s="524"/>
      <c r="D26" s="490">
        <v>100</v>
      </c>
      <c r="E26" s="801"/>
      <c r="F26" s="525">
        <f>SUMIF(88:88,E26,89:89)-SUMIF(88:88,C26,89:89)+100</f>
        <v>100</v>
      </c>
      <c r="G26" s="548"/>
      <c r="H26" s="490">
        <f>SUMIF(88:88,G26,89:89)-SUMIF(88:88,C26,89:89)+100</f>
        <v>100</v>
      </c>
      <c r="I26" s="801"/>
      <c r="J26" s="490">
        <f>SUMIF(88:88,I26,89:89)-SUMIF(88:88,C26,89:89)+100</f>
        <v>100</v>
      </c>
      <c r="K26" s="792"/>
      <c r="L26" s="1748"/>
      <c r="M26" s="1741"/>
      <c r="N26" s="1741"/>
      <c r="O26" s="1747"/>
      <c r="P26" s="3727"/>
      <c r="Q26" s="1305" t="str">
        <f t="shared" si="8"/>
        <v>朝向</v>
      </c>
      <c r="R26" s="1306" t="s">
        <v>8</v>
      </c>
      <c r="S26" s="1307">
        <f>F26</f>
        <v>100</v>
      </c>
      <c r="T26" s="1306" t="s">
        <v>8</v>
      </c>
      <c r="U26" s="1307">
        <f>H26</f>
        <v>100</v>
      </c>
      <c r="V26" s="1306" t="s">
        <v>8</v>
      </c>
      <c r="W26" s="1307">
        <f>J26</f>
        <v>100</v>
      </c>
      <c r="X26" s="1301"/>
      <c r="Y26" s="3727"/>
      <c r="Z26" s="1308" t="str">
        <f>Q26</f>
        <v>朝向</v>
      </c>
      <c r="AA26" s="1308">
        <f t="shared" si="3"/>
        <v>1</v>
      </c>
      <c r="AB26" s="1308">
        <f t="shared" si="4"/>
        <v>1</v>
      </c>
      <c r="AC26" s="1308">
        <f t="shared" si="5"/>
        <v>1</v>
      </c>
    </row>
    <row r="27" spans="1:29" s="1058"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3"/>
      <c r="L27" s="1742"/>
      <c r="M27" s="1639"/>
      <c r="N27" s="1639"/>
      <c r="O27" s="1743"/>
      <c r="P27" s="3727"/>
      <c r="Q27" s="816" t="str">
        <f t="shared" si="8"/>
        <v>道路级别</v>
      </c>
      <c r="R27" s="1302" t="s">
        <v>8</v>
      </c>
      <c r="S27" s="1303">
        <f>F27</f>
        <v>100</v>
      </c>
      <c r="T27" s="1302" t="s">
        <v>8</v>
      </c>
      <c r="U27" s="1303">
        <f>H27</f>
        <v>100</v>
      </c>
      <c r="V27" s="1302" t="s">
        <v>8</v>
      </c>
      <c r="W27" s="1303">
        <f>J27</f>
        <v>100</v>
      </c>
      <c r="X27" s="1304"/>
      <c r="Y27" s="3727"/>
      <c r="Z27" s="995" t="str">
        <f>Q27</f>
        <v>道路级别</v>
      </c>
      <c r="AA27" s="1308">
        <f>D27/F27</f>
        <v>1</v>
      </c>
      <c r="AB27" s="1308">
        <f>D27/H27</f>
        <v>1</v>
      </c>
      <c r="AC27" s="1308">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3"/>
      <c r="L28" s="1748"/>
      <c r="M28" s="1741"/>
      <c r="N28" s="1741"/>
      <c r="O28" s="1747"/>
      <c r="P28" s="3727"/>
      <c r="Q28" s="1305">
        <f t="shared" si="8"/>
        <v>111</v>
      </c>
      <c r="R28" s="1306" t="s">
        <v>8</v>
      </c>
      <c r="S28" s="1307">
        <f t="shared" ref="S28:S46" si="9">F28</f>
        <v>100</v>
      </c>
      <c r="T28" s="1306" t="s">
        <v>8</v>
      </c>
      <c r="U28" s="1307">
        <f t="shared" ref="U28:U46" si="10">H28</f>
        <v>100</v>
      </c>
      <c r="V28" s="1306" t="s">
        <v>8</v>
      </c>
      <c r="W28" s="1307">
        <f t="shared" ref="W28:W46" si="11">J28</f>
        <v>100</v>
      </c>
      <c r="X28" s="1301"/>
      <c r="Y28" s="3727"/>
      <c r="Z28" s="1308">
        <f t="shared" ref="Z28:Z46" si="12">Q28</f>
        <v>111</v>
      </c>
      <c r="AA28" s="1308">
        <f t="shared" si="3"/>
        <v>1</v>
      </c>
      <c r="AB28" s="1308">
        <f t="shared" si="4"/>
        <v>1</v>
      </c>
      <c r="AC28" s="1308">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3"/>
      <c r="L29" s="1748"/>
      <c r="M29" s="1741"/>
      <c r="N29" s="1741"/>
      <c r="O29" s="1747"/>
      <c r="P29" s="3727"/>
      <c r="Q29" s="1305">
        <f t="shared" si="8"/>
        <v>111</v>
      </c>
      <c r="R29" s="1306" t="s">
        <v>8</v>
      </c>
      <c r="S29" s="1307">
        <f t="shared" si="9"/>
        <v>100</v>
      </c>
      <c r="T29" s="1306" t="s">
        <v>8</v>
      </c>
      <c r="U29" s="1307">
        <f t="shared" si="10"/>
        <v>100</v>
      </c>
      <c r="V29" s="1306" t="s">
        <v>8</v>
      </c>
      <c r="W29" s="1307">
        <f t="shared" si="11"/>
        <v>100</v>
      </c>
      <c r="X29" s="1301"/>
      <c r="Y29" s="3727"/>
      <c r="Z29" s="1308">
        <f t="shared" si="12"/>
        <v>111</v>
      </c>
      <c r="AA29" s="1308">
        <f t="shared" si="3"/>
        <v>1</v>
      </c>
      <c r="AB29" s="1308">
        <f t="shared" si="4"/>
        <v>1</v>
      </c>
      <c r="AC29" s="1308">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3"/>
      <c r="L30" s="1748"/>
      <c r="M30" s="1741"/>
      <c r="N30" s="1741"/>
      <c r="O30" s="1747"/>
      <c r="P30" s="3727"/>
      <c r="Q30" s="1305">
        <f t="shared" si="8"/>
        <v>111</v>
      </c>
      <c r="R30" s="1306" t="s">
        <v>8</v>
      </c>
      <c r="S30" s="1307">
        <f t="shared" si="9"/>
        <v>100</v>
      </c>
      <c r="T30" s="1306" t="s">
        <v>8</v>
      </c>
      <c r="U30" s="1307">
        <f t="shared" si="10"/>
        <v>100</v>
      </c>
      <c r="V30" s="1306" t="s">
        <v>8</v>
      </c>
      <c r="W30" s="1307">
        <f t="shared" si="11"/>
        <v>100</v>
      </c>
      <c r="X30" s="1301"/>
      <c r="Y30" s="3727"/>
      <c r="Z30" s="1308">
        <f t="shared" si="12"/>
        <v>111</v>
      </c>
      <c r="AA30" s="1308">
        <f t="shared" si="3"/>
        <v>1</v>
      </c>
      <c r="AB30" s="1308">
        <f t="shared" si="4"/>
        <v>1</v>
      </c>
      <c r="AC30" s="1308">
        <f t="shared" si="5"/>
        <v>1</v>
      </c>
    </row>
    <row r="31" spans="1:29" ht="15.75" thickBot="1">
      <c r="A31" s="493"/>
      <c r="B31" s="91">
        <v>111</v>
      </c>
      <c r="C31" s="495"/>
      <c r="D31" s="496">
        <v>100</v>
      </c>
      <c r="E31" s="495"/>
      <c r="F31" s="794">
        <f>SUMIF(98:98,E31,99:99)-SUMIF(98:98,C31,99:99)+100</f>
        <v>100</v>
      </c>
      <c r="G31" s="495"/>
      <c r="H31" s="496">
        <f>SUMIF(98:98,G31,99:99)-SUMIF(98:98,C31,99:99)+100</f>
        <v>100</v>
      </c>
      <c r="I31" s="495"/>
      <c r="J31" s="496">
        <f>SUMIF(98:98,I31,99:99)-SUMIF(98:98,C31,99:99)+100</f>
        <v>100</v>
      </c>
      <c r="K31" s="793"/>
      <c r="L31" s="1748"/>
      <c r="M31" s="1741"/>
      <c r="N31" s="1741"/>
      <c r="O31" s="1747"/>
      <c r="P31" s="3727"/>
      <c r="Q31" s="1305">
        <f t="shared" si="8"/>
        <v>111</v>
      </c>
      <c r="R31" s="1306" t="s">
        <v>8</v>
      </c>
      <c r="S31" s="1307">
        <f t="shared" si="9"/>
        <v>100</v>
      </c>
      <c r="T31" s="1306" t="s">
        <v>8</v>
      </c>
      <c r="U31" s="1307">
        <f t="shared" si="10"/>
        <v>100</v>
      </c>
      <c r="V31" s="1306" t="s">
        <v>8</v>
      </c>
      <c r="W31" s="1307">
        <f t="shared" si="11"/>
        <v>100</v>
      </c>
      <c r="X31" s="1301"/>
      <c r="Y31" s="3727"/>
      <c r="Z31" s="1308">
        <f t="shared" si="12"/>
        <v>111</v>
      </c>
      <c r="AA31" s="1308">
        <f t="shared" si="3"/>
        <v>1</v>
      </c>
      <c r="AB31" s="1308">
        <f t="shared" si="4"/>
        <v>1</v>
      </c>
      <c r="AC31" s="1308">
        <f t="shared" si="5"/>
        <v>1</v>
      </c>
    </row>
    <row r="32" spans="1:29" ht="15">
      <c r="A32" s="2203" t="s">
        <v>2034</v>
      </c>
      <c r="B32" s="156" t="s">
        <v>672</v>
      </c>
      <c r="C32" s="802"/>
      <c r="D32" s="546">
        <v>100</v>
      </c>
      <c r="E32" s="803"/>
      <c r="F32" s="525">
        <f>SUMIF(100:100,E32,101:101)-SUMIF(100:100,C32,101:101)+100</f>
        <v>100</v>
      </c>
      <c r="G32" s="802"/>
      <c r="H32" s="546">
        <f>SUMIF(100:100,G32,101:101)-SUMIF(100:100,C32,101:101)+100</f>
        <v>100</v>
      </c>
      <c r="I32" s="803"/>
      <c r="J32" s="490">
        <f>SUMIF(100:100,I32,101:101)-SUMIF(100:100,C32,101:101)+100</f>
        <v>100</v>
      </c>
      <c r="K32" s="792"/>
      <c r="L32" s="1748"/>
      <c r="M32" s="1741"/>
      <c r="N32" s="1741"/>
      <c r="O32" s="1747"/>
      <c r="P32" s="3728" t="s">
        <v>499</v>
      </c>
      <c r="Q32" s="1305" t="str">
        <f t="shared" si="8"/>
        <v>建筑类型</v>
      </c>
      <c r="R32" s="1306" t="s">
        <v>8</v>
      </c>
      <c r="S32" s="1307">
        <f t="shared" si="9"/>
        <v>100</v>
      </c>
      <c r="T32" s="1306" t="s">
        <v>8</v>
      </c>
      <c r="U32" s="1307">
        <f t="shared" si="10"/>
        <v>100</v>
      </c>
      <c r="V32" s="1306" t="s">
        <v>8</v>
      </c>
      <c r="W32" s="1307">
        <f t="shared" si="11"/>
        <v>100</v>
      </c>
      <c r="X32" s="1301"/>
      <c r="Y32" s="3729" t="s">
        <v>499</v>
      </c>
      <c r="Z32" s="1308" t="str">
        <f t="shared" si="12"/>
        <v>建筑类型</v>
      </c>
      <c r="AA32" s="1308">
        <f t="shared" si="3"/>
        <v>1</v>
      </c>
      <c r="AB32" s="1308">
        <f t="shared" si="4"/>
        <v>1</v>
      </c>
      <c r="AC32" s="1308">
        <f t="shared" si="5"/>
        <v>1</v>
      </c>
    </row>
    <row r="33" spans="1:29" s="1132" customFormat="1" ht="15">
      <c r="A33" s="552"/>
      <c r="B33" s="477" t="s">
        <v>673</v>
      </c>
      <c r="C33" s="804"/>
      <c r="D33" s="235">
        <v>100</v>
      </c>
      <c r="E33" s="484"/>
      <c r="F33" s="477" t="e">
        <f>LOOKUP(E33,103:103,104:104)-LOOKUP(C33,103:103,104:104)+100</f>
        <v>#N/A</v>
      </c>
      <c r="G33" s="483"/>
      <c r="H33" s="235" t="e">
        <f>LOOKUP(G33,103:103,104:104)-LOOKUP(C33,103:103,104:104)+100</f>
        <v>#N/A</v>
      </c>
      <c r="I33" s="484"/>
      <c r="J33" s="235" t="e">
        <f>LOOKUP(I33,103:103,104:104)-LOOKUP(C33,103:103,104:104)+100</f>
        <v>#N/A</v>
      </c>
      <c r="K33" s="793"/>
      <c r="L33" s="1746"/>
      <c r="M33" s="1770"/>
      <c r="N33" s="1770"/>
      <c r="O33" s="1749"/>
      <c r="P33" s="3729"/>
      <c r="Q33" s="817" t="str">
        <f t="shared" si="8"/>
        <v>项目建筑规模</v>
      </c>
      <c r="R33" s="1309" t="s">
        <v>8</v>
      </c>
      <c r="S33" s="1310" t="e">
        <f t="shared" si="9"/>
        <v>#N/A</v>
      </c>
      <c r="T33" s="1309" t="s">
        <v>8</v>
      </c>
      <c r="U33" s="1310" t="e">
        <f t="shared" si="10"/>
        <v>#N/A</v>
      </c>
      <c r="V33" s="1309" t="s">
        <v>8</v>
      </c>
      <c r="W33" s="1310" t="e">
        <f t="shared" si="11"/>
        <v>#N/A</v>
      </c>
      <c r="X33" s="1311"/>
      <c r="Y33" s="3729"/>
      <c r="Z33" s="1312" t="str">
        <f t="shared" si="12"/>
        <v>项目建筑规模</v>
      </c>
      <c r="AA33" s="1308" t="e">
        <f t="shared" si="3"/>
        <v>#N/A</v>
      </c>
      <c r="AB33" s="1308" t="e">
        <f t="shared" si="4"/>
        <v>#N/A</v>
      </c>
      <c r="AC33" s="1308" t="e">
        <f t="shared" si="5"/>
        <v>#N/A</v>
      </c>
    </row>
    <row r="34" spans="1:29" ht="15">
      <c r="A34" s="543"/>
      <c r="B34" s="477" t="s">
        <v>674</v>
      </c>
      <c r="C34" s="524"/>
      <c r="D34" s="490">
        <v>100</v>
      </c>
      <c r="E34" s="805"/>
      <c r="F34" s="525">
        <f>SUMIF(105:105,E34,106:106)-SUMIF(105:105,C34,106:106)+100</f>
        <v>100</v>
      </c>
      <c r="G34" s="524"/>
      <c r="H34" s="490">
        <f>SUMIF(105:105,G34,106:106)-SUMIF(105:105,C34,106:106)+100</f>
        <v>100</v>
      </c>
      <c r="I34" s="805"/>
      <c r="J34" s="490">
        <f>SUMIF(105:105,I34,106:106)-SUMIF(105:105,C34,106:106)+100</f>
        <v>100</v>
      </c>
      <c r="K34" s="792"/>
      <c r="L34" s="1748"/>
      <c r="M34" s="1741"/>
      <c r="N34" s="1741"/>
      <c r="O34" s="1747"/>
      <c r="P34" s="3729"/>
      <c r="Q34" s="1305" t="str">
        <f t="shared" si="8"/>
        <v>建筑结构</v>
      </c>
      <c r="R34" s="1306" t="s">
        <v>8</v>
      </c>
      <c r="S34" s="1307">
        <f t="shared" si="9"/>
        <v>100</v>
      </c>
      <c r="T34" s="1306" t="s">
        <v>8</v>
      </c>
      <c r="U34" s="1307">
        <f t="shared" si="10"/>
        <v>100</v>
      </c>
      <c r="V34" s="1306" t="s">
        <v>8</v>
      </c>
      <c r="W34" s="1307">
        <f t="shared" si="11"/>
        <v>100</v>
      </c>
      <c r="X34" s="1301"/>
      <c r="Y34" s="3729"/>
      <c r="Z34" s="1308" t="str">
        <f t="shared" si="12"/>
        <v>建筑结构</v>
      </c>
      <c r="AA34" s="1308">
        <f t="shared" si="3"/>
        <v>1</v>
      </c>
      <c r="AB34" s="1308">
        <f t="shared" si="4"/>
        <v>1</v>
      </c>
      <c r="AC34" s="1308">
        <f t="shared" si="5"/>
        <v>1</v>
      </c>
    </row>
    <row r="35" spans="1:29" ht="15">
      <c r="A35" s="543"/>
      <c r="B35" s="477" t="s">
        <v>675</v>
      </c>
      <c r="C35" s="548"/>
      <c r="D35" s="490">
        <v>100</v>
      </c>
      <c r="E35" s="801"/>
      <c r="F35" s="525">
        <f>SUMIF(107:107,E35,108:108)-SUMIF(107:107,C35,108:108)+100</f>
        <v>100</v>
      </c>
      <c r="G35" s="548"/>
      <c r="H35" s="490">
        <f>SUMIF(107:107,G35,108:108)-SUMIF(107:107,C35,108:108)+100</f>
        <v>100</v>
      </c>
      <c r="I35" s="801"/>
      <c r="J35" s="490">
        <f>SUMIF(107:107,I35,108:108)-SUMIF(107:107,C35,108:108)+100</f>
        <v>100</v>
      </c>
      <c r="K35" s="792"/>
      <c r="L35" s="1748"/>
      <c r="M35" s="1741"/>
      <c r="N35" s="1741"/>
      <c r="O35" s="1747"/>
      <c r="P35" s="3729"/>
      <c r="Q35" s="1305" t="str">
        <f t="shared" si="8"/>
        <v>建筑品质</v>
      </c>
      <c r="R35" s="1306" t="s">
        <v>8</v>
      </c>
      <c r="S35" s="1307">
        <f t="shared" si="9"/>
        <v>100</v>
      </c>
      <c r="T35" s="1306" t="s">
        <v>8</v>
      </c>
      <c r="U35" s="1307">
        <f t="shared" si="10"/>
        <v>100</v>
      </c>
      <c r="V35" s="1306" t="s">
        <v>8</v>
      </c>
      <c r="W35" s="1307">
        <f t="shared" si="11"/>
        <v>100</v>
      </c>
      <c r="X35" s="1301"/>
      <c r="Y35" s="3729"/>
      <c r="Z35" s="1308" t="str">
        <f t="shared" si="12"/>
        <v>建筑品质</v>
      </c>
      <c r="AA35" s="1308">
        <f t="shared" si="3"/>
        <v>1</v>
      </c>
      <c r="AB35" s="1308">
        <f t="shared" si="4"/>
        <v>1</v>
      </c>
      <c r="AC35" s="1308">
        <f t="shared" si="5"/>
        <v>1</v>
      </c>
    </row>
    <row r="36" spans="1:29" ht="15">
      <c r="A36" s="543"/>
      <c r="B36" s="477" t="s">
        <v>676</v>
      </c>
      <c r="C36" s="548"/>
      <c r="D36" s="490">
        <v>100</v>
      </c>
      <c r="E36" s="801"/>
      <c r="F36" s="525">
        <f>SUMIF(109:109,E36,110:110)-SUMIF(109:109,C36,110:110)+100</f>
        <v>100</v>
      </c>
      <c r="G36" s="548"/>
      <c r="H36" s="490">
        <f>SUMIF(109:109,G36,110:110)-SUMIF(109:109,C36,110:110)+100</f>
        <v>100</v>
      </c>
      <c r="I36" s="801"/>
      <c r="J36" s="490">
        <f>SUMIF(109:109,I36,110:110)-SUMIF(109:109,C36,110:110)+100</f>
        <v>100</v>
      </c>
      <c r="K36" s="792"/>
      <c r="L36" s="1748"/>
      <c r="M36" s="1741"/>
      <c r="N36" s="1741"/>
      <c r="O36" s="1747"/>
      <c r="P36" s="3729"/>
      <c r="Q36" s="1305" t="str">
        <f t="shared" si="8"/>
        <v>公共部分装修</v>
      </c>
      <c r="R36" s="1306" t="s">
        <v>8</v>
      </c>
      <c r="S36" s="1307">
        <f t="shared" si="9"/>
        <v>100</v>
      </c>
      <c r="T36" s="1306" t="s">
        <v>8</v>
      </c>
      <c r="U36" s="1307">
        <f t="shared" si="10"/>
        <v>100</v>
      </c>
      <c r="V36" s="1306" t="s">
        <v>8</v>
      </c>
      <c r="W36" s="1307">
        <f t="shared" si="11"/>
        <v>100</v>
      </c>
      <c r="X36" s="1301"/>
      <c r="Y36" s="3729"/>
      <c r="Z36" s="1308" t="str">
        <f t="shared" si="12"/>
        <v>公共部分装修</v>
      </c>
      <c r="AA36" s="1308">
        <f t="shared" si="3"/>
        <v>1</v>
      </c>
      <c r="AB36" s="1308">
        <f t="shared" si="4"/>
        <v>1</v>
      </c>
      <c r="AC36" s="1308">
        <f t="shared" si="5"/>
        <v>1</v>
      </c>
    </row>
    <row r="37" spans="1:29" s="1058" customFormat="1" ht="15">
      <c r="A37" s="549"/>
      <c r="B37" s="477" t="s">
        <v>677</v>
      </c>
      <c r="C37" s="806"/>
      <c r="D37" s="235">
        <v>100</v>
      </c>
      <c r="E37" s="807"/>
      <c r="F37" s="477" t="e">
        <f>LOOKUP(E37,112:112,113:113)-LOOKUP(C37,112:112,113:113)+100</f>
        <v>#N/A</v>
      </c>
      <c r="G37" s="808"/>
      <c r="H37" s="235" t="e">
        <f>LOOKUP(G37,112:112,113:113)-LOOKUP(C37,112:112,113:113)+100</f>
        <v>#N/A</v>
      </c>
      <c r="I37" s="807"/>
      <c r="J37" s="235" t="e">
        <f>LOOKUP(I37,112:112,113:113)-LOOKUP(C37,112:112,113:113)+100</f>
        <v>#N/A</v>
      </c>
      <c r="K37" s="792"/>
      <c r="L37" s="1742"/>
      <c r="M37" s="1639"/>
      <c r="N37" s="1639"/>
      <c r="O37" s="1743"/>
      <c r="P37" s="3729"/>
      <c r="Q37" s="816" t="str">
        <f t="shared" si="8"/>
        <v>成新度</v>
      </c>
      <c r="R37" s="1302" t="s">
        <v>8</v>
      </c>
      <c r="S37" s="1303" t="e">
        <f t="shared" si="9"/>
        <v>#N/A</v>
      </c>
      <c r="T37" s="1302" t="s">
        <v>8</v>
      </c>
      <c r="U37" s="1303" t="e">
        <f t="shared" si="10"/>
        <v>#N/A</v>
      </c>
      <c r="V37" s="1302" t="s">
        <v>8</v>
      </c>
      <c r="W37" s="1303" t="e">
        <f t="shared" si="11"/>
        <v>#N/A</v>
      </c>
      <c r="X37" s="1304"/>
      <c r="Y37" s="3729"/>
      <c r="Z37" s="995" t="str">
        <f t="shared" si="12"/>
        <v>成新度</v>
      </c>
      <c r="AA37" s="995" t="e">
        <f t="shared" si="3"/>
        <v>#N/A</v>
      </c>
      <c r="AB37" s="995" t="e">
        <f t="shared" si="4"/>
        <v>#N/A</v>
      </c>
      <c r="AC37" s="995" t="e">
        <f t="shared" si="5"/>
        <v>#N/A</v>
      </c>
    </row>
    <row r="38" spans="1:29" ht="15">
      <c r="A38" s="543"/>
      <c r="B38" s="477" t="s">
        <v>678</v>
      </c>
      <c r="C38" s="548"/>
      <c r="D38" s="490">
        <v>100</v>
      </c>
      <c r="E38" s="801"/>
      <c r="F38" s="525">
        <f>SUMIF(114:114,E38,115:115)-SUMIF(114:114,C38,115:115)+100</f>
        <v>100</v>
      </c>
      <c r="G38" s="548"/>
      <c r="H38" s="490">
        <f>SUMIF(114:114,G38,115:115)-SUMIF(114:114,C38,115:115)+100</f>
        <v>100</v>
      </c>
      <c r="I38" s="801"/>
      <c r="J38" s="490">
        <f>SUMIF(114:114,I38,115:115)-SUMIF(114:114,C38,115:115)+100</f>
        <v>100</v>
      </c>
      <c r="K38" s="792"/>
      <c r="L38" s="1748"/>
      <c r="M38" s="1741"/>
      <c r="N38" s="1741"/>
      <c r="O38" s="1747"/>
      <c r="P38" s="3729" t="s">
        <v>499</v>
      </c>
      <c r="Q38" s="1305" t="str">
        <f t="shared" si="8"/>
        <v>物业管理</v>
      </c>
      <c r="R38" s="1306" t="s">
        <v>8</v>
      </c>
      <c r="S38" s="1307">
        <f t="shared" si="9"/>
        <v>100</v>
      </c>
      <c r="T38" s="1306" t="s">
        <v>8</v>
      </c>
      <c r="U38" s="1307">
        <f t="shared" si="10"/>
        <v>100</v>
      </c>
      <c r="V38" s="1306" t="s">
        <v>8</v>
      </c>
      <c r="W38" s="1307">
        <f t="shared" si="11"/>
        <v>100</v>
      </c>
      <c r="X38" s="1301"/>
      <c r="Y38" s="3729" t="s">
        <v>499</v>
      </c>
      <c r="Z38" s="1308" t="str">
        <f t="shared" si="12"/>
        <v>物业管理</v>
      </c>
      <c r="AA38" s="1308">
        <f t="shared" si="3"/>
        <v>1</v>
      </c>
      <c r="AB38" s="1308">
        <f t="shared" si="4"/>
        <v>1</v>
      </c>
      <c r="AC38" s="1308">
        <f t="shared" si="5"/>
        <v>1</v>
      </c>
    </row>
    <row r="39" spans="1:29" ht="15">
      <c r="A39" s="543"/>
      <c r="B39" s="1553" t="s">
        <v>1844</v>
      </c>
      <c r="C39" s="548"/>
      <c r="D39" s="490">
        <v>100</v>
      </c>
      <c r="E39" s="801"/>
      <c r="F39" s="525">
        <f>SUMIF(116:116,E39,117:117)-SUMIF(116:116,C39,117:117)+100</f>
        <v>100</v>
      </c>
      <c r="G39" s="548"/>
      <c r="H39" s="490">
        <f>SUMIF(116:116,G39,117:117)-SUMIF(116:116,C39,117:117)+100</f>
        <v>100</v>
      </c>
      <c r="I39" s="801"/>
      <c r="J39" s="490">
        <f>SUMIF(116:116,I39,117:117)-SUMIF(116:116,C39,117:117)+100</f>
        <v>100</v>
      </c>
      <c r="K39" s="792"/>
      <c r="L39" s="1748"/>
      <c r="M39" s="1741"/>
      <c r="N39" s="1741"/>
      <c r="O39" s="1747"/>
      <c r="P39" s="3729"/>
      <c r="Q39" s="1305" t="str">
        <f t="shared" si="8"/>
        <v>市政基础设施</v>
      </c>
      <c r="R39" s="1306" t="s">
        <v>8</v>
      </c>
      <c r="S39" s="1307">
        <f t="shared" si="9"/>
        <v>100</v>
      </c>
      <c r="T39" s="1306" t="s">
        <v>8</v>
      </c>
      <c r="U39" s="1307">
        <f t="shared" si="10"/>
        <v>100</v>
      </c>
      <c r="V39" s="1306" t="s">
        <v>8</v>
      </c>
      <c r="W39" s="1307">
        <f t="shared" si="11"/>
        <v>100</v>
      </c>
      <c r="X39" s="1301"/>
      <c r="Y39" s="3729"/>
      <c r="Z39" s="1308" t="str">
        <f t="shared" si="12"/>
        <v>市政基础设施</v>
      </c>
      <c r="AA39" s="1308">
        <f t="shared" si="3"/>
        <v>1</v>
      </c>
      <c r="AB39" s="1308">
        <f t="shared" si="4"/>
        <v>1</v>
      </c>
      <c r="AC39" s="1308">
        <f t="shared" si="5"/>
        <v>1</v>
      </c>
    </row>
    <row r="40" spans="1:29" ht="15">
      <c r="A40" s="543"/>
      <c r="B40" s="477" t="s">
        <v>679</v>
      </c>
      <c r="C40" s="548"/>
      <c r="D40" s="490">
        <v>100</v>
      </c>
      <c r="E40" s="801"/>
      <c r="F40" s="525">
        <f>SUMIF(118:118,E40,119:119)-SUMIF(118:118,C40,119:119)+100</f>
        <v>100</v>
      </c>
      <c r="G40" s="548"/>
      <c r="H40" s="490">
        <f>SUMIF(118:118,G40,119:119)-SUMIF(118:118,C40,119:119)+100</f>
        <v>100</v>
      </c>
      <c r="I40" s="801"/>
      <c r="J40" s="490">
        <f>SUMIF(118:118,I40,119:119)-SUMIF(118:118,C40,119:119)+100</f>
        <v>100</v>
      </c>
      <c r="K40" s="792"/>
      <c r="L40" s="1748"/>
      <c r="M40" s="1741"/>
      <c r="N40" s="1741"/>
      <c r="O40" s="1747"/>
      <c r="P40" s="3729"/>
      <c r="Q40" s="1305" t="str">
        <f t="shared" si="8"/>
        <v>房型</v>
      </c>
      <c r="R40" s="1306" t="s">
        <v>8</v>
      </c>
      <c r="S40" s="1307">
        <f t="shared" si="9"/>
        <v>100</v>
      </c>
      <c r="T40" s="1306" t="s">
        <v>8</v>
      </c>
      <c r="U40" s="1307">
        <f t="shared" si="10"/>
        <v>100</v>
      </c>
      <c r="V40" s="1306" t="s">
        <v>8</v>
      </c>
      <c r="W40" s="1307">
        <f t="shared" si="11"/>
        <v>100</v>
      </c>
      <c r="X40" s="1301"/>
      <c r="Y40" s="3729"/>
      <c r="Z40" s="1308" t="str">
        <f t="shared" si="12"/>
        <v>房型</v>
      </c>
      <c r="AA40" s="1308">
        <f t="shared" si="3"/>
        <v>1</v>
      </c>
      <c r="AB40" s="1308">
        <f t="shared" si="4"/>
        <v>1</v>
      </c>
      <c r="AC40" s="1308">
        <f t="shared" si="5"/>
        <v>1</v>
      </c>
    </row>
    <row r="41" spans="1:29" s="1132" customFormat="1" ht="28.5">
      <c r="A41" s="552"/>
      <c r="B41" s="477" t="s">
        <v>680</v>
      </c>
      <c r="C41" s="804"/>
      <c r="D41" s="235">
        <v>100</v>
      </c>
      <c r="E41" s="484"/>
      <c r="F41" s="477">
        <f>SUMIF(120:120,E41,121:121)-SUMIF(120:120,C41,121:121)+100</f>
        <v>100</v>
      </c>
      <c r="G41" s="483"/>
      <c r="H41" s="235">
        <f>SUMIF(120:120,G41,121:121)-SUMIF(120:120,C41,121:121)+100</f>
        <v>100</v>
      </c>
      <c r="I41" s="535"/>
      <c r="J41" s="490">
        <f>SUMIF(120:120,I41,121:121)-SUMIF(120:120,C41,121:121)+100</f>
        <v>100</v>
      </c>
      <c r="K41" s="793"/>
      <c r="L41" s="1746"/>
      <c r="M41" s="1770"/>
      <c r="N41" s="1770"/>
      <c r="O41" s="1749"/>
      <c r="P41" s="3729"/>
      <c r="Q41" s="817" t="str">
        <f t="shared" si="8"/>
        <v>单套/主力户型建筑面积</v>
      </c>
      <c r="R41" s="1309" t="s">
        <v>8</v>
      </c>
      <c r="S41" s="1310">
        <f t="shared" si="9"/>
        <v>100</v>
      </c>
      <c r="T41" s="1309" t="s">
        <v>8</v>
      </c>
      <c r="U41" s="1310">
        <f t="shared" si="10"/>
        <v>100</v>
      </c>
      <c r="V41" s="1309" t="s">
        <v>8</v>
      </c>
      <c r="W41" s="1310">
        <f t="shared" si="11"/>
        <v>100</v>
      </c>
      <c r="X41" s="1311"/>
      <c r="Y41" s="3729"/>
      <c r="Z41" s="1312" t="str">
        <f t="shared" si="12"/>
        <v>单套/主力户型建筑面积</v>
      </c>
      <c r="AA41" s="1308">
        <f t="shared" si="3"/>
        <v>1</v>
      </c>
      <c r="AB41" s="1308">
        <f t="shared" si="4"/>
        <v>1</v>
      </c>
      <c r="AC41" s="1308">
        <f t="shared" si="5"/>
        <v>1</v>
      </c>
    </row>
    <row r="42" spans="1:29" ht="15">
      <c r="A42" s="543"/>
      <c r="B42" s="477" t="s">
        <v>681</v>
      </c>
      <c r="C42" s="548"/>
      <c r="D42" s="490">
        <v>100</v>
      </c>
      <c r="E42" s="801"/>
      <c r="F42" s="525">
        <f>SUMIF(122:122,E42,123:123)-SUMIF(122:122,C42,123:123)+100</f>
        <v>100</v>
      </c>
      <c r="G42" s="548"/>
      <c r="H42" s="490">
        <f>SUMIF(122:122,G42,123:123)-SUMIF(122:122,C42,123:123)+100</f>
        <v>100</v>
      </c>
      <c r="I42" s="801"/>
      <c r="J42" s="490">
        <f>SUMIF(122:122,I42,123:123)-SUMIF(122:122,C42,123:123)+100</f>
        <v>100</v>
      </c>
      <c r="K42" s="792"/>
      <c r="L42" s="1748"/>
      <c r="M42" s="1741"/>
      <c r="N42" s="1741"/>
      <c r="O42" s="1747"/>
      <c r="P42" s="3729"/>
      <c r="Q42" s="1305" t="str">
        <f t="shared" si="8"/>
        <v>内部装修</v>
      </c>
      <c r="R42" s="1306" t="s">
        <v>8</v>
      </c>
      <c r="S42" s="1307">
        <f t="shared" si="9"/>
        <v>100</v>
      </c>
      <c r="T42" s="1306" t="s">
        <v>8</v>
      </c>
      <c r="U42" s="1307">
        <f t="shared" si="10"/>
        <v>100</v>
      </c>
      <c r="V42" s="1306" t="s">
        <v>8</v>
      </c>
      <c r="W42" s="1307">
        <f t="shared" si="11"/>
        <v>100</v>
      </c>
      <c r="X42" s="1301"/>
      <c r="Y42" s="3729"/>
      <c r="Z42" s="1308" t="str">
        <f t="shared" si="12"/>
        <v>内部装修</v>
      </c>
      <c r="AA42" s="1308">
        <f t="shared" si="3"/>
        <v>1</v>
      </c>
      <c r="AB42" s="1308">
        <f t="shared" si="4"/>
        <v>1</v>
      </c>
      <c r="AC42" s="1308">
        <f t="shared" si="5"/>
        <v>1</v>
      </c>
    </row>
    <row r="43" spans="1:29" ht="27">
      <c r="A43" s="543"/>
      <c r="B43" s="477" t="s">
        <v>682</v>
      </c>
      <c r="C43" s="548"/>
      <c r="D43" s="490">
        <v>100</v>
      </c>
      <c r="E43" s="801"/>
      <c r="F43" s="525">
        <f>SUMIF(124:124,E43,125:125)-SUMIF(124:124,C43,125:125)+100</f>
        <v>100</v>
      </c>
      <c r="G43" s="548"/>
      <c r="H43" s="490">
        <f>SUMIF(124:124,G43,125:125)-SUMIF(124:124,C43,125:125)+100</f>
        <v>100</v>
      </c>
      <c r="I43" s="801"/>
      <c r="J43" s="490">
        <f>SUMIF(124:124,I43,125:125)-SUMIF(124:124,C43,125:125)+100</f>
        <v>100</v>
      </c>
      <c r="K43" s="792"/>
      <c r="L43" s="1748"/>
      <c r="M43" s="1741"/>
      <c r="N43" s="1741"/>
      <c r="O43" s="1747"/>
      <c r="P43" s="3729"/>
      <c r="Q43" s="1305" t="str">
        <f t="shared" si="8"/>
        <v>内部装修维护情况</v>
      </c>
      <c r="R43" s="1306" t="s">
        <v>8</v>
      </c>
      <c r="S43" s="1307">
        <f t="shared" si="9"/>
        <v>100</v>
      </c>
      <c r="T43" s="1306" t="s">
        <v>8</v>
      </c>
      <c r="U43" s="1307">
        <f t="shared" si="10"/>
        <v>100</v>
      </c>
      <c r="V43" s="1306" t="s">
        <v>8</v>
      </c>
      <c r="W43" s="1307">
        <f t="shared" si="11"/>
        <v>100</v>
      </c>
      <c r="X43" s="1301"/>
      <c r="Y43" s="3729"/>
      <c r="Z43" s="1308" t="str">
        <f t="shared" si="12"/>
        <v>内部装修维护情况</v>
      </c>
      <c r="AA43" s="1308">
        <f t="shared" si="3"/>
        <v>1</v>
      </c>
      <c r="AB43" s="1308">
        <f t="shared" si="4"/>
        <v>1</v>
      </c>
      <c r="AC43" s="1308">
        <f t="shared" si="5"/>
        <v>1</v>
      </c>
    </row>
    <row r="44" spans="1:29" s="1058" customFormat="1" ht="15">
      <c r="A44" s="549"/>
      <c r="B44" s="91">
        <v>111</v>
      </c>
      <c r="C44" s="804"/>
      <c r="D44" s="235">
        <v>100</v>
      </c>
      <c r="E44" s="804"/>
      <c r="F44" s="477">
        <f>SUMIF(126:126,E44,127:127)-SUMIF(126:126,C44,127:127)+100</f>
        <v>100</v>
      </c>
      <c r="G44" s="804"/>
      <c r="H44" s="235">
        <f>SUMIF(126:126,G44,127:127)-SUMIF(126:126,C44,127:127)+100</f>
        <v>100</v>
      </c>
      <c r="I44" s="804"/>
      <c r="J44" s="235">
        <f>SUMIF(126:126,I44,127:127)-SUMIF(126:126,C44,127:127)+100</f>
        <v>100</v>
      </c>
      <c r="K44" s="793"/>
      <c r="L44" s="1742"/>
      <c r="M44" s="1639"/>
      <c r="N44" s="1639"/>
      <c r="O44" s="1743"/>
      <c r="P44" s="3729"/>
      <c r="Q44" s="816">
        <f t="shared" si="8"/>
        <v>111</v>
      </c>
      <c r="R44" s="1302" t="s">
        <v>8</v>
      </c>
      <c r="S44" s="1303">
        <f t="shared" si="9"/>
        <v>100</v>
      </c>
      <c r="T44" s="1302" t="s">
        <v>8</v>
      </c>
      <c r="U44" s="1303">
        <f t="shared" si="10"/>
        <v>100</v>
      </c>
      <c r="V44" s="1302" t="s">
        <v>8</v>
      </c>
      <c r="W44" s="1303">
        <f t="shared" si="11"/>
        <v>100</v>
      </c>
      <c r="X44" s="1304"/>
      <c r="Y44" s="3729"/>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3"/>
      <c r="L45" s="1748"/>
      <c r="M45" s="1741"/>
      <c r="N45" s="1741"/>
      <c r="O45" s="1747"/>
      <c r="P45" s="3729"/>
      <c r="Q45" s="1305">
        <f t="shared" si="8"/>
        <v>111</v>
      </c>
      <c r="R45" s="1306" t="s">
        <v>8</v>
      </c>
      <c r="S45" s="1307">
        <f t="shared" si="9"/>
        <v>100</v>
      </c>
      <c r="T45" s="1306" t="s">
        <v>8</v>
      </c>
      <c r="U45" s="1307">
        <f t="shared" si="10"/>
        <v>100</v>
      </c>
      <c r="V45" s="1306" t="s">
        <v>8</v>
      </c>
      <c r="W45" s="1307">
        <f t="shared" si="11"/>
        <v>100</v>
      </c>
      <c r="X45" s="1301"/>
      <c r="Y45" s="3729"/>
      <c r="Z45" s="1308">
        <f t="shared" si="12"/>
        <v>111</v>
      </c>
      <c r="AA45" s="1308">
        <f t="shared" si="3"/>
        <v>1</v>
      </c>
      <c r="AB45" s="1308">
        <f t="shared" si="4"/>
        <v>1</v>
      </c>
      <c r="AC45" s="1308">
        <f t="shared" si="5"/>
        <v>1</v>
      </c>
    </row>
    <row r="46" spans="1:29" ht="15.75" thickBot="1">
      <c r="A46" s="809"/>
      <c r="B46" s="494">
        <v>111</v>
      </c>
      <c r="C46" s="495"/>
      <c r="D46" s="496">
        <v>100</v>
      </c>
      <c r="E46" s="495"/>
      <c r="F46" s="794">
        <f>SUMIF(130:130,E46,131:131)-SUMIF(130:130,C46,131:131)+100</f>
        <v>100</v>
      </c>
      <c r="G46" s="495"/>
      <c r="H46" s="496">
        <f>SUMIF(130:130,G46,131:131)-SUMIF(130:130,C46,131:131)+100</f>
        <v>100</v>
      </c>
      <c r="I46" s="495"/>
      <c r="J46" s="496">
        <f>SUMIF(130:130,I46,131:131)-SUMIF(130:130,C46,131:131)+100</f>
        <v>100</v>
      </c>
      <c r="K46" s="793"/>
      <c r="L46" s="1748"/>
      <c r="M46" s="1741"/>
      <c r="N46" s="1741"/>
      <c r="O46" s="1747"/>
      <c r="P46" s="3836"/>
      <c r="Q46" s="1305">
        <f t="shared" si="8"/>
        <v>111</v>
      </c>
      <c r="R46" s="1306" t="s">
        <v>7</v>
      </c>
      <c r="S46" s="1307">
        <f t="shared" si="9"/>
        <v>100</v>
      </c>
      <c r="T46" s="1306" t="s">
        <v>7</v>
      </c>
      <c r="U46" s="1307">
        <f t="shared" si="10"/>
        <v>100</v>
      </c>
      <c r="V46" s="1306" t="s">
        <v>7</v>
      </c>
      <c r="W46" s="1307">
        <f t="shared" si="11"/>
        <v>100</v>
      </c>
      <c r="X46" s="1301"/>
      <c r="Y46" s="3836"/>
      <c r="Z46" s="1308">
        <f t="shared" si="12"/>
        <v>111</v>
      </c>
      <c r="AA46" s="1308">
        <f t="shared" si="3"/>
        <v>1</v>
      </c>
      <c r="AB46" s="1308">
        <f t="shared" si="4"/>
        <v>1</v>
      </c>
      <c r="AC46" s="1308">
        <f t="shared" si="5"/>
        <v>1</v>
      </c>
    </row>
    <row r="47" spans="1:29" ht="15">
      <c r="A47" s="556" t="s">
        <v>683</v>
      </c>
      <c r="B47" s="810"/>
      <c r="C47" s="2080" t="s">
        <v>6</v>
      </c>
      <c r="D47" s="559"/>
      <c r="E47" s="560"/>
      <c r="F47" s="561"/>
      <c r="G47" s="562"/>
      <c r="H47" s="563"/>
      <c r="I47" s="560"/>
      <c r="J47" s="563"/>
      <c r="K47" s="1330"/>
      <c r="L47" s="1750"/>
      <c r="M47" s="1741"/>
      <c r="N47" s="1741"/>
      <c r="O47" s="1741"/>
      <c r="P47" s="3724" t="str">
        <f>A47</f>
        <v>成交单价（元/平方米）</v>
      </c>
      <c r="Q47" s="3724"/>
      <c r="R47" s="3740">
        <f>E47</f>
        <v>0</v>
      </c>
      <c r="S47" s="3740"/>
      <c r="T47" s="3740">
        <f>G47</f>
        <v>0</v>
      </c>
      <c r="U47" s="3740"/>
      <c r="V47" s="3740">
        <f>I47</f>
        <v>0</v>
      </c>
      <c r="W47" s="3740"/>
      <c r="X47" s="797"/>
      <c r="Y47" s="1313"/>
      <c r="Z47" s="797"/>
      <c r="AA47" s="797"/>
      <c r="AB47" s="797"/>
      <c r="AC47" s="797"/>
    </row>
    <row r="48" spans="1:29" ht="15.75" thickBot="1">
      <c r="A48" s="564" t="s">
        <v>2039</v>
      </c>
      <c r="B48" s="811"/>
      <c r="C48" s="2081" t="e">
        <f>R49</f>
        <v>#DIV/0!</v>
      </c>
      <c r="D48" s="2549" t="s">
        <v>2255</v>
      </c>
      <c r="E48" s="2082" t="e">
        <f>R48</f>
        <v>#DIV/0!</v>
      </c>
      <c r="F48" s="2550"/>
      <c r="G48" s="2081" t="e">
        <f>T48</f>
        <v>#DIV/0!</v>
      </c>
      <c r="H48" s="2550"/>
      <c r="I48" s="2082" t="e">
        <f>V48</f>
        <v>#DIV/0!</v>
      </c>
      <c r="J48" s="2550"/>
      <c r="K48" s="2557">
        <f>F48+H48+J48</f>
        <v>0</v>
      </c>
      <c r="L48" s="1750"/>
      <c r="M48" s="1741"/>
      <c r="N48" s="1741"/>
      <c r="O48" s="1741"/>
      <c r="P48" s="3724" t="str">
        <f>A48</f>
        <v>比较价格（元/平方米）</v>
      </c>
      <c r="Q48" s="3724"/>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797"/>
      <c r="Y48" s="797"/>
      <c r="Z48" s="797"/>
      <c r="AA48" s="797"/>
      <c r="AB48" s="797"/>
      <c r="AC48" s="797"/>
    </row>
    <row r="49" spans="1:29" ht="15.75" thickBot="1">
      <c r="A49" s="568" t="s">
        <v>2192</v>
      </c>
      <c r="B49" s="569"/>
      <c r="C49" s="469" t="e">
        <f>R49</f>
        <v>#DIV/0!</v>
      </c>
      <c r="D49" s="469"/>
      <c r="E49" s="469"/>
      <c r="F49" s="469"/>
      <c r="G49" s="469"/>
      <c r="H49" s="469"/>
      <c r="I49" s="469"/>
      <c r="J49" s="469"/>
      <c r="K49" s="1331"/>
      <c r="L49" s="1750"/>
      <c r="M49" s="1741"/>
      <c r="N49" s="1741"/>
      <c r="O49" s="1741"/>
      <c r="P49" s="3730" t="str">
        <f>A49</f>
        <v>估价对象XX用房的比较价格（楼面单价，元/平方米）</v>
      </c>
      <c r="Q49" s="3731"/>
      <c r="R49" s="3835" t="e">
        <f>IF(F1="售价",ROUND(IF(D48="简单平均",AVERAGE(R48:V48),R48*F48+T48*H48+V48*J48),0),ROUND(IF(D48="简单平均",AVERAGE(R48:V48),R48*F48+T48*H48+V48*J48),1))</f>
        <v>#DIV/0!</v>
      </c>
      <c r="S49" s="3835"/>
      <c r="T49" s="3835"/>
      <c r="U49" s="3835"/>
      <c r="V49" s="3835"/>
      <c r="W49" s="3835"/>
      <c r="X49" s="797"/>
      <c r="Y49" s="797"/>
      <c r="Z49" s="797"/>
      <c r="AA49" s="797"/>
      <c r="AB49" s="797"/>
      <c r="AC49" s="797"/>
    </row>
    <row r="50" spans="1:29">
      <c r="A50" s="2720"/>
      <c r="B50" s="2720"/>
      <c r="C50" s="2720"/>
      <c r="D50" s="2720"/>
      <c r="E50" s="2720"/>
      <c r="F50" s="2720"/>
      <c r="G50" s="2722"/>
      <c r="H50" s="2720"/>
      <c r="I50" s="2720"/>
      <c r="J50" s="2720"/>
      <c r="K50" s="2723"/>
      <c r="L50" s="1754"/>
      <c r="M50" s="1741"/>
      <c r="N50" s="1741"/>
      <c r="O50" s="1741"/>
      <c r="P50" s="1741"/>
      <c r="Q50" s="1741"/>
      <c r="R50" s="1741"/>
      <c r="S50" s="1741"/>
      <c r="T50" s="1741"/>
      <c r="U50" s="1741"/>
      <c r="V50" s="1741"/>
      <c r="W50" s="1741"/>
      <c r="X50" s="1741"/>
      <c r="Y50" s="1741"/>
      <c r="Z50" s="1741"/>
      <c r="AA50" s="1741"/>
      <c r="AB50" s="1741"/>
      <c r="AC50" s="1741"/>
    </row>
    <row r="51" spans="1:29">
      <c r="A51" s="2720"/>
      <c r="B51" s="2720"/>
      <c r="C51" s="2720"/>
      <c r="D51" s="2720"/>
      <c r="E51" s="2720"/>
      <c r="F51" s="2720"/>
      <c r="G51" s="2720"/>
      <c r="H51" s="2720"/>
      <c r="I51" s="2720"/>
      <c r="J51" s="2720"/>
      <c r="K51" s="2723"/>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4"/>
      <c r="M53" s="1741"/>
      <c r="N53" s="1741"/>
      <c r="O53" s="1741"/>
      <c r="P53" s="1741"/>
      <c r="Q53" s="1741"/>
      <c r="R53" s="1741"/>
      <c r="S53" s="1741"/>
      <c r="T53" s="1741"/>
      <c r="U53" s="1741"/>
      <c r="V53" s="1741"/>
      <c r="W53" s="1741"/>
      <c r="X53" s="1741"/>
      <c r="Y53" s="1741"/>
      <c r="Z53" s="1741"/>
      <c r="AA53" s="1741"/>
      <c r="AB53" s="1741"/>
      <c r="AC53" s="1741"/>
    </row>
    <row r="54" spans="1:29" s="1137"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7"/>
      <c r="M54" s="1751"/>
      <c r="N54" s="1751"/>
      <c r="O54" s="1751"/>
      <c r="P54" s="1751"/>
      <c r="Q54" s="1751"/>
      <c r="R54" s="1751"/>
      <c r="S54" s="1751"/>
      <c r="T54" s="1751"/>
      <c r="U54" s="1751"/>
      <c r="V54" s="1751"/>
      <c r="W54" s="1751"/>
      <c r="X54" s="1751"/>
      <c r="Y54" s="1751"/>
      <c r="Z54" s="1751"/>
      <c r="AA54" s="1751"/>
      <c r="AB54" s="1751"/>
      <c r="AC54" s="1751"/>
    </row>
    <row r="55" spans="1:29" s="1137"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1.75" thickBot="1">
      <c r="A57" s="1316" t="s">
        <v>522</v>
      </c>
      <c r="B57" s="797"/>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39" customFormat="1" ht="15">
      <c r="A58" s="592" t="s">
        <v>478</v>
      </c>
      <c r="B58" s="593"/>
      <c r="C58" s="2114" t="str">
        <f>YEAR(C7)&amp;"-"&amp;MONTH(C7)</f>
        <v>2023-9</v>
      </c>
      <c r="D58" s="2114">
        <f>EDATE(C58,-1)</f>
        <v>45139</v>
      </c>
      <c r="E58" s="2114">
        <f t="shared" ref="E58:O58" si="13">EDATE(D58,-1)</f>
        <v>45108</v>
      </c>
      <c r="F58" s="2114">
        <f t="shared" si="13"/>
        <v>45078</v>
      </c>
      <c r="G58" s="2114">
        <f t="shared" si="13"/>
        <v>45047</v>
      </c>
      <c r="H58" s="2114">
        <f t="shared" si="13"/>
        <v>45017</v>
      </c>
      <c r="I58" s="2114">
        <f t="shared" si="13"/>
        <v>44986</v>
      </c>
      <c r="J58" s="2114">
        <f t="shared" si="13"/>
        <v>44958</v>
      </c>
      <c r="K58" s="2114">
        <f t="shared" si="13"/>
        <v>44927</v>
      </c>
      <c r="L58" s="2114">
        <f t="shared" si="13"/>
        <v>44896</v>
      </c>
      <c r="M58" s="2114">
        <f t="shared" si="13"/>
        <v>44866</v>
      </c>
      <c r="N58" s="2114">
        <f t="shared" si="13"/>
        <v>44835</v>
      </c>
      <c r="O58" s="2114">
        <f t="shared" si="13"/>
        <v>44805</v>
      </c>
      <c r="P58" s="1764"/>
      <c r="Q58" s="1764"/>
      <c r="R58" s="1764"/>
      <c r="S58" s="1764"/>
      <c r="T58" s="1764"/>
      <c r="U58" s="1764"/>
      <c r="V58" s="1764"/>
      <c r="W58" s="1764"/>
      <c r="X58" s="1764"/>
      <c r="Y58" s="1764"/>
      <c r="Z58" s="1764"/>
      <c r="AA58" s="1764"/>
      <c r="AB58" s="1764"/>
      <c r="AC58" s="1764"/>
    </row>
    <row r="59" spans="1:29" s="1058" customFormat="1" ht="15">
      <c r="A59" s="527"/>
      <c r="B59" s="594"/>
      <c r="C59" s="595">
        <v>100</v>
      </c>
      <c r="D59" s="596"/>
      <c r="E59" s="596"/>
      <c r="F59" s="596"/>
      <c r="G59" s="596"/>
      <c r="H59" s="596"/>
      <c r="I59" s="596"/>
      <c r="J59" s="596"/>
      <c r="K59" s="596"/>
      <c r="L59" s="596"/>
      <c r="M59" s="596"/>
      <c r="N59" s="596"/>
      <c r="O59" s="596"/>
      <c r="P59" s="1762"/>
      <c r="Q59" s="1639"/>
      <c r="R59" s="1639"/>
      <c r="S59" s="1639"/>
      <c r="T59" s="1639"/>
      <c r="U59" s="1639"/>
      <c r="V59" s="1639"/>
      <c r="W59" s="1639"/>
      <c r="X59" s="1639"/>
      <c r="Y59" s="1639"/>
      <c r="Z59" s="1639"/>
      <c r="AA59" s="1639"/>
      <c r="AB59" s="1639"/>
      <c r="AC59" s="1639"/>
    </row>
    <row r="60" spans="1:29" s="1058" customFormat="1" ht="15.7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58" customFormat="1" ht="15">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58" customFormat="1" ht="15.75" thickBot="1">
      <c r="A62" s="603"/>
      <c r="B62" s="594"/>
      <c r="C62" s="812">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639"/>
    </row>
    <row r="63" spans="1:29">
      <c r="A63" s="607" t="s">
        <v>525</v>
      </c>
      <c r="B63" s="608" t="s">
        <v>483</v>
      </c>
      <c r="C63" s="645">
        <f>C9</f>
        <v>0</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5.75" thickBot="1">
      <c r="A64" s="482"/>
      <c r="B64" s="612"/>
      <c r="C64" s="613"/>
      <c r="D64" s="613"/>
      <c r="E64" s="1332"/>
      <c r="F64" s="1332"/>
      <c r="G64" s="1332"/>
      <c r="H64" s="1332"/>
      <c r="I64" s="1332"/>
      <c r="J64" s="1332"/>
      <c r="K64" s="1332"/>
      <c r="L64" s="1332"/>
      <c r="M64" s="1333"/>
      <c r="N64" s="1767"/>
      <c r="O64" s="1767"/>
      <c r="P64" s="1765"/>
      <c r="Q64" s="1762"/>
      <c r="R64" s="1741"/>
      <c r="S64" s="1741"/>
      <c r="T64" s="1741"/>
      <c r="U64" s="1741"/>
      <c r="V64" s="1741"/>
      <c r="W64" s="1741"/>
      <c r="X64" s="1741"/>
      <c r="Y64" s="1741"/>
      <c r="Z64" s="1741"/>
      <c r="AA64" s="1741"/>
      <c r="AB64" s="1741"/>
      <c r="AC64" s="1741"/>
    </row>
    <row r="65" spans="1:29" ht="27.75" thickTop="1">
      <c r="A65" s="482"/>
      <c r="B65" s="615" t="s">
        <v>486</v>
      </c>
      <c r="C65" s="658"/>
      <c r="D65" s="658"/>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5.75" thickBot="1">
      <c r="A66" s="482"/>
      <c r="B66" s="620"/>
      <c r="C66" s="613"/>
      <c r="D66" s="613"/>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2"/>
      <c r="B68" s="625"/>
      <c r="C68" s="491"/>
      <c r="D68" s="491"/>
      <c r="E68" s="491"/>
      <c r="F68" s="491"/>
      <c r="G68" s="491"/>
      <c r="H68" s="491"/>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7"/>
      <c r="O69" s="1767"/>
      <c r="P69" s="1765"/>
      <c r="Q69" s="1762"/>
      <c r="R69" s="1741"/>
      <c r="S69" s="1741"/>
      <c r="T69" s="1741"/>
      <c r="U69" s="1741"/>
      <c r="V69" s="1741"/>
      <c r="W69" s="1741"/>
      <c r="X69" s="1741"/>
      <c r="Y69" s="1741"/>
      <c r="Z69" s="1741"/>
      <c r="AA69" s="1741"/>
      <c r="AB69" s="1741"/>
      <c r="AC69" s="1741"/>
    </row>
    <row r="70" spans="1:29" s="1132" customFormat="1" ht="15.75"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2" customFormat="1" ht="15.75"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2" customFormat="1" ht="15.75"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2" customFormat="1" ht="15.75" thickBot="1">
      <c r="A73" s="629"/>
      <c r="B73" s="620"/>
      <c r="C73" s="634"/>
      <c r="D73" s="634"/>
      <c r="E73" s="634"/>
      <c r="F73" s="634"/>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2" customFormat="1" ht="15.75"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2" customFormat="1" ht="15.75"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7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75" thickTop="1">
      <c r="A80" s="482"/>
      <c r="B80" s="1554" t="s">
        <v>1837</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75" thickTop="1">
      <c r="A82" s="482"/>
      <c r="B82" s="2055" t="s">
        <v>1838</v>
      </c>
      <c r="C82" s="2056" t="s">
        <v>1839</v>
      </c>
      <c r="D82" s="2056" t="s">
        <v>1840</v>
      </c>
      <c r="E82" s="2056" t="s">
        <v>1841</v>
      </c>
      <c r="F82" s="2056" t="s">
        <v>1842</v>
      </c>
      <c r="G82" s="2056" t="s">
        <v>1843</v>
      </c>
      <c r="H82" s="616"/>
      <c r="I82" s="616"/>
      <c r="J82" s="616"/>
      <c r="K82" s="616"/>
      <c r="L82" s="616"/>
      <c r="M82" s="2059"/>
      <c r="N82" s="1767"/>
      <c r="O82" s="1767"/>
      <c r="P82" s="1765"/>
      <c r="Q82" s="1762"/>
      <c r="R82" s="1741"/>
      <c r="S82" s="1741"/>
      <c r="T82" s="1741"/>
      <c r="U82" s="1741"/>
      <c r="V82" s="1741"/>
      <c r="W82" s="1741"/>
      <c r="X82" s="1741"/>
      <c r="Y82" s="1741"/>
      <c r="Z82" s="1741"/>
      <c r="AA82" s="1741"/>
      <c r="AB82" s="1741"/>
      <c r="AC82" s="1741"/>
    </row>
    <row r="83" spans="1:29" ht="15.75" thickBot="1">
      <c r="A83" s="482"/>
      <c r="B83" s="623"/>
      <c r="C83" s="621">
        <v>100</v>
      </c>
      <c r="D83" s="621">
        <f>C83-$K21</f>
        <v>100</v>
      </c>
      <c r="E83" s="621">
        <f>D83-$K21</f>
        <v>100</v>
      </c>
      <c r="F83" s="621">
        <f>E83-$K21</f>
        <v>100</v>
      </c>
      <c r="G83" s="621">
        <f>F83-$K21</f>
        <v>100</v>
      </c>
      <c r="H83" s="854"/>
      <c r="I83" s="854"/>
      <c r="J83" s="854"/>
      <c r="K83" s="854"/>
      <c r="L83" s="854"/>
      <c r="M83" s="509"/>
      <c r="N83" s="1767"/>
      <c r="O83" s="1767"/>
      <c r="P83" s="1765"/>
      <c r="Q83" s="1762"/>
      <c r="R83" s="1741"/>
      <c r="S83" s="1741"/>
      <c r="T83" s="1741"/>
      <c r="U83" s="1741"/>
      <c r="V83" s="1741"/>
      <c r="W83" s="1741"/>
      <c r="X83" s="1741"/>
      <c r="Y83" s="1741"/>
      <c r="Z83" s="1741"/>
      <c r="AA83" s="1741"/>
      <c r="AB83" s="1741"/>
      <c r="AC83" s="1741"/>
    </row>
    <row r="84" spans="1:29" ht="15.7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58" customFormat="1" ht="15.75" thickTop="1">
      <c r="A86" s="486"/>
      <c r="B86" s="1554" t="s">
        <v>1614</v>
      </c>
      <c r="C86" s="630"/>
      <c r="D86" s="630"/>
      <c r="E86" s="630"/>
      <c r="F86" s="630"/>
      <c r="G86" s="630"/>
      <c r="H86" s="630"/>
      <c r="I86" s="630"/>
      <c r="J86" s="630"/>
      <c r="K86" s="630"/>
      <c r="L86" s="813"/>
      <c r="M86" s="814"/>
      <c r="N86" s="1765"/>
      <c r="O86" s="1765"/>
      <c r="P86" s="1765"/>
      <c r="Q86" s="1762"/>
      <c r="R86" s="1639"/>
      <c r="S86" s="1639"/>
      <c r="T86" s="1639"/>
      <c r="U86" s="1639"/>
      <c r="V86" s="1639"/>
      <c r="W86" s="1639"/>
      <c r="X86" s="1639"/>
      <c r="Y86" s="1639"/>
      <c r="Z86" s="1639"/>
      <c r="AA86" s="1639"/>
      <c r="AB86" s="1639"/>
      <c r="AC86" s="1639"/>
    </row>
    <row r="87" spans="1:29" s="1058"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58" customFormat="1" ht="15.75" thickTop="1">
      <c r="A88" s="486"/>
      <c r="B88" s="615" t="s">
        <v>686</v>
      </c>
      <c r="C88" s="630"/>
      <c r="D88" s="630"/>
      <c r="E88" s="630"/>
      <c r="F88" s="815"/>
      <c r="G88" s="630"/>
      <c r="H88" s="630"/>
      <c r="I88" s="630"/>
      <c r="J88" s="630"/>
      <c r="K88" s="630"/>
      <c r="L88" s="630"/>
      <c r="M88" s="814"/>
      <c r="N88" s="1765"/>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639"/>
      <c r="S89" s="1639"/>
      <c r="T89" s="1639"/>
      <c r="U89" s="1639"/>
      <c r="V89" s="1639"/>
      <c r="W89" s="1639"/>
      <c r="X89" s="1639"/>
      <c r="Y89" s="1639"/>
      <c r="Z89" s="1639"/>
      <c r="AA89" s="1639"/>
      <c r="AB89" s="1639"/>
      <c r="AC89" s="1639"/>
    </row>
    <row r="90" spans="1:29" s="1132" customFormat="1" ht="15.75" thickTop="1">
      <c r="A90" s="629"/>
      <c r="B90" s="615" t="str">
        <f>B27</f>
        <v>道路级别</v>
      </c>
      <c r="C90" s="630"/>
      <c r="D90" s="630"/>
      <c r="E90" s="630"/>
      <c r="F90" s="630"/>
      <c r="G90" s="630"/>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2" customFormat="1" ht="15.75" thickBot="1">
      <c r="A91" s="629"/>
      <c r="B91" s="620"/>
      <c r="C91" s="634"/>
      <c r="D91" s="634"/>
      <c r="E91" s="634"/>
      <c r="F91" s="634"/>
      <c r="G91" s="634"/>
      <c r="H91" s="635"/>
      <c r="I91" s="635"/>
      <c r="J91" s="635"/>
      <c r="K91" s="635"/>
      <c r="L91" s="635"/>
      <c r="M91" s="636"/>
      <c r="N91" s="1768"/>
      <c r="O91" s="1768"/>
      <c r="P91" s="1768"/>
      <c r="Q91" s="1769"/>
      <c r="R91" s="1770"/>
      <c r="S91" s="1770"/>
      <c r="T91" s="1770"/>
      <c r="U91" s="1770"/>
      <c r="V91" s="1770"/>
      <c r="W91" s="1770"/>
      <c r="X91" s="1770"/>
      <c r="Y91" s="1770"/>
      <c r="Z91" s="1770"/>
      <c r="AA91" s="1770"/>
      <c r="AB91" s="1770"/>
      <c r="AC91" s="1770"/>
    </row>
    <row r="92" spans="1:29" ht="15.75" thickTop="1">
      <c r="A92" s="482"/>
      <c r="B92" s="615">
        <f>B28</f>
        <v>111</v>
      </c>
      <c r="C92" s="630"/>
      <c r="D92" s="630"/>
      <c r="E92" s="630"/>
      <c r="F92" s="630"/>
      <c r="G92" s="658"/>
      <c r="H92" s="658"/>
      <c r="I92" s="658"/>
      <c r="J92" s="658"/>
      <c r="K92" s="659"/>
      <c r="L92" s="660"/>
      <c r="M92" s="661"/>
      <c r="N92" s="1766"/>
      <c r="O92" s="1766"/>
      <c r="P92" s="1765"/>
      <c r="Q92" s="1762"/>
      <c r="R92" s="1741"/>
      <c r="S92" s="1741"/>
      <c r="T92" s="1741"/>
      <c r="U92" s="1741"/>
      <c r="V92" s="1741"/>
      <c r="W92" s="1741"/>
      <c r="X92" s="1741"/>
      <c r="Y92" s="1741"/>
      <c r="Z92" s="1741"/>
      <c r="AA92" s="1741"/>
      <c r="AB92" s="1741"/>
      <c r="AC92" s="1741"/>
    </row>
    <row r="93" spans="1:29" ht="15.75" thickBot="1">
      <c r="A93" s="482"/>
      <c r="B93" s="620"/>
      <c r="C93" s="634"/>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5.75"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5.75" thickBot="1">
      <c r="A95" s="482"/>
      <c r="B95" s="620"/>
      <c r="C95" s="634"/>
      <c r="D95" s="634"/>
      <c r="E95" s="634"/>
      <c r="F95" s="634"/>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5.75"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5.75" thickBot="1">
      <c r="A97" s="482"/>
      <c r="B97" s="620"/>
      <c r="C97" s="642"/>
      <c r="D97" s="642"/>
      <c r="E97" s="642"/>
      <c r="F97" s="642"/>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5.75" thickTop="1">
      <c r="A98" s="482"/>
      <c r="B98" s="623">
        <f>B31</f>
        <v>111</v>
      </c>
      <c r="C98" s="662"/>
      <c r="D98" s="662"/>
      <c r="E98" s="662"/>
      <c r="F98" s="662"/>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5.75" thickBot="1">
      <c r="A99" s="493"/>
      <c r="B99" s="641"/>
      <c r="C99" s="666"/>
      <c r="D99" s="666"/>
      <c r="E99" s="666"/>
      <c r="F99" s="666"/>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c r="A100" s="607" t="s">
        <v>500</v>
      </c>
      <c r="B100" s="608" t="s">
        <v>687</v>
      </c>
      <c r="C100" s="547"/>
      <c r="D100" s="547"/>
      <c r="E100" s="547"/>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2" customFormat="1">
      <c r="A103" s="552"/>
      <c r="B103" s="668"/>
      <c r="C103" s="79"/>
      <c r="D103" s="79"/>
      <c r="E103" s="79"/>
      <c r="F103" s="79"/>
      <c r="G103" s="79"/>
      <c r="H103" s="79"/>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9"/>
      <c r="B104" s="620"/>
      <c r="C104" s="634"/>
      <c r="D104" s="613"/>
      <c r="E104" s="613"/>
      <c r="F104" s="613"/>
      <c r="G104" s="613"/>
      <c r="H104" s="613"/>
      <c r="I104" s="613"/>
      <c r="J104" s="613"/>
      <c r="K104" s="613"/>
      <c r="L104" s="613"/>
      <c r="M104" s="613"/>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630"/>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690</v>
      </c>
      <c r="C107" s="658"/>
      <c r="D107" s="658"/>
      <c r="E107" s="658"/>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691</v>
      </c>
      <c r="C109" s="630"/>
      <c r="D109" s="630"/>
      <c r="E109" s="630"/>
      <c r="F109" s="658"/>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7"/>
      <c r="O110" s="1767"/>
      <c r="P110" s="1765"/>
      <c r="Q110" s="1762"/>
      <c r="R110" s="1741"/>
      <c r="S110" s="1741"/>
      <c r="T110" s="1741"/>
      <c r="U110" s="1741"/>
      <c r="V110" s="1741"/>
      <c r="W110" s="1741"/>
      <c r="X110" s="1741"/>
      <c r="Y110" s="1741"/>
      <c r="Z110" s="1741"/>
      <c r="AA110" s="1741"/>
      <c r="AB110" s="1741"/>
      <c r="AC110" s="1741"/>
    </row>
    <row r="111" spans="1:29" s="1132"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8"/>
      <c r="O111" s="1768"/>
      <c r="P111" s="1768"/>
      <c r="Q111" s="1769"/>
      <c r="R111" s="1770"/>
      <c r="S111" s="1770"/>
      <c r="T111" s="1770"/>
      <c r="U111" s="1770"/>
      <c r="V111" s="1770"/>
      <c r="W111" s="1770"/>
      <c r="X111" s="1770"/>
      <c r="Y111" s="1770"/>
      <c r="Z111" s="1770"/>
      <c r="AA111" s="1770"/>
      <c r="AB111" s="1770"/>
      <c r="AC111" s="1770"/>
    </row>
    <row r="112" spans="1:29" s="1132" customFormat="1">
      <c r="A112" s="552"/>
      <c r="B112" s="623"/>
      <c r="C112" s="816">
        <v>0.5</v>
      </c>
      <c r="D112" s="816">
        <v>0.6</v>
      </c>
      <c r="E112" s="816">
        <v>0.7</v>
      </c>
      <c r="F112" s="816">
        <v>0.8</v>
      </c>
      <c r="G112" s="816">
        <v>0.9</v>
      </c>
      <c r="H112" s="816">
        <v>1.0001</v>
      </c>
      <c r="I112" s="816"/>
      <c r="J112" s="817"/>
      <c r="K112" s="817"/>
      <c r="L112" s="818"/>
      <c r="M112" s="819"/>
      <c r="N112" s="1768"/>
      <c r="O112" s="1768"/>
      <c r="P112" s="1768"/>
      <c r="Q112" s="1769"/>
      <c r="R112" s="1770"/>
      <c r="S112" s="1770"/>
      <c r="T112" s="1770"/>
      <c r="U112" s="1770"/>
      <c r="V112" s="1770"/>
      <c r="W112" s="1770"/>
      <c r="X112" s="1770"/>
      <c r="Y112" s="1770"/>
      <c r="Z112" s="1770"/>
      <c r="AA112" s="1770"/>
      <c r="AB112" s="1770"/>
      <c r="AC112" s="1770"/>
    </row>
    <row r="113" spans="1:29" s="1132"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693</v>
      </c>
      <c r="C114" s="630"/>
      <c r="D114" s="630"/>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1554" t="s">
        <v>1836</v>
      </c>
      <c r="C116" s="630"/>
      <c r="D116" s="630"/>
      <c r="E116" s="630"/>
      <c r="F116" s="630"/>
      <c r="G116" s="630"/>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694</v>
      </c>
      <c r="C118" s="658"/>
      <c r="D118" s="658"/>
      <c r="E118" s="658"/>
      <c r="F118" s="658"/>
      <c r="G118" s="658"/>
      <c r="H118" s="658"/>
      <c r="I118" s="658"/>
      <c r="J118" s="658"/>
      <c r="K118" s="659"/>
      <c r="L118" s="660"/>
      <c r="M118" s="661"/>
      <c r="N118" s="1766"/>
      <c r="O118" s="1766"/>
      <c r="P118" s="1765"/>
      <c r="Q118" s="1762"/>
      <c r="R118" s="1741"/>
      <c r="S118" s="1741"/>
      <c r="T118" s="1741"/>
      <c r="U118" s="1741"/>
      <c r="V118" s="1741"/>
      <c r="W118" s="1741"/>
      <c r="X118" s="1741"/>
      <c r="Y118" s="1741"/>
      <c r="Z118" s="1741"/>
      <c r="AA118" s="1741"/>
      <c r="AB118" s="1741"/>
      <c r="AC118" s="1741"/>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7"/>
      <c r="O119" s="1767"/>
      <c r="P119" s="1765"/>
      <c r="Q119" s="1762"/>
      <c r="R119" s="1741"/>
      <c r="S119" s="1741"/>
      <c r="T119" s="1741"/>
      <c r="U119" s="1741"/>
      <c r="V119" s="1741"/>
      <c r="W119" s="1741"/>
      <c r="X119" s="1741"/>
      <c r="Y119" s="1741"/>
      <c r="Z119" s="1741"/>
      <c r="AA119" s="1741"/>
      <c r="AB119" s="1741"/>
      <c r="AC119" s="1741"/>
    </row>
    <row r="120" spans="1:29" s="1132" customFormat="1" ht="28.5" thickTop="1">
      <c r="A120" s="552"/>
      <c r="B120" s="615" t="s">
        <v>680</v>
      </c>
      <c r="C120" s="630"/>
      <c r="D120" s="630"/>
      <c r="E120" s="630"/>
      <c r="F120" s="630"/>
      <c r="G120" s="630"/>
      <c r="H120" s="630"/>
      <c r="I120" s="630"/>
      <c r="J120" s="630"/>
      <c r="K120" s="630"/>
      <c r="L120" s="813"/>
      <c r="M120" s="814"/>
      <c r="N120" s="1768"/>
      <c r="O120" s="1768"/>
      <c r="P120" s="1768"/>
      <c r="Q120" s="1769"/>
      <c r="R120" s="1770"/>
      <c r="S120" s="1770"/>
      <c r="T120" s="1770"/>
      <c r="U120" s="1770"/>
      <c r="V120" s="1770"/>
      <c r="W120" s="1770"/>
      <c r="X120" s="1770"/>
      <c r="Y120" s="1770"/>
      <c r="Z120" s="1770"/>
      <c r="AA120" s="1770"/>
      <c r="AB120" s="1770"/>
      <c r="AC120" s="1770"/>
    </row>
    <row r="121" spans="1:29" s="1132" customFormat="1" ht="15.75" thickBot="1">
      <c r="A121" s="629"/>
      <c r="B121" s="612"/>
      <c r="C121" s="634"/>
      <c r="D121" s="613"/>
      <c r="E121" s="613"/>
      <c r="F121" s="613"/>
      <c r="G121" s="613"/>
      <c r="H121" s="613"/>
      <c r="I121" s="613"/>
      <c r="J121" s="613"/>
      <c r="K121" s="613"/>
      <c r="L121" s="613"/>
      <c r="M121" s="613"/>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2" customFormat="1" ht="15" thickTop="1">
      <c r="A126" s="552"/>
      <c r="B126" s="615">
        <f>B44</f>
        <v>111</v>
      </c>
      <c r="C126" s="630"/>
      <c r="D126" s="630"/>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2" customFormat="1" ht="15.75" thickBot="1">
      <c r="A127" s="629"/>
      <c r="B127" s="620"/>
      <c r="C127" s="634"/>
      <c r="D127" s="613"/>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5"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5.75"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5"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5.75"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1615</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576" t="s">
        <v>1616</v>
      </c>
      <c r="C137" s="1577"/>
      <c r="D137" s="1577"/>
      <c r="E137" s="1577"/>
      <c r="F137" s="1577"/>
      <c r="G137" s="1578"/>
      <c r="H137" s="1579"/>
      <c r="I137" s="1580" t="s">
        <v>1617</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582"/>
      <c r="C138" s="1583" t="s">
        <v>1618</v>
      </c>
      <c r="D138" s="1583" t="s">
        <v>1619</v>
      </c>
      <c r="E138" s="1584" t="s">
        <v>1620</v>
      </c>
      <c r="F138" s="1585" t="s">
        <v>1621</v>
      </c>
      <c r="G138" s="1583" t="s">
        <v>1622</v>
      </c>
      <c r="H138" s="1586" t="s">
        <v>1623</v>
      </c>
      <c r="I138" s="1587"/>
      <c r="J138" s="1583" t="s">
        <v>1624</v>
      </c>
      <c r="K138" s="1586" t="s">
        <v>1625</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1626</v>
      </c>
      <c r="E139" s="1557">
        <v>100</v>
      </c>
      <c r="F139" s="1558">
        <v>102.5</v>
      </c>
      <c r="G139" s="1588" t="s">
        <v>1627</v>
      </c>
      <c r="H139" s="1559">
        <v>105</v>
      </c>
      <c r="I139" s="1589" t="s">
        <v>1628</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
      <c r="A140" s="1778"/>
      <c r="B140" s="1561">
        <v>5</v>
      </c>
      <c r="C140" s="1562">
        <v>100</v>
      </c>
      <c r="D140" s="1590"/>
      <c r="E140" s="1563"/>
      <c r="F140" s="1564">
        <v>102</v>
      </c>
      <c r="G140" s="1590"/>
      <c r="H140" s="1565"/>
      <c r="I140" s="1591" t="s">
        <v>1629</v>
      </c>
      <c r="J140" s="778">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
      <c r="A141" s="1778"/>
      <c r="B141" s="1561">
        <v>4</v>
      </c>
      <c r="C141" s="1562">
        <v>102</v>
      </c>
      <c r="D141" s="1590"/>
      <c r="E141" s="1563"/>
      <c r="F141" s="1564">
        <v>101.5</v>
      </c>
      <c r="G141" s="1590"/>
      <c r="H141" s="1565"/>
      <c r="I141" s="1591" t="s">
        <v>1630</v>
      </c>
      <c r="J141" s="778">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
      <c r="A142" s="1778"/>
      <c r="B142" s="1561">
        <v>3</v>
      </c>
      <c r="C142" s="1562">
        <v>103</v>
      </c>
      <c r="D142" s="1590"/>
      <c r="E142" s="1563"/>
      <c r="F142" s="1564">
        <v>101</v>
      </c>
      <c r="G142" s="1590"/>
      <c r="H142" s="1565"/>
      <c r="I142" s="1591" t="s">
        <v>1631</v>
      </c>
      <c r="J142" s="778">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
      <c r="A143" s="1778"/>
      <c r="B143" s="1561">
        <v>2</v>
      </c>
      <c r="C143" s="1562">
        <v>100</v>
      </c>
      <c r="D143" s="1590"/>
      <c r="E143" s="1563"/>
      <c r="F143" s="1564">
        <v>100.5</v>
      </c>
      <c r="G143" s="1590"/>
      <c r="H143" s="1565"/>
      <c r="I143" s="1591" t="s">
        <v>1632</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1633</v>
      </c>
      <c r="E144" s="1563">
        <v>102</v>
      </c>
      <c r="F144" s="1569">
        <v>100</v>
      </c>
      <c r="G144" s="1592" t="s">
        <v>1633</v>
      </c>
      <c r="H144" s="1565">
        <v>105</v>
      </c>
      <c r="I144" s="1591" t="s">
        <v>1632</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5.75" thickBot="1">
      <c r="A145" s="1778"/>
      <c r="B145" s="1593" t="s">
        <v>1634</v>
      </c>
      <c r="C145" s="1570">
        <f>ROUND(MAX(C139:C144)/MIN(C139:C144)-1,3)</f>
        <v>7.2999999999999995E-2</v>
      </c>
      <c r="D145" s="1594"/>
      <c r="E145" s="1594"/>
      <c r="F145" s="1595" t="s">
        <v>1635</v>
      </c>
      <c r="G145" s="1596"/>
      <c r="H145" s="1597"/>
      <c r="I145" s="1598" t="s">
        <v>1632</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617" t="s">
        <v>1643</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617" t="s">
        <v>1644</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H49" sqref="H49"/>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454" t="s">
        <v>697</v>
      </c>
      <c r="C1" s="455" t="s">
        <v>667</v>
      </c>
      <c r="D1" s="1932"/>
      <c r="E1" s="457"/>
      <c r="F1" s="2117"/>
      <c r="G1" s="1327" t="s">
        <v>668</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782"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468</v>
      </c>
      <c r="B3" s="461" t="e">
        <f>C49</f>
        <v>#DIV/0!</v>
      </c>
      <c r="C3" s="784" t="s">
        <v>669</v>
      </c>
      <c r="D3" s="783">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5">
      <c r="A4" s="463" t="s">
        <v>470</v>
      </c>
      <c r="B4" s="464"/>
      <c r="C4" s="3732" t="s">
        <v>471</v>
      </c>
      <c r="D4" s="3733"/>
      <c r="E4" s="3769" t="s">
        <v>472</v>
      </c>
      <c r="F4" s="3770"/>
      <c r="G4" s="3732" t="s">
        <v>473</v>
      </c>
      <c r="H4" s="3733"/>
      <c r="I4" s="3732" t="s">
        <v>474</v>
      </c>
      <c r="J4" s="3733"/>
      <c r="K4" s="465" t="s">
        <v>475</v>
      </c>
      <c r="L4" s="1740"/>
      <c r="M4" s="1741"/>
      <c r="N4" s="1741"/>
      <c r="O4" s="1741"/>
      <c r="P4" s="3734" t="s">
        <v>476</v>
      </c>
      <c r="Q4" s="3735"/>
      <c r="R4" s="3718" t="s">
        <v>472</v>
      </c>
      <c r="S4" s="3719"/>
      <c r="T4" s="3718" t="s">
        <v>473</v>
      </c>
      <c r="U4" s="3719"/>
      <c r="V4" s="3740" t="s">
        <v>474</v>
      </c>
      <c r="W4" s="3740"/>
      <c r="X4" s="1301"/>
      <c r="Y4" s="3718" t="s">
        <v>476</v>
      </c>
      <c r="Z4" s="3719"/>
      <c r="AA4" s="3713" t="s">
        <v>472</v>
      </c>
      <c r="AB4" s="3740" t="s">
        <v>473</v>
      </c>
      <c r="AC4" s="3713" t="s">
        <v>474</v>
      </c>
    </row>
    <row r="5" spans="1:29" ht="15">
      <c r="A5" s="466"/>
      <c r="B5" s="467"/>
      <c r="C5" s="3743" t="s">
        <v>2186</v>
      </c>
      <c r="D5" s="3744"/>
      <c r="E5" s="3771" t="s">
        <v>2187</v>
      </c>
      <c r="F5" s="3772"/>
      <c r="G5" s="3743" t="s">
        <v>2188</v>
      </c>
      <c r="H5" s="3744"/>
      <c r="I5" s="3743" t="s">
        <v>2189</v>
      </c>
      <c r="J5" s="3744"/>
      <c r="K5" s="465"/>
      <c r="L5" s="1740"/>
      <c r="M5" s="1741"/>
      <c r="N5" s="1741"/>
      <c r="O5" s="1741"/>
      <c r="P5" s="3736"/>
      <c r="Q5" s="3737"/>
      <c r="R5" s="3720"/>
      <c r="S5" s="3721"/>
      <c r="T5" s="3720"/>
      <c r="U5" s="3721"/>
      <c r="V5" s="3740"/>
      <c r="W5" s="3740"/>
      <c r="X5" s="1301"/>
      <c r="Y5" s="3720"/>
      <c r="Z5" s="3721"/>
      <c r="AA5" s="3714"/>
      <c r="AB5" s="3740"/>
      <c r="AC5" s="3714"/>
    </row>
    <row r="6" spans="1:29" ht="15.75" thickBot="1">
      <c r="A6" s="468"/>
      <c r="B6" s="469"/>
      <c r="C6" s="3741" t="s">
        <v>2190</v>
      </c>
      <c r="D6" s="3742"/>
      <c r="E6" s="3773" t="s">
        <v>2190</v>
      </c>
      <c r="F6" s="3774"/>
      <c r="G6" s="3741" t="s">
        <v>2190</v>
      </c>
      <c r="H6" s="3742"/>
      <c r="I6" s="3741" t="s">
        <v>2190</v>
      </c>
      <c r="J6" s="3742"/>
      <c r="K6" s="465" t="s">
        <v>477</v>
      </c>
      <c r="L6" s="1740"/>
      <c r="M6" s="1741"/>
      <c r="N6" s="1741"/>
      <c r="O6" s="1741"/>
      <c r="P6" s="3738"/>
      <c r="Q6" s="3739"/>
      <c r="R6" s="3720"/>
      <c r="S6" s="3721"/>
      <c r="T6" s="3722"/>
      <c r="U6" s="3723"/>
      <c r="V6" s="3740"/>
      <c r="W6" s="3740"/>
      <c r="X6" s="1301"/>
      <c r="Y6" s="3722"/>
      <c r="Z6" s="3723"/>
      <c r="AA6" s="3715"/>
      <c r="AB6" s="3740"/>
      <c r="AC6" s="3715"/>
    </row>
    <row r="7" spans="1:29" s="1058" customFormat="1" ht="15.75" thickBot="1">
      <c r="A7" s="2208"/>
      <c r="B7" s="2215" t="s">
        <v>478</v>
      </c>
      <c r="C7" s="470">
        <f>'数据-取费表'!B2</f>
        <v>45196</v>
      </c>
      <c r="D7" s="471">
        <v>100</v>
      </c>
      <c r="E7" s="472"/>
      <c r="F7" s="473">
        <f>SUMIF(58:58,YEAR(E7)&amp;"-"&amp;MONTH(E7),59:59)</f>
        <v>0</v>
      </c>
      <c r="G7" s="472"/>
      <c r="H7" s="471">
        <f>SUMIF(58:58,YEAR(G7)&amp;"-"&amp;MONTH(G7),59:59)</f>
        <v>0</v>
      </c>
      <c r="I7" s="472"/>
      <c r="J7" s="471">
        <f>SUMIF(58:58,YEAR(I7)&amp;"-"&amp;MONTH(I7),59:59)</f>
        <v>0</v>
      </c>
      <c r="K7" s="88"/>
      <c r="L7" s="1742"/>
      <c r="M7" s="1639"/>
      <c r="N7" s="1639"/>
      <c r="O7" s="1639"/>
      <c r="P7" s="3716" t="s">
        <v>479</v>
      </c>
      <c r="Q7" s="3725"/>
      <c r="R7" s="1302" t="s">
        <v>5</v>
      </c>
      <c r="S7" s="1303">
        <f t="shared" ref="S7:S15" si="0">F7</f>
        <v>0</v>
      </c>
      <c r="T7" s="1302" t="s">
        <v>5</v>
      </c>
      <c r="U7" s="1303">
        <f t="shared" ref="U7:U15" si="1">H7</f>
        <v>0</v>
      </c>
      <c r="V7" s="1302" t="s">
        <v>5</v>
      </c>
      <c r="W7" s="1303">
        <f t="shared" ref="W7:W15" si="2">J7</f>
        <v>0</v>
      </c>
      <c r="X7" s="1304"/>
      <c r="Y7" s="3716" t="s">
        <v>479</v>
      </c>
      <c r="Z7" s="3717"/>
      <c r="AA7" s="995" t="e">
        <f>D7/F7</f>
        <v>#DIV/0!</v>
      </c>
      <c r="AB7" s="995" t="e">
        <f>D7/H7</f>
        <v>#DIV/0!</v>
      </c>
      <c r="AC7" s="995" t="e">
        <f>D7/J7</f>
        <v>#DIV/0!</v>
      </c>
    </row>
    <row r="8" spans="1:29" s="1058" customFormat="1" ht="15.7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2"/>
      <c r="M8" s="1639"/>
      <c r="N8" s="1639"/>
      <c r="O8" s="1639"/>
      <c r="P8" s="3716" t="s">
        <v>482</v>
      </c>
      <c r="Q8" s="3717"/>
      <c r="R8" s="1302" t="s">
        <v>5</v>
      </c>
      <c r="S8" s="1303">
        <f t="shared" si="0"/>
        <v>0</v>
      </c>
      <c r="T8" s="1302" t="s">
        <v>5</v>
      </c>
      <c r="U8" s="1303">
        <f t="shared" si="1"/>
        <v>0</v>
      </c>
      <c r="V8" s="1302" t="s">
        <v>5</v>
      </c>
      <c r="W8" s="1303">
        <f t="shared" si="2"/>
        <v>0</v>
      </c>
      <c r="X8" s="1304"/>
      <c r="Y8" s="3716" t="s">
        <v>482</v>
      </c>
      <c r="Z8" s="3717"/>
      <c r="AA8" s="995" t="e">
        <f t="shared" ref="AA8:AA46" si="3">D8/F8</f>
        <v>#DIV/0!</v>
      </c>
      <c r="AB8" s="995" t="e">
        <f t="shared" ref="AB8:AB46" si="4">D8/H8</f>
        <v>#DIV/0!</v>
      </c>
      <c r="AC8" s="995" t="e">
        <f t="shared" ref="AC8:AC46" si="5">D8/J8</f>
        <v>#DIV/0!</v>
      </c>
    </row>
    <row r="9" spans="1:29" s="1058" customFormat="1" ht="15">
      <c r="A9" s="2210"/>
      <c r="B9" s="2217" t="s">
        <v>2035</v>
      </c>
      <c r="C9" s="789"/>
      <c r="D9" s="154">
        <v>100</v>
      </c>
      <c r="E9" s="791"/>
      <c r="F9" s="154">
        <f>SUMIF(63:63,E9,64:64)-SUMIF(63:63,C9,64:64)+100</f>
        <v>100</v>
      </c>
      <c r="G9" s="790"/>
      <c r="H9" s="154">
        <f>SUMIF(63:63,G9,64:64)-SUMIF(63:63,C9,64:64)+100</f>
        <v>100</v>
      </c>
      <c r="I9" s="790"/>
      <c r="J9" s="154">
        <f>SUMIF(63:63,I9,64:64)-SUMIF(63:63,C9,64:64)+100</f>
        <v>100</v>
      </c>
      <c r="K9" s="88"/>
      <c r="L9" s="1742"/>
      <c r="M9" s="1639"/>
      <c r="N9" s="1639"/>
      <c r="O9" s="1743"/>
      <c r="P9" s="3724" t="s">
        <v>484</v>
      </c>
      <c r="Q9" s="816" t="str">
        <f t="shared" ref="Q9:Q15" si="6">B9</f>
        <v>用途</v>
      </c>
      <c r="R9" s="1302" t="s">
        <v>5</v>
      </c>
      <c r="S9" s="1303">
        <f t="shared" si="0"/>
        <v>100</v>
      </c>
      <c r="T9" s="1302" t="s">
        <v>5</v>
      </c>
      <c r="U9" s="1303">
        <f t="shared" si="1"/>
        <v>100</v>
      </c>
      <c r="V9" s="1302" t="s">
        <v>5</v>
      </c>
      <c r="W9" s="1303">
        <f t="shared" si="2"/>
        <v>100</v>
      </c>
      <c r="X9" s="1304"/>
      <c r="Y9" s="3672" t="s">
        <v>485</v>
      </c>
      <c r="Z9" s="995" t="str">
        <f t="shared" ref="Z9:Z15" si="7">Q9</f>
        <v>用途</v>
      </c>
      <c r="AA9" s="995">
        <f t="shared" si="3"/>
        <v>1</v>
      </c>
      <c r="AB9" s="995">
        <f t="shared" si="4"/>
        <v>1</v>
      </c>
      <c r="AC9" s="995">
        <f t="shared" si="5"/>
        <v>1</v>
      </c>
    </row>
    <row r="10" spans="1:29" s="1131" customFormat="1" ht="27">
      <c r="A10" s="2211"/>
      <c r="B10" s="2216" t="s">
        <v>2036</v>
      </c>
      <c r="C10" s="3386"/>
      <c r="D10" s="235">
        <v>100</v>
      </c>
      <c r="E10" s="3386"/>
      <c r="F10" s="235">
        <f>SUMIF(65:65,E10,66:66)-SUMIF(65:65,C10,66:66)+100</f>
        <v>100</v>
      </c>
      <c r="G10" s="3387"/>
      <c r="H10" s="235">
        <f>SUMIF(65:65,G10,66:66)-SUMIF(65:65,C10,66:66)+100</f>
        <v>100</v>
      </c>
      <c r="I10" s="3386"/>
      <c r="J10" s="235">
        <f>SUMIF(65:65,I10,66:66)-SUMIF(65:65,C10,66:66)+100</f>
        <v>100</v>
      </c>
      <c r="K10" s="88"/>
      <c r="L10" s="1744"/>
      <c r="M10" s="1777"/>
      <c r="N10" s="1777"/>
      <c r="O10" s="1745"/>
      <c r="P10" s="3724"/>
      <c r="Q10" s="816" t="str">
        <f t="shared" si="6"/>
        <v>土地使用年限（年）</v>
      </c>
      <c r="R10" s="1302" t="s">
        <v>5</v>
      </c>
      <c r="S10" s="1303">
        <f t="shared" si="0"/>
        <v>100</v>
      </c>
      <c r="T10" s="1302" t="s">
        <v>5</v>
      </c>
      <c r="U10" s="1303">
        <f t="shared" si="1"/>
        <v>100</v>
      </c>
      <c r="V10" s="1302" t="s">
        <v>5</v>
      </c>
      <c r="W10" s="1303">
        <f t="shared" si="2"/>
        <v>100</v>
      </c>
      <c r="X10" s="1304"/>
      <c r="Y10" s="3672"/>
      <c r="Z10" s="995" t="str">
        <f t="shared" si="7"/>
        <v>土地使用年限（年）</v>
      </c>
      <c r="AA10" s="995">
        <f t="shared" si="3"/>
        <v>1</v>
      </c>
      <c r="AB10" s="995">
        <f t="shared" si="4"/>
        <v>1</v>
      </c>
      <c r="AC10" s="995">
        <f t="shared" si="5"/>
        <v>1</v>
      </c>
    </row>
    <row r="11" spans="1:29" ht="15">
      <c r="A11" s="2212"/>
      <c r="B11" s="2216" t="s">
        <v>2037</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6"/>
      <c r="M11" s="1741"/>
      <c r="N11" s="1741"/>
      <c r="O11" s="1747"/>
      <c r="P11" s="3724"/>
      <c r="Q11" s="816" t="str">
        <f t="shared" si="6"/>
        <v>容积率</v>
      </c>
      <c r="R11" s="1302" t="s">
        <v>5</v>
      </c>
      <c r="S11" s="1303" t="e">
        <f t="shared" si="0"/>
        <v>#N/A</v>
      </c>
      <c r="T11" s="1302" t="s">
        <v>5</v>
      </c>
      <c r="U11" s="1303" t="e">
        <f t="shared" si="1"/>
        <v>#N/A</v>
      </c>
      <c r="V11" s="1302" t="s">
        <v>5</v>
      </c>
      <c r="W11" s="1303" t="e">
        <f t="shared" si="2"/>
        <v>#N/A</v>
      </c>
      <c r="X11" s="1304"/>
      <c r="Y11" s="3672"/>
      <c r="Z11" s="995" t="str">
        <f t="shared" si="7"/>
        <v>容积率</v>
      </c>
      <c r="AA11" s="995" t="e">
        <f t="shared" si="3"/>
        <v>#N/A</v>
      </c>
      <c r="AB11" s="995" t="e">
        <f t="shared" si="4"/>
        <v>#N/A</v>
      </c>
      <c r="AC11" s="995" t="e">
        <f t="shared" si="5"/>
        <v>#N/A</v>
      </c>
    </row>
    <row r="12" spans="1:29" s="1058" customFormat="1" ht="15">
      <c r="A12" s="2213"/>
      <c r="B12" s="2219">
        <v>111</v>
      </c>
      <c r="C12" s="478"/>
      <c r="D12" s="488">
        <v>100</v>
      </c>
      <c r="E12" s="489"/>
      <c r="F12" s="235">
        <f>SUMIF(70:70,E12,71:71)-SUMIF(70:70,C12,71:71)+100</f>
        <v>100</v>
      </c>
      <c r="G12" s="833"/>
      <c r="H12" s="235">
        <f>SUMIF(70:70,G12,71:71)-SUMIF(70:70,C12,71:71)+100</f>
        <v>100</v>
      </c>
      <c r="I12" s="489"/>
      <c r="J12" s="235">
        <f>SUMIF(70:70,I12,71:71)-SUMIF(70:70,C12,71:71)+100</f>
        <v>100</v>
      </c>
      <c r="K12" s="531"/>
      <c r="L12" s="1742"/>
      <c r="M12" s="1639"/>
      <c r="N12" s="1639"/>
      <c r="O12" s="1743"/>
      <c r="P12" s="3724"/>
      <c r="Q12" s="816">
        <f t="shared" si="6"/>
        <v>111</v>
      </c>
      <c r="R12" s="1302" t="s">
        <v>5</v>
      </c>
      <c r="S12" s="1303">
        <f t="shared" si="0"/>
        <v>100</v>
      </c>
      <c r="T12" s="1302" t="s">
        <v>5</v>
      </c>
      <c r="U12" s="1303">
        <f t="shared" si="1"/>
        <v>100</v>
      </c>
      <c r="V12" s="1302" t="s">
        <v>5</v>
      </c>
      <c r="W12" s="1303">
        <f t="shared" si="2"/>
        <v>100</v>
      </c>
      <c r="X12" s="1304"/>
      <c r="Y12" s="3672"/>
      <c r="Z12" s="995">
        <f t="shared" si="7"/>
        <v>111</v>
      </c>
      <c r="AA12" s="995">
        <f>D12/F12</f>
        <v>1</v>
      </c>
      <c r="AB12" s="995">
        <f>D12/H12</f>
        <v>1</v>
      </c>
      <c r="AC12" s="995">
        <f>D12/J12</f>
        <v>1</v>
      </c>
    </row>
    <row r="13" spans="1:29" ht="15">
      <c r="A13" s="2213"/>
      <c r="B13" s="2219">
        <v>111</v>
      </c>
      <c r="C13" s="489"/>
      <c r="D13" s="490">
        <v>100</v>
      </c>
      <c r="E13" s="489"/>
      <c r="F13" s="235">
        <f>SUMIF(72:72,E13,73:73)-SUMIF(72:72,C13,73:73)+100</f>
        <v>100</v>
      </c>
      <c r="G13" s="833"/>
      <c r="H13" s="490">
        <f>SUMIF(72:72,G13,73:73)-SUMIF(72:72,C13,73:73)+100</f>
        <v>100</v>
      </c>
      <c r="I13" s="489"/>
      <c r="J13" s="490">
        <f>SUMIF(72:72,I13,73:73)-SUMIF(72:72,C13,73:73)+100</f>
        <v>100</v>
      </c>
      <c r="K13" s="531"/>
      <c r="L13" s="1748"/>
      <c r="M13" s="1741"/>
      <c r="N13" s="1741"/>
      <c r="O13" s="1747"/>
      <c r="P13" s="3724"/>
      <c r="Q13" s="816">
        <f t="shared" si="6"/>
        <v>111</v>
      </c>
      <c r="R13" s="1302" t="s">
        <v>5</v>
      </c>
      <c r="S13" s="1303">
        <f t="shared" si="0"/>
        <v>100</v>
      </c>
      <c r="T13" s="1302" t="s">
        <v>5</v>
      </c>
      <c r="U13" s="1303">
        <f t="shared" si="1"/>
        <v>100</v>
      </c>
      <c r="V13" s="1302" t="s">
        <v>5</v>
      </c>
      <c r="W13" s="1303">
        <f t="shared" si="2"/>
        <v>100</v>
      </c>
      <c r="X13" s="1304"/>
      <c r="Y13" s="3672"/>
      <c r="Z13" s="995">
        <f t="shared" si="7"/>
        <v>111</v>
      </c>
      <c r="AA13" s="995">
        <f t="shared" si="3"/>
        <v>1</v>
      </c>
      <c r="AB13" s="995">
        <f t="shared" si="4"/>
        <v>1</v>
      </c>
      <c r="AC13" s="995">
        <f t="shared" si="5"/>
        <v>1</v>
      </c>
    </row>
    <row r="14" spans="1:29" ht="15.75" thickBot="1">
      <c r="A14" s="2214"/>
      <c r="B14" s="2220">
        <v>111</v>
      </c>
      <c r="C14" s="495"/>
      <c r="D14" s="496">
        <v>100</v>
      </c>
      <c r="E14" s="495"/>
      <c r="F14" s="496">
        <f>SUMIF(74:74,E14,75:75)-SUMIF(74:74,C14,75:75)+100</f>
        <v>100</v>
      </c>
      <c r="G14" s="833"/>
      <c r="H14" s="496">
        <f>SUMIF(74:74,G14,75:75)-SUMIF(74:74,C14,75:75)+100</f>
        <v>100</v>
      </c>
      <c r="I14" s="489"/>
      <c r="J14" s="496">
        <f>SUMIF(74:74,I14,75:75)-SUMIF(74:74,C14,75:75)+100</f>
        <v>100</v>
      </c>
      <c r="K14" s="531"/>
      <c r="L14" s="1748"/>
      <c r="M14" s="1741"/>
      <c r="N14" s="1741"/>
      <c r="O14" s="1747"/>
      <c r="P14" s="3724"/>
      <c r="Q14" s="816">
        <f t="shared" si="6"/>
        <v>111</v>
      </c>
      <c r="R14" s="1302" t="s">
        <v>5</v>
      </c>
      <c r="S14" s="1303">
        <f t="shared" si="0"/>
        <v>100</v>
      </c>
      <c r="T14" s="1302" t="s">
        <v>5</v>
      </c>
      <c r="U14" s="1303">
        <f t="shared" si="1"/>
        <v>100</v>
      </c>
      <c r="V14" s="1302" t="s">
        <v>5</v>
      </c>
      <c r="W14" s="1303">
        <f t="shared" si="2"/>
        <v>100</v>
      </c>
      <c r="X14" s="1304"/>
      <c r="Y14" s="3672"/>
      <c r="Z14" s="995">
        <f t="shared" si="7"/>
        <v>111</v>
      </c>
      <c r="AA14" s="995">
        <f t="shared" si="3"/>
        <v>1</v>
      </c>
      <c r="AB14" s="995">
        <f t="shared" si="4"/>
        <v>1</v>
      </c>
      <c r="AC14" s="995">
        <f t="shared" si="5"/>
        <v>1</v>
      </c>
    </row>
    <row r="15" spans="1:29" ht="71.25">
      <c r="A15" s="2206" t="s">
        <v>2033</v>
      </c>
      <c r="B15" s="150" t="s">
        <v>490</v>
      </c>
      <c r="C15" s="795"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0"/>
      <c r="L15" s="1748"/>
      <c r="M15" s="1741"/>
      <c r="N15" s="1741"/>
      <c r="O15" s="1747"/>
      <c r="P15" s="3726" t="s">
        <v>489</v>
      </c>
      <c r="Q15" s="1305" t="str">
        <f t="shared" si="6"/>
        <v>商业繁华度</v>
      </c>
      <c r="R15" s="1306" t="s">
        <v>5</v>
      </c>
      <c r="S15" s="1307">
        <f t="shared" si="0"/>
        <v>100</v>
      </c>
      <c r="T15" s="1306" t="s">
        <v>5</v>
      </c>
      <c r="U15" s="1307">
        <f t="shared" si="1"/>
        <v>100</v>
      </c>
      <c r="V15" s="1306" t="s">
        <v>5</v>
      </c>
      <c r="W15" s="1307">
        <f t="shared" si="2"/>
        <v>100</v>
      </c>
      <c r="X15" s="1301"/>
      <c r="Y15" s="3726" t="s">
        <v>489</v>
      </c>
      <c r="Z15" s="1308" t="str">
        <f t="shared" si="7"/>
        <v>商业繁华度</v>
      </c>
      <c r="AA15" s="1308">
        <f t="shared" si="3"/>
        <v>1</v>
      </c>
      <c r="AB15" s="1308">
        <f t="shared" si="4"/>
        <v>1</v>
      </c>
      <c r="AC15" s="1308">
        <f t="shared" si="5"/>
        <v>1</v>
      </c>
    </row>
    <row r="16" spans="1:29" ht="15">
      <c r="A16" s="482"/>
      <c r="B16" s="797"/>
      <c r="C16" s="526"/>
      <c r="D16" s="505"/>
      <c r="E16" s="526"/>
      <c r="F16" s="507"/>
      <c r="G16" s="526"/>
      <c r="H16" s="509"/>
      <c r="I16" s="526"/>
      <c r="J16" s="505"/>
      <c r="K16" s="821"/>
      <c r="L16" s="1748"/>
      <c r="M16" s="1741"/>
      <c r="N16" s="1741"/>
      <c r="O16" s="1747"/>
      <c r="P16" s="3727"/>
      <c r="Q16" s="1305"/>
      <c r="R16" s="1306"/>
      <c r="S16" s="1307"/>
      <c r="T16" s="1306"/>
      <c r="U16" s="1307"/>
      <c r="V16" s="1306"/>
      <c r="W16" s="1307"/>
      <c r="X16" s="1301"/>
      <c r="Y16" s="3727"/>
      <c r="Z16" s="1308"/>
      <c r="AA16" s="1308">
        <v>1</v>
      </c>
      <c r="AB16" s="1308">
        <v>1</v>
      </c>
      <c r="AC16" s="1308">
        <v>1</v>
      </c>
    </row>
    <row r="17" spans="1:29" ht="85.5">
      <c r="A17" s="482"/>
      <c r="B17" s="677" t="s">
        <v>262</v>
      </c>
      <c r="C17" s="799"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0"/>
      <c r="L17" s="1748"/>
      <c r="M17" s="1741"/>
      <c r="N17" s="1741"/>
      <c r="O17" s="1747"/>
      <c r="P17" s="3727"/>
      <c r="Q17" s="1305" t="str">
        <f>B17</f>
        <v>交通便捷度</v>
      </c>
      <c r="R17" s="1306" t="s">
        <v>5</v>
      </c>
      <c r="S17" s="1307">
        <f>F17</f>
        <v>100</v>
      </c>
      <c r="T17" s="1306" t="s">
        <v>5</v>
      </c>
      <c r="U17" s="1307">
        <f>H17</f>
        <v>100</v>
      </c>
      <c r="V17" s="1306" t="s">
        <v>5</v>
      </c>
      <c r="W17" s="1307">
        <f>J17</f>
        <v>100</v>
      </c>
      <c r="X17" s="1301"/>
      <c r="Y17" s="3727"/>
      <c r="Z17" s="1308" t="str">
        <f>Q17</f>
        <v>交通便捷度</v>
      </c>
      <c r="AA17" s="1308">
        <f t="shared" si="3"/>
        <v>1</v>
      </c>
      <c r="AB17" s="1308">
        <f t="shared" si="4"/>
        <v>1</v>
      </c>
      <c r="AC17" s="1308">
        <f t="shared" si="5"/>
        <v>1</v>
      </c>
    </row>
    <row r="18" spans="1:29" ht="15">
      <c r="A18" s="482"/>
      <c r="B18" s="544"/>
      <c r="C18" s="800"/>
      <c r="D18" s="509"/>
      <c r="E18" s="518"/>
      <c r="F18" s="513"/>
      <c r="G18" s="519"/>
      <c r="H18" s="505"/>
      <c r="I18" s="518"/>
      <c r="J18" s="505"/>
      <c r="K18" s="821"/>
      <c r="L18" s="1748"/>
      <c r="M18" s="1741"/>
      <c r="N18" s="1741"/>
      <c r="O18" s="1747"/>
      <c r="P18" s="3727"/>
      <c r="Q18" s="1305"/>
      <c r="R18" s="1306"/>
      <c r="S18" s="1307"/>
      <c r="T18" s="1306"/>
      <c r="U18" s="1307"/>
      <c r="V18" s="1306"/>
      <c r="W18" s="1307"/>
      <c r="X18" s="1301"/>
      <c r="Y18" s="3727"/>
      <c r="Z18" s="1308"/>
      <c r="AA18" s="1308">
        <v>1</v>
      </c>
      <c r="AB18" s="1308">
        <v>1</v>
      </c>
      <c r="AC18" s="1308">
        <v>1</v>
      </c>
    </row>
    <row r="19" spans="1:29" ht="42.75">
      <c r="A19" s="482"/>
      <c r="B19" s="2058" t="s">
        <v>1826</v>
      </c>
      <c r="C19" s="799"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0"/>
      <c r="L19" s="1748"/>
      <c r="M19" s="1741"/>
      <c r="N19" s="1741"/>
      <c r="O19" s="1747"/>
      <c r="P19" s="3727"/>
      <c r="Q19" s="1305" t="str">
        <f>B19</f>
        <v>公共配套设施</v>
      </c>
      <c r="R19" s="1306" t="s">
        <v>5</v>
      </c>
      <c r="S19" s="1307">
        <f>F19</f>
        <v>100</v>
      </c>
      <c r="T19" s="1306" t="s">
        <v>5</v>
      </c>
      <c r="U19" s="1307">
        <f>H19</f>
        <v>100</v>
      </c>
      <c r="V19" s="1306" t="s">
        <v>5</v>
      </c>
      <c r="W19" s="1307">
        <f>J19</f>
        <v>100</v>
      </c>
      <c r="X19" s="1301"/>
      <c r="Y19" s="3727"/>
      <c r="Z19" s="1308" t="str">
        <f>Q19</f>
        <v>公共配套设施</v>
      </c>
      <c r="AA19" s="1308">
        <f t="shared" si="3"/>
        <v>1</v>
      </c>
      <c r="AB19" s="1308">
        <f t="shared" si="4"/>
        <v>1</v>
      </c>
      <c r="AC19" s="1308">
        <f t="shared" si="5"/>
        <v>1</v>
      </c>
    </row>
    <row r="20" spans="1:29" ht="15">
      <c r="A20" s="482"/>
      <c r="B20" s="544"/>
      <c r="C20" s="526"/>
      <c r="D20" s="505"/>
      <c r="E20" s="506"/>
      <c r="F20" s="507"/>
      <c r="G20" s="508"/>
      <c r="H20" s="505"/>
      <c r="I20" s="506"/>
      <c r="J20" s="505"/>
      <c r="K20" s="821"/>
      <c r="L20" s="1748"/>
      <c r="M20" s="1741"/>
      <c r="N20" s="1741"/>
      <c r="O20" s="1747"/>
      <c r="P20" s="3727"/>
      <c r="Q20" s="1305"/>
      <c r="R20" s="1306"/>
      <c r="S20" s="1307"/>
      <c r="T20" s="1306"/>
      <c r="U20" s="1307"/>
      <c r="V20" s="1306"/>
      <c r="W20" s="1307"/>
      <c r="X20" s="1301"/>
      <c r="Y20" s="3727"/>
      <c r="Z20" s="1308"/>
      <c r="AA20" s="1308">
        <v>1</v>
      </c>
      <c r="AB20" s="1308">
        <v>1</v>
      </c>
      <c r="AC20" s="1308">
        <v>1</v>
      </c>
    </row>
    <row r="21" spans="1:29" ht="28.5">
      <c r="A21" s="482"/>
      <c r="B21" s="2051" t="s">
        <v>1838</v>
      </c>
      <c r="C21" s="799"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0"/>
      <c r="L21" s="1748"/>
      <c r="M21" s="1741"/>
      <c r="N21" s="1741"/>
      <c r="O21" s="1747"/>
      <c r="P21" s="3727"/>
      <c r="Q21" s="1305" t="str">
        <f>B21</f>
        <v>基础设施水平</v>
      </c>
      <c r="R21" s="1306" t="s">
        <v>5</v>
      </c>
      <c r="S21" s="1307">
        <f>F21</f>
        <v>100</v>
      </c>
      <c r="T21" s="1306" t="s">
        <v>5</v>
      </c>
      <c r="U21" s="1307">
        <f>H21</f>
        <v>100</v>
      </c>
      <c r="V21" s="1306" t="s">
        <v>5</v>
      </c>
      <c r="W21" s="1307">
        <f>J21</f>
        <v>100</v>
      </c>
      <c r="X21" s="1301"/>
      <c r="Y21" s="3727"/>
      <c r="Z21" s="1308" t="str">
        <f>Q21</f>
        <v>基础设施水平</v>
      </c>
      <c r="AA21" s="1308">
        <f>D21/F21</f>
        <v>1</v>
      </c>
      <c r="AB21" s="1308">
        <f>D21/H21</f>
        <v>1</v>
      </c>
      <c r="AC21" s="1308">
        <f>D21/J21</f>
        <v>1</v>
      </c>
    </row>
    <row r="22" spans="1:29" ht="15">
      <c r="A22" s="482"/>
      <c r="B22" s="842"/>
      <c r="C22" s="800"/>
      <c r="D22" s="505"/>
      <c r="E22" s="526"/>
      <c r="F22" s="507"/>
      <c r="G22" s="526"/>
      <c r="H22" s="505"/>
      <c r="I22" s="526"/>
      <c r="J22" s="505"/>
      <c r="K22" s="2060"/>
      <c r="L22" s="1748"/>
      <c r="M22" s="1741"/>
      <c r="N22" s="1741"/>
      <c r="O22" s="1747"/>
      <c r="P22" s="3727"/>
      <c r="Q22" s="1305"/>
      <c r="R22" s="1306"/>
      <c r="S22" s="1307"/>
      <c r="T22" s="1306"/>
      <c r="U22" s="1307"/>
      <c r="V22" s="1306"/>
      <c r="W22" s="1307"/>
      <c r="X22" s="1301"/>
      <c r="Y22" s="3727"/>
      <c r="Z22" s="1308"/>
      <c r="AA22" s="1308">
        <v>1</v>
      </c>
      <c r="AB22" s="1308">
        <v>1</v>
      </c>
      <c r="AC22" s="1308">
        <v>1</v>
      </c>
    </row>
    <row r="23" spans="1:29" ht="57">
      <c r="A23" s="482"/>
      <c r="B23" s="677" t="s">
        <v>263</v>
      </c>
      <c r="C23" s="822"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0"/>
      <c r="L23" s="1748"/>
      <c r="M23" s="1741"/>
      <c r="N23" s="1741"/>
      <c r="O23" s="1747"/>
      <c r="P23" s="3727"/>
      <c r="Q23" s="1305" t="str">
        <f>B23</f>
        <v>自然及人文环境</v>
      </c>
      <c r="R23" s="1306" t="s">
        <v>5</v>
      </c>
      <c r="S23" s="1307">
        <f>F23</f>
        <v>100</v>
      </c>
      <c r="T23" s="1306" t="s">
        <v>5</v>
      </c>
      <c r="U23" s="1307">
        <f>H23</f>
        <v>100</v>
      </c>
      <c r="V23" s="1306" t="s">
        <v>5</v>
      </c>
      <c r="W23" s="1307">
        <f>J23</f>
        <v>100</v>
      </c>
      <c r="X23" s="1301"/>
      <c r="Y23" s="3727"/>
      <c r="Z23" s="1308" t="str">
        <f>Q23</f>
        <v>自然及人文环境</v>
      </c>
      <c r="AA23" s="1308">
        <f t="shared" si="3"/>
        <v>1</v>
      </c>
      <c r="AB23" s="1308">
        <f t="shared" si="4"/>
        <v>1</v>
      </c>
      <c r="AC23" s="1308">
        <f t="shared" si="5"/>
        <v>1</v>
      </c>
    </row>
    <row r="24" spans="1:29" ht="15">
      <c r="A24" s="482"/>
      <c r="B24" s="544"/>
      <c r="C24" s="526"/>
      <c r="D24" s="505"/>
      <c r="E24" s="506"/>
      <c r="F24" s="507"/>
      <c r="G24" s="508"/>
      <c r="H24" s="505"/>
      <c r="I24" s="506"/>
      <c r="J24" s="505"/>
      <c r="K24" s="821"/>
      <c r="L24" s="1748"/>
      <c r="M24" s="1741"/>
      <c r="N24" s="1741"/>
      <c r="O24" s="1747"/>
      <c r="P24" s="3727"/>
      <c r="Q24" s="1305"/>
      <c r="R24" s="1306"/>
      <c r="S24" s="1307"/>
      <c r="T24" s="1306"/>
      <c r="U24" s="1307"/>
      <c r="V24" s="1306"/>
      <c r="W24" s="1307"/>
      <c r="X24" s="1301"/>
      <c r="Y24" s="3727"/>
      <c r="Z24" s="1308"/>
      <c r="AA24" s="1308">
        <v>1</v>
      </c>
      <c r="AB24" s="1308">
        <v>1</v>
      </c>
      <c r="AC24" s="1308">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8"/>
      <c r="M25" s="1741"/>
      <c r="N25" s="1741"/>
      <c r="O25" s="1747"/>
      <c r="P25" s="3727"/>
      <c r="Q25" s="1305" t="str">
        <f t="shared" ref="Q25:Q46" si="8">B25</f>
        <v>临街状况</v>
      </c>
      <c r="R25" s="1306" t="s">
        <v>5</v>
      </c>
      <c r="S25" s="1307">
        <f>F25</f>
        <v>100</v>
      </c>
      <c r="T25" s="1306" t="s">
        <v>5</v>
      </c>
      <c r="U25" s="1307">
        <f>H25</f>
        <v>100</v>
      </c>
      <c r="V25" s="1306" t="s">
        <v>5</v>
      </c>
      <c r="W25" s="1307">
        <f>J25</f>
        <v>100</v>
      </c>
      <c r="X25" s="1301"/>
      <c r="Y25" s="3727"/>
      <c r="Z25" s="1308" t="str">
        <f>Q25</f>
        <v>临街状况</v>
      </c>
      <c r="AA25" s="1308">
        <f t="shared" si="3"/>
        <v>1</v>
      </c>
      <c r="AB25" s="1308">
        <f t="shared" si="4"/>
        <v>1</v>
      </c>
      <c r="AC25" s="1308">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8"/>
      <c r="M26" s="1741"/>
      <c r="N26" s="1741"/>
      <c r="O26" s="1747"/>
      <c r="P26" s="3727"/>
      <c r="Q26" s="1305" t="str">
        <f t="shared" si="8"/>
        <v>平面位置/可视性</v>
      </c>
      <c r="R26" s="1306" t="s">
        <v>5</v>
      </c>
      <c r="S26" s="1307">
        <f>F26</f>
        <v>100</v>
      </c>
      <c r="T26" s="1306" t="s">
        <v>5</v>
      </c>
      <c r="U26" s="1307">
        <f>H26</f>
        <v>100</v>
      </c>
      <c r="V26" s="1306" t="s">
        <v>5</v>
      </c>
      <c r="W26" s="1307">
        <f>J26</f>
        <v>100</v>
      </c>
      <c r="X26" s="1301"/>
      <c r="Y26" s="3727"/>
      <c r="Z26" s="1308" t="str">
        <f>Q26</f>
        <v>平面位置/可视性</v>
      </c>
      <c r="AA26" s="1308">
        <f t="shared" si="3"/>
        <v>1</v>
      </c>
      <c r="AB26" s="1308">
        <f t="shared" si="4"/>
        <v>1</v>
      </c>
      <c r="AC26" s="1308">
        <f t="shared" si="5"/>
        <v>1</v>
      </c>
    </row>
    <row r="27" spans="1:29" s="1058" customFormat="1" ht="15">
      <c r="A27" s="486"/>
      <c r="B27" s="677" t="s">
        <v>699</v>
      </c>
      <c r="C27" s="823"/>
      <c r="D27" s="516">
        <v>100</v>
      </c>
      <c r="E27" s="823"/>
      <c r="F27" s="544">
        <f>SUMIF(90:90,E27,91:91)-SUMIF(90:90,C27,91:91)+100</f>
        <v>100</v>
      </c>
      <c r="G27" s="823"/>
      <c r="H27" s="516">
        <f>SUMIF(90:90,G27,91:91)-SUMIF(90:90,C27,91:91)+100</f>
        <v>100</v>
      </c>
      <c r="I27" s="823"/>
      <c r="J27" s="516">
        <f>SUMIF(90:90,I27,91:91)-SUMIF(90:90,C27,91:91)+100</f>
        <v>100</v>
      </c>
      <c r="K27" s="533"/>
      <c r="L27" s="1742"/>
      <c r="M27" s="1639"/>
      <c r="N27" s="1639"/>
      <c r="O27" s="1743"/>
      <c r="P27" s="3727"/>
      <c r="Q27" s="816" t="str">
        <f t="shared" si="8"/>
        <v>人流量</v>
      </c>
      <c r="R27" s="1302" t="s">
        <v>5</v>
      </c>
      <c r="S27" s="1303">
        <f>F27</f>
        <v>100</v>
      </c>
      <c r="T27" s="1302" t="s">
        <v>5</v>
      </c>
      <c r="U27" s="1303">
        <f>H27</f>
        <v>100</v>
      </c>
      <c r="V27" s="1302" t="s">
        <v>5</v>
      </c>
      <c r="W27" s="1303">
        <f>J27</f>
        <v>100</v>
      </c>
      <c r="X27" s="1304"/>
      <c r="Y27" s="3727"/>
      <c r="Z27" s="995" t="str">
        <f>Q27</f>
        <v>人流量</v>
      </c>
      <c r="AA27" s="1308">
        <f>D27/F27</f>
        <v>1</v>
      </c>
      <c r="AB27" s="1308">
        <f>D27/H27</f>
        <v>1</v>
      </c>
      <c r="AC27" s="1308">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8"/>
      <c r="M28" s="1741"/>
      <c r="N28" s="1741"/>
      <c r="O28" s="1747"/>
      <c r="P28" s="3727"/>
      <c r="Q28" s="1305" t="str">
        <f t="shared" si="8"/>
        <v>楼层</v>
      </c>
      <c r="R28" s="1306" t="s">
        <v>5</v>
      </c>
      <c r="S28" s="1307">
        <f t="shared" ref="S28:S46" si="9">F28</f>
        <v>100</v>
      </c>
      <c r="T28" s="1306" t="s">
        <v>5</v>
      </c>
      <c r="U28" s="1307">
        <f t="shared" ref="U28:U46" si="10">H28</f>
        <v>100</v>
      </c>
      <c r="V28" s="1306" t="s">
        <v>5</v>
      </c>
      <c r="W28" s="1307">
        <f t="shared" ref="W28:W46" si="11">J28</f>
        <v>100</v>
      </c>
      <c r="X28" s="1301"/>
      <c r="Y28" s="3727"/>
      <c r="Z28" s="1308" t="str">
        <f t="shared" ref="Z28:Z46" si="12">Q28</f>
        <v>楼层</v>
      </c>
      <c r="AA28" s="1308">
        <f t="shared" si="3"/>
        <v>1</v>
      </c>
      <c r="AB28" s="1308">
        <f t="shared" si="4"/>
        <v>1</v>
      </c>
      <c r="AC28" s="1308">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8"/>
      <c r="M29" s="1741"/>
      <c r="N29" s="1741"/>
      <c r="O29" s="1747"/>
      <c r="P29" s="3727"/>
      <c r="Q29" s="1305">
        <f t="shared" si="8"/>
        <v>111</v>
      </c>
      <c r="R29" s="1306" t="s">
        <v>5</v>
      </c>
      <c r="S29" s="1307">
        <f t="shared" si="9"/>
        <v>100</v>
      </c>
      <c r="T29" s="1306" t="s">
        <v>5</v>
      </c>
      <c r="U29" s="1307">
        <f t="shared" si="10"/>
        <v>100</v>
      </c>
      <c r="V29" s="1306" t="s">
        <v>5</v>
      </c>
      <c r="W29" s="1307">
        <f t="shared" si="11"/>
        <v>100</v>
      </c>
      <c r="X29" s="1301"/>
      <c r="Y29" s="3727"/>
      <c r="Z29" s="1308">
        <f t="shared" si="12"/>
        <v>111</v>
      </c>
      <c r="AA29" s="1308">
        <f t="shared" si="3"/>
        <v>1</v>
      </c>
      <c r="AB29" s="1308">
        <f t="shared" si="4"/>
        <v>1</v>
      </c>
      <c r="AC29" s="1308">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8"/>
      <c r="M30" s="1741"/>
      <c r="N30" s="1741"/>
      <c r="O30" s="1747"/>
      <c r="P30" s="3727"/>
      <c r="Q30" s="1305">
        <f t="shared" si="8"/>
        <v>111</v>
      </c>
      <c r="R30" s="1306" t="s">
        <v>5</v>
      </c>
      <c r="S30" s="1307">
        <f t="shared" si="9"/>
        <v>100</v>
      </c>
      <c r="T30" s="1306" t="s">
        <v>5</v>
      </c>
      <c r="U30" s="1307">
        <f t="shared" si="10"/>
        <v>100</v>
      </c>
      <c r="V30" s="1306" t="s">
        <v>5</v>
      </c>
      <c r="W30" s="1307">
        <f t="shared" si="11"/>
        <v>100</v>
      </c>
      <c r="X30" s="1301"/>
      <c r="Y30" s="3727"/>
      <c r="Z30" s="1308">
        <f t="shared" si="12"/>
        <v>111</v>
      </c>
      <c r="AA30" s="1308">
        <f t="shared" si="3"/>
        <v>1</v>
      </c>
      <c r="AB30" s="1308">
        <f t="shared" si="4"/>
        <v>1</v>
      </c>
      <c r="AC30" s="1308">
        <f t="shared" si="5"/>
        <v>1</v>
      </c>
    </row>
    <row r="31" spans="1:29" ht="15.75" thickBot="1">
      <c r="A31" s="493"/>
      <c r="B31" s="91">
        <v>111</v>
      </c>
      <c r="C31" s="495"/>
      <c r="D31" s="496">
        <v>100</v>
      </c>
      <c r="E31" s="489"/>
      <c r="F31" s="794">
        <f>SUMIF(98:98,E31,99:99)-SUMIF(98:98,C31,99:99)+100</f>
        <v>100</v>
      </c>
      <c r="G31" s="489"/>
      <c r="H31" s="496">
        <f>SUMIF(98:98,G31,99:99)-SUMIF(98:98,C31,99:99)+100</f>
        <v>100</v>
      </c>
      <c r="I31" s="489"/>
      <c r="J31" s="496">
        <f>SUMIF(98:98,I31,99:99)-SUMIF(98:98,C31,99:99)+100</f>
        <v>100</v>
      </c>
      <c r="K31" s="531"/>
      <c r="L31" s="1748"/>
      <c r="M31" s="1741"/>
      <c r="N31" s="1741"/>
      <c r="O31" s="1747"/>
      <c r="P31" s="3727"/>
      <c r="Q31" s="1305">
        <f t="shared" si="8"/>
        <v>111</v>
      </c>
      <c r="R31" s="1306" t="s">
        <v>5</v>
      </c>
      <c r="S31" s="1307">
        <f t="shared" si="9"/>
        <v>100</v>
      </c>
      <c r="T31" s="1306" t="s">
        <v>5</v>
      </c>
      <c r="U31" s="1307">
        <f t="shared" si="10"/>
        <v>100</v>
      </c>
      <c r="V31" s="1306" t="s">
        <v>5</v>
      </c>
      <c r="W31" s="1307">
        <f t="shared" si="11"/>
        <v>100</v>
      </c>
      <c r="X31" s="1301"/>
      <c r="Y31" s="3727"/>
      <c r="Z31" s="1308">
        <f t="shared" si="12"/>
        <v>111</v>
      </c>
      <c r="AA31" s="1308">
        <f t="shared" si="3"/>
        <v>1</v>
      </c>
      <c r="AB31" s="1308">
        <f t="shared" si="4"/>
        <v>1</v>
      </c>
      <c r="AC31" s="1308">
        <f t="shared" si="5"/>
        <v>1</v>
      </c>
    </row>
    <row r="32" spans="1:29" ht="15">
      <c r="A32" s="2203" t="s">
        <v>2034</v>
      </c>
      <c r="B32" s="156" t="s">
        <v>702</v>
      </c>
      <c r="C32" s="802"/>
      <c r="D32" s="546">
        <v>100</v>
      </c>
      <c r="E32" s="802"/>
      <c r="F32" s="525">
        <f>SUMIF(100:100,E32,101:101)-SUMIF(100:100,C32,101:101)+100</f>
        <v>100</v>
      </c>
      <c r="G32" s="802"/>
      <c r="H32" s="490">
        <f>SUMIF(100:100,G32,101:101)-SUMIF(100:100,C32,101:101)+100</f>
        <v>100</v>
      </c>
      <c r="I32" s="802"/>
      <c r="J32" s="546">
        <f>SUMIF(100:100,I32,101:101)-SUMIF(100:100,C32,101:101)+100</f>
        <v>100</v>
      </c>
      <c r="K32" s="533"/>
      <c r="L32" s="1748"/>
      <c r="M32" s="1741"/>
      <c r="N32" s="1741"/>
      <c r="O32" s="1747"/>
      <c r="P32" s="3728" t="s">
        <v>499</v>
      </c>
      <c r="Q32" s="1305" t="str">
        <f t="shared" si="8"/>
        <v>商业类型</v>
      </c>
      <c r="R32" s="1306" t="s">
        <v>5</v>
      </c>
      <c r="S32" s="1307">
        <f t="shared" si="9"/>
        <v>100</v>
      </c>
      <c r="T32" s="1306" t="s">
        <v>5</v>
      </c>
      <c r="U32" s="1307">
        <f t="shared" si="10"/>
        <v>100</v>
      </c>
      <c r="V32" s="1306" t="s">
        <v>5</v>
      </c>
      <c r="W32" s="1307">
        <f t="shared" si="11"/>
        <v>100</v>
      </c>
      <c r="X32" s="1301"/>
      <c r="Y32" s="3729" t="s">
        <v>499</v>
      </c>
      <c r="Z32" s="1308" t="str">
        <f t="shared" si="12"/>
        <v>商业类型</v>
      </c>
      <c r="AA32" s="1308">
        <f t="shared" si="3"/>
        <v>1</v>
      </c>
      <c r="AB32" s="1308">
        <f t="shared" si="4"/>
        <v>1</v>
      </c>
      <c r="AC32" s="1308">
        <f t="shared" si="5"/>
        <v>1</v>
      </c>
    </row>
    <row r="33" spans="1:29" s="1132" customFormat="1" ht="15">
      <c r="A33" s="552"/>
      <c r="B33" s="477" t="s">
        <v>673</v>
      </c>
      <c r="C33" s="804"/>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6"/>
      <c r="M33" s="1770"/>
      <c r="N33" s="1770"/>
      <c r="O33" s="1749"/>
      <c r="P33" s="3729"/>
      <c r="Q33" s="817" t="str">
        <f t="shared" si="8"/>
        <v>项目建筑规模</v>
      </c>
      <c r="R33" s="1309" t="s">
        <v>5</v>
      </c>
      <c r="S33" s="1310" t="e">
        <f t="shared" si="9"/>
        <v>#N/A</v>
      </c>
      <c r="T33" s="1309" t="s">
        <v>5</v>
      </c>
      <c r="U33" s="1310" t="e">
        <f t="shared" si="10"/>
        <v>#N/A</v>
      </c>
      <c r="V33" s="1309" t="s">
        <v>5</v>
      </c>
      <c r="W33" s="1310" t="e">
        <f t="shared" si="11"/>
        <v>#N/A</v>
      </c>
      <c r="X33" s="1311"/>
      <c r="Y33" s="3729"/>
      <c r="Z33" s="1312" t="str">
        <f t="shared" si="12"/>
        <v>项目建筑规模</v>
      </c>
      <c r="AA33" s="1308" t="e">
        <f t="shared" si="3"/>
        <v>#N/A</v>
      </c>
      <c r="AB33" s="1308" t="e">
        <f t="shared" si="4"/>
        <v>#N/A</v>
      </c>
      <c r="AC33" s="1308" t="e">
        <f t="shared" si="5"/>
        <v>#N/A</v>
      </c>
    </row>
    <row r="34" spans="1:29" ht="15">
      <c r="A34" s="543"/>
      <c r="B34" s="477" t="s">
        <v>674</v>
      </c>
      <c r="C34" s="524"/>
      <c r="D34" s="490">
        <v>100</v>
      </c>
      <c r="E34" s="805"/>
      <c r="F34" s="525">
        <f>SUMIF(105:105,E34,106:106)-SUMIF(105:105,C34,106:106)+100</f>
        <v>100</v>
      </c>
      <c r="G34" s="524"/>
      <c r="H34" s="490">
        <f>SUMIF(105:105,G34,106:106)-SUMIF(105:105,C34,106:106)+100</f>
        <v>100</v>
      </c>
      <c r="I34" s="524"/>
      <c r="J34" s="490">
        <f>SUMIF(105:105,I34,106:106)-SUMIF(105:105,C34,106:106)+100</f>
        <v>100</v>
      </c>
      <c r="K34" s="533"/>
      <c r="L34" s="1748"/>
      <c r="M34" s="1741"/>
      <c r="N34" s="1741"/>
      <c r="O34" s="1747"/>
      <c r="P34" s="3729"/>
      <c r="Q34" s="1305" t="str">
        <f t="shared" si="8"/>
        <v>建筑结构</v>
      </c>
      <c r="R34" s="1306" t="s">
        <v>5</v>
      </c>
      <c r="S34" s="1307">
        <f t="shared" si="9"/>
        <v>100</v>
      </c>
      <c r="T34" s="1306" t="s">
        <v>5</v>
      </c>
      <c r="U34" s="1307">
        <f t="shared" si="10"/>
        <v>100</v>
      </c>
      <c r="V34" s="1306" t="s">
        <v>5</v>
      </c>
      <c r="W34" s="1307">
        <f t="shared" si="11"/>
        <v>100</v>
      </c>
      <c r="X34" s="1301"/>
      <c r="Y34" s="3729"/>
      <c r="Z34" s="1308" t="str">
        <f t="shared" si="12"/>
        <v>建筑结构</v>
      </c>
      <c r="AA34" s="1308">
        <f t="shared" si="3"/>
        <v>1</v>
      </c>
      <c r="AB34" s="1308">
        <f t="shared" si="4"/>
        <v>1</v>
      </c>
      <c r="AC34" s="1308">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8"/>
      <c r="M35" s="1741"/>
      <c r="N35" s="1741"/>
      <c r="O35" s="1747"/>
      <c r="P35" s="3729"/>
      <c r="Q35" s="1305" t="str">
        <f t="shared" si="8"/>
        <v>公共部分装修</v>
      </c>
      <c r="R35" s="1306" t="s">
        <v>5</v>
      </c>
      <c r="S35" s="1307">
        <f t="shared" si="9"/>
        <v>100</v>
      </c>
      <c r="T35" s="1306" t="s">
        <v>5</v>
      </c>
      <c r="U35" s="1307">
        <f t="shared" si="10"/>
        <v>100</v>
      </c>
      <c r="V35" s="1306" t="s">
        <v>5</v>
      </c>
      <c r="W35" s="1307">
        <f t="shared" si="11"/>
        <v>100</v>
      </c>
      <c r="X35" s="1301"/>
      <c r="Y35" s="3729"/>
      <c r="Z35" s="1308" t="str">
        <f t="shared" si="12"/>
        <v>公共部分装修</v>
      </c>
      <c r="AA35" s="1308">
        <f t="shared" si="3"/>
        <v>1</v>
      </c>
      <c r="AB35" s="1308">
        <f t="shared" si="4"/>
        <v>1</v>
      </c>
      <c r="AC35" s="1308">
        <f t="shared" si="5"/>
        <v>1</v>
      </c>
    </row>
    <row r="36" spans="1:29" ht="15">
      <c r="A36" s="543"/>
      <c r="B36" s="477" t="s">
        <v>704</v>
      </c>
      <c r="C36" s="806"/>
      <c r="D36" s="490">
        <v>100</v>
      </c>
      <c r="E36" s="806"/>
      <c r="F36" s="525" t="e">
        <f>LOOKUP(E36,110:110,111:111)-LOOKUP(C36,110:110,111:111)+100</f>
        <v>#N/A</v>
      </c>
      <c r="G36" s="806"/>
      <c r="H36" s="525" t="e">
        <f>LOOKUP(G36,110:110,111:111)-LOOKUP(C36,110:110,111:111)+100</f>
        <v>#N/A</v>
      </c>
      <c r="I36" s="806"/>
      <c r="J36" s="490" t="e">
        <f>LOOKUP(I36,110:110,111:111)-LOOKUP(C36,110:110,111:111)+100</f>
        <v>#N/A</v>
      </c>
      <c r="K36" s="533"/>
      <c r="L36" s="1748"/>
      <c r="M36" s="1741"/>
      <c r="N36" s="1741"/>
      <c r="O36" s="1747"/>
      <c r="P36" s="3729"/>
      <c r="Q36" s="1305" t="str">
        <f t="shared" si="8"/>
        <v>成新度</v>
      </c>
      <c r="R36" s="1306" t="s">
        <v>5</v>
      </c>
      <c r="S36" s="1307" t="e">
        <f t="shared" si="9"/>
        <v>#N/A</v>
      </c>
      <c r="T36" s="1306" t="s">
        <v>5</v>
      </c>
      <c r="U36" s="1307" t="e">
        <f t="shared" si="10"/>
        <v>#N/A</v>
      </c>
      <c r="V36" s="1306" t="s">
        <v>5</v>
      </c>
      <c r="W36" s="1307" t="e">
        <f t="shared" si="11"/>
        <v>#N/A</v>
      </c>
      <c r="X36" s="1301"/>
      <c r="Y36" s="3729"/>
      <c r="Z36" s="1308" t="str">
        <f t="shared" si="12"/>
        <v>成新度</v>
      </c>
      <c r="AA36" s="1308" t="e">
        <f t="shared" si="3"/>
        <v>#N/A</v>
      </c>
      <c r="AB36" s="1308" t="e">
        <f t="shared" si="4"/>
        <v>#N/A</v>
      </c>
      <c r="AC36" s="1308" t="e">
        <f t="shared" si="5"/>
        <v>#N/A</v>
      </c>
    </row>
    <row r="37" spans="1:29" s="1058" customFormat="1" ht="15">
      <c r="A37" s="549"/>
      <c r="B37" s="1553" t="s">
        <v>1845</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2"/>
      <c r="M37" s="1639"/>
      <c r="N37" s="1639"/>
      <c r="O37" s="1743"/>
      <c r="P37" s="3729"/>
      <c r="Q37" s="816" t="str">
        <f t="shared" si="8"/>
        <v>市政基础设施</v>
      </c>
      <c r="R37" s="1302" t="s">
        <v>5</v>
      </c>
      <c r="S37" s="1303">
        <f t="shared" si="9"/>
        <v>100</v>
      </c>
      <c r="T37" s="1302" t="s">
        <v>5</v>
      </c>
      <c r="U37" s="1303">
        <f t="shared" si="10"/>
        <v>100</v>
      </c>
      <c r="V37" s="1302" t="s">
        <v>5</v>
      </c>
      <c r="W37" s="1303">
        <f t="shared" si="11"/>
        <v>100</v>
      </c>
      <c r="X37" s="1304"/>
      <c r="Y37" s="3729"/>
      <c r="Z37" s="995" t="str">
        <f t="shared" si="12"/>
        <v>市政基础设施</v>
      </c>
      <c r="AA37" s="995">
        <f t="shared" si="3"/>
        <v>1</v>
      </c>
      <c r="AB37" s="995">
        <f t="shared" si="4"/>
        <v>1</v>
      </c>
      <c r="AC37" s="995">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8"/>
      <c r="M38" s="1741"/>
      <c r="N38" s="1741"/>
      <c r="O38" s="1747"/>
      <c r="P38" s="3729" t="s">
        <v>706</v>
      </c>
      <c r="Q38" s="1305" t="str">
        <f t="shared" si="8"/>
        <v>业态</v>
      </c>
      <c r="R38" s="1306" t="s">
        <v>5</v>
      </c>
      <c r="S38" s="1307">
        <f t="shared" si="9"/>
        <v>100</v>
      </c>
      <c r="T38" s="1306" t="s">
        <v>5</v>
      </c>
      <c r="U38" s="1307">
        <f t="shared" si="10"/>
        <v>100</v>
      </c>
      <c r="V38" s="1306" t="s">
        <v>5</v>
      </c>
      <c r="W38" s="1307">
        <f t="shared" si="11"/>
        <v>100</v>
      </c>
      <c r="X38" s="1301"/>
      <c r="Y38" s="3729" t="s">
        <v>706</v>
      </c>
      <c r="Z38" s="1308" t="str">
        <f t="shared" si="12"/>
        <v>业态</v>
      </c>
      <c r="AA38" s="1308">
        <f t="shared" si="3"/>
        <v>1</v>
      </c>
      <c r="AB38" s="1308">
        <f t="shared" si="4"/>
        <v>1</v>
      </c>
      <c r="AC38" s="1308">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8"/>
      <c r="M39" s="1741"/>
      <c r="N39" s="1741"/>
      <c r="O39" s="1747"/>
      <c r="P39" s="3729"/>
      <c r="Q39" s="1305" t="str">
        <f t="shared" si="8"/>
        <v>层高</v>
      </c>
      <c r="R39" s="1306" t="s">
        <v>5</v>
      </c>
      <c r="S39" s="1307">
        <f t="shared" si="9"/>
        <v>100</v>
      </c>
      <c r="T39" s="1306" t="s">
        <v>5</v>
      </c>
      <c r="U39" s="1307">
        <f t="shared" si="10"/>
        <v>100</v>
      </c>
      <c r="V39" s="1306" t="s">
        <v>5</v>
      </c>
      <c r="W39" s="1307">
        <f t="shared" si="11"/>
        <v>100</v>
      </c>
      <c r="X39" s="1301"/>
      <c r="Y39" s="3729"/>
      <c r="Z39" s="1308" t="str">
        <f t="shared" si="12"/>
        <v>层高</v>
      </c>
      <c r="AA39" s="1308">
        <f t="shared" si="3"/>
        <v>1</v>
      </c>
      <c r="AB39" s="1308">
        <f t="shared" si="4"/>
        <v>1</v>
      </c>
      <c r="AC39" s="1308">
        <f t="shared" si="5"/>
        <v>1</v>
      </c>
    </row>
    <row r="40" spans="1:29" ht="15">
      <c r="A40" s="543"/>
      <c r="B40" s="477" t="s">
        <v>708</v>
      </c>
      <c r="C40" s="824"/>
      <c r="D40" s="490">
        <v>100</v>
      </c>
      <c r="E40" s="825"/>
      <c r="F40" s="525">
        <f>SUMIF(118:118,E40,119:119)-SUMIF(118:118,C40,119:119)+100</f>
        <v>100</v>
      </c>
      <c r="G40" s="825"/>
      <c r="H40" s="490">
        <f>SUMIF(118:118,G40,119:119)-SUMIF(118:118,C40,119:119)+100</f>
        <v>100</v>
      </c>
      <c r="I40" s="825"/>
      <c r="J40" s="490">
        <f>SUMIF(118:118,I40,119:119)-SUMIF(118:118,C40,119:119)+100</f>
        <v>100</v>
      </c>
      <c r="K40" s="531"/>
      <c r="L40" s="1748"/>
      <c r="M40" s="1741"/>
      <c r="N40" s="1741"/>
      <c r="O40" s="1747"/>
      <c r="P40" s="3729"/>
      <c r="Q40" s="1305" t="str">
        <f t="shared" si="8"/>
        <v>单套建筑面积</v>
      </c>
      <c r="R40" s="1306" t="s">
        <v>5</v>
      </c>
      <c r="S40" s="1307">
        <f t="shared" si="9"/>
        <v>100</v>
      </c>
      <c r="T40" s="1306" t="s">
        <v>5</v>
      </c>
      <c r="U40" s="1307">
        <f t="shared" si="10"/>
        <v>100</v>
      </c>
      <c r="V40" s="1306" t="s">
        <v>5</v>
      </c>
      <c r="W40" s="1307">
        <f t="shared" si="11"/>
        <v>100</v>
      </c>
      <c r="X40" s="1301"/>
      <c r="Y40" s="3729"/>
      <c r="Z40" s="1308" t="str">
        <f t="shared" si="12"/>
        <v>单套建筑面积</v>
      </c>
      <c r="AA40" s="1308">
        <f t="shared" si="3"/>
        <v>1</v>
      </c>
      <c r="AB40" s="1308">
        <f t="shared" si="4"/>
        <v>1</v>
      </c>
      <c r="AC40" s="1308">
        <f t="shared" si="5"/>
        <v>1</v>
      </c>
    </row>
    <row r="41" spans="1:29" s="1132"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6"/>
      <c r="M41" s="1770"/>
      <c r="N41" s="1770"/>
      <c r="O41" s="1749"/>
      <c r="P41" s="3729"/>
      <c r="Q41" s="817" t="str">
        <f t="shared" si="8"/>
        <v>进深比</v>
      </c>
      <c r="R41" s="1309" t="s">
        <v>5</v>
      </c>
      <c r="S41" s="1310">
        <f t="shared" si="9"/>
        <v>100</v>
      </c>
      <c r="T41" s="1309" t="s">
        <v>5</v>
      </c>
      <c r="U41" s="1310">
        <f t="shared" si="10"/>
        <v>100</v>
      </c>
      <c r="V41" s="1309" t="s">
        <v>5</v>
      </c>
      <c r="W41" s="1310">
        <f t="shared" si="11"/>
        <v>100</v>
      </c>
      <c r="X41" s="1311"/>
      <c r="Y41" s="3729"/>
      <c r="Z41" s="1312" t="str">
        <f t="shared" si="12"/>
        <v>进深比</v>
      </c>
      <c r="AA41" s="1308">
        <f t="shared" si="3"/>
        <v>1</v>
      </c>
      <c r="AB41" s="1308">
        <f t="shared" si="4"/>
        <v>1</v>
      </c>
      <c r="AC41" s="1308">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8"/>
      <c r="M42" s="1741"/>
      <c r="N42" s="1741"/>
      <c r="O42" s="1747"/>
      <c r="P42" s="3729"/>
      <c r="Q42" s="1305" t="str">
        <f t="shared" si="8"/>
        <v>内部装修</v>
      </c>
      <c r="R42" s="1306" t="s">
        <v>5</v>
      </c>
      <c r="S42" s="1307">
        <f t="shared" si="9"/>
        <v>100</v>
      </c>
      <c r="T42" s="1306" t="s">
        <v>5</v>
      </c>
      <c r="U42" s="1307">
        <f t="shared" si="10"/>
        <v>100</v>
      </c>
      <c r="V42" s="1306" t="s">
        <v>5</v>
      </c>
      <c r="W42" s="1307">
        <f t="shared" si="11"/>
        <v>100</v>
      </c>
      <c r="X42" s="1301"/>
      <c r="Y42" s="3729"/>
      <c r="Z42" s="1308" t="str">
        <f t="shared" si="12"/>
        <v>内部装修</v>
      </c>
      <c r="AA42" s="1308">
        <f t="shared" si="3"/>
        <v>1</v>
      </c>
      <c r="AB42" s="1308">
        <f t="shared" si="4"/>
        <v>1</v>
      </c>
      <c r="AC42" s="1308">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8"/>
      <c r="M43" s="1741"/>
      <c r="N43" s="1741"/>
      <c r="O43" s="1747"/>
      <c r="P43" s="3729"/>
      <c r="Q43" s="1305" t="str">
        <f t="shared" si="8"/>
        <v>内部装修维护情况</v>
      </c>
      <c r="R43" s="1306" t="s">
        <v>5</v>
      </c>
      <c r="S43" s="1307">
        <f t="shared" si="9"/>
        <v>100</v>
      </c>
      <c r="T43" s="1306" t="s">
        <v>5</v>
      </c>
      <c r="U43" s="1307">
        <f t="shared" si="10"/>
        <v>100</v>
      </c>
      <c r="V43" s="1306" t="s">
        <v>5</v>
      </c>
      <c r="W43" s="1307">
        <f t="shared" si="11"/>
        <v>100</v>
      </c>
      <c r="X43" s="1301"/>
      <c r="Y43" s="3729"/>
      <c r="Z43" s="1308" t="str">
        <f t="shared" si="12"/>
        <v>内部装修维护情况</v>
      </c>
      <c r="AA43" s="1308">
        <f t="shared" si="3"/>
        <v>1</v>
      </c>
      <c r="AB43" s="1308">
        <f t="shared" si="4"/>
        <v>1</v>
      </c>
      <c r="AC43" s="1308">
        <f t="shared" si="5"/>
        <v>1</v>
      </c>
    </row>
    <row r="44" spans="1:29" s="1058" customFormat="1" ht="15">
      <c r="A44" s="549"/>
      <c r="B44" s="91">
        <v>111</v>
      </c>
      <c r="C44" s="804"/>
      <c r="D44" s="235">
        <v>100</v>
      </c>
      <c r="E44" s="489"/>
      <c r="F44" s="477">
        <f>SUMIF(126:126,E44,127:127)-SUMIF(126:126,C44,127:127)+100</f>
        <v>100</v>
      </c>
      <c r="G44" s="489"/>
      <c r="H44" s="235">
        <f>SUMIF(126:126,G44,127:127)-SUMIF(126:126,C44,127:127)+100</f>
        <v>100</v>
      </c>
      <c r="I44" s="489"/>
      <c r="J44" s="235">
        <f>SUMIF(126:126,I44,127:127)-SUMIF(126:126,C44,127:127)+100</f>
        <v>100</v>
      </c>
      <c r="K44" s="531"/>
      <c r="L44" s="1742"/>
      <c r="M44" s="1639"/>
      <c r="N44" s="1639"/>
      <c r="O44" s="1743"/>
      <c r="P44" s="3729"/>
      <c r="Q44" s="816">
        <f t="shared" si="8"/>
        <v>111</v>
      </c>
      <c r="R44" s="1302" t="s">
        <v>5</v>
      </c>
      <c r="S44" s="1303">
        <f t="shared" si="9"/>
        <v>100</v>
      </c>
      <c r="T44" s="1302" t="s">
        <v>5</v>
      </c>
      <c r="U44" s="1303">
        <f t="shared" si="10"/>
        <v>100</v>
      </c>
      <c r="V44" s="1302" t="s">
        <v>5</v>
      </c>
      <c r="W44" s="1303">
        <f t="shared" si="11"/>
        <v>100</v>
      </c>
      <c r="X44" s="1304"/>
      <c r="Y44" s="3729"/>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8"/>
      <c r="M45" s="1741"/>
      <c r="N45" s="1741"/>
      <c r="O45" s="1747"/>
      <c r="P45" s="3729"/>
      <c r="Q45" s="1305">
        <f t="shared" si="8"/>
        <v>111</v>
      </c>
      <c r="R45" s="1306" t="s">
        <v>5</v>
      </c>
      <c r="S45" s="1307">
        <f t="shared" si="9"/>
        <v>100</v>
      </c>
      <c r="T45" s="1306" t="s">
        <v>5</v>
      </c>
      <c r="U45" s="1307">
        <f t="shared" si="10"/>
        <v>100</v>
      </c>
      <c r="V45" s="1306" t="s">
        <v>5</v>
      </c>
      <c r="W45" s="1307">
        <f t="shared" si="11"/>
        <v>100</v>
      </c>
      <c r="X45" s="1301"/>
      <c r="Y45" s="3729"/>
      <c r="Z45" s="1308">
        <f t="shared" si="12"/>
        <v>111</v>
      </c>
      <c r="AA45" s="1308">
        <f t="shared" si="3"/>
        <v>1</v>
      </c>
      <c r="AB45" s="1308">
        <f t="shared" si="4"/>
        <v>1</v>
      </c>
      <c r="AC45" s="1308">
        <f t="shared" si="5"/>
        <v>1</v>
      </c>
    </row>
    <row r="46" spans="1:29" ht="15.75" thickBot="1">
      <c r="A46" s="809"/>
      <c r="B46" s="494">
        <v>111</v>
      </c>
      <c r="C46" s="495"/>
      <c r="D46" s="496">
        <v>100</v>
      </c>
      <c r="E46" s="489"/>
      <c r="F46" s="794">
        <f>SUMIF(130:130,E46,131:131)-SUMIF(130:130,C46,131:131)+100</f>
        <v>100</v>
      </c>
      <c r="G46" s="489"/>
      <c r="H46" s="496">
        <f>SUMIF(130:130,G46,131:131)-SUMIF(130:130,C46,131:131)+100</f>
        <v>100</v>
      </c>
      <c r="I46" s="489"/>
      <c r="J46" s="496">
        <f>SUMIF(130:130,I46,131:131)-SUMIF(130:130,C46,131:131)+100</f>
        <v>100</v>
      </c>
      <c r="K46" s="531"/>
      <c r="L46" s="1748"/>
      <c r="M46" s="1741"/>
      <c r="N46" s="1741"/>
      <c r="O46" s="1747"/>
      <c r="P46" s="3836"/>
      <c r="Q46" s="1305">
        <f t="shared" si="8"/>
        <v>111</v>
      </c>
      <c r="R46" s="1306" t="s">
        <v>5</v>
      </c>
      <c r="S46" s="1307">
        <f t="shared" si="9"/>
        <v>100</v>
      </c>
      <c r="T46" s="1306" t="s">
        <v>5</v>
      </c>
      <c r="U46" s="1307">
        <f t="shared" si="10"/>
        <v>100</v>
      </c>
      <c r="V46" s="1306" t="s">
        <v>5</v>
      </c>
      <c r="W46" s="1307">
        <f t="shared" si="11"/>
        <v>100</v>
      </c>
      <c r="X46" s="1301"/>
      <c r="Y46" s="3836"/>
      <c r="Z46" s="1308">
        <f t="shared" si="12"/>
        <v>111</v>
      </c>
      <c r="AA46" s="1308">
        <f t="shared" si="3"/>
        <v>1</v>
      </c>
      <c r="AB46" s="1308">
        <f t="shared" si="4"/>
        <v>1</v>
      </c>
      <c r="AC46" s="1308">
        <f t="shared" si="5"/>
        <v>1</v>
      </c>
    </row>
    <row r="47" spans="1:29" ht="15">
      <c r="A47" s="556" t="s">
        <v>683</v>
      </c>
      <c r="B47" s="810"/>
      <c r="C47" s="2080" t="s">
        <v>0</v>
      </c>
      <c r="D47" s="559"/>
      <c r="E47" s="560"/>
      <c r="F47" s="561"/>
      <c r="G47" s="562"/>
      <c r="H47" s="563"/>
      <c r="I47" s="560"/>
      <c r="J47" s="563"/>
      <c r="K47" s="1334"/>
      <c r="L47" s="1750"/>
      <c r="M47" s="1741"/>
      <c r="N47" s="1741"/>
      <c r="O47" s="1741"/>
      <c r="P47" s="3724" t="str">
        <f>A47</f>
        <v>成交单价（元/平方米）</v>
      </c>
      <c r="Q47" s="3724"/>
      <c r="R47" s="3740">
        <f>E47</f>
        <v>0</v>
      </c>
      <c r="S47" s="3740"/>
      <c r="T47" s="3740">
        <f>G47</f>
        <v>0</v>
      </c>
      <c r="U47" s="3740"/>
      <c r="V47" s="3740">
        <f>I47</f>
        <v>0</v>
      </c>
      <c r="W47" s="3740"/>
      <c r="X47" s="797"/>
      <c r="Y47" s="1313"/>
      <c r="Z47" s="797"/>
      <c r="AA47" s="797"/>
      <c r="AB47" s="797"/>
      <c r="AC47" s="797"/>
    </row>
    <row r="48" spans="1:29" ht="15.75" thickBot="1">
      <c r="A48" s="564" t="s">
        <v>2039</v>
      </c>
      <c r="B48" s="811"/>
      <c r="C48" s="2081" t="e">
        <f>R49</f>
        <v>#DIV/0!</v>
      </c>
      <c r="D48" s="2549" t="s">
        <v>2255</v>
      </c>
      <c r="E48" s="2082" t="e">
        <f>R48</f>
        <v>#DIV/0!</v>
      </c>
      <c r="F48" s="2550"/>
      <c r="G48" s="2081" t="e">
        <f>T48</f>
        <v>#DIV/0!</v>
      </c>
      <c r="H48" s="2550"/>
      <c r="I48" s="2082" t="e">
        <f>V48</f>
        <v>#DIV/0!</v>
      </c>
      <c r="J48" s="2550"/>
      <c r="K48" s="2557">
        <f>F48+H48+J48</f>
        <v>0</v>
      </c>
      <c r="L48" s="1750"/>
      <c r="M48" s="1741"/>
      <c r="N48" s="1741"/>
      <c r="O48" s="1741"/>
      <c r="P48" s="3724" t="str">
        <f>A48</f>
        <v>比较价格（元/平方米）</v>
      </c>
      <c r="Q48" s="3724"/>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797"/>
      <c r="Y48" s="797"/>
      <c r="Z48" s="797"/>
      <c r="AA48" s="797"/>
      <c r="AB48" s="797"/>
      <c r="AC48" s="797"/>
    </row>
    <row r="49" spans="1:29" ht="15.75" thickBot="1">
      <c r="A49" s="568" t="s">
        <v>2192</v>
      </c>
      <c r="B49" s="569"/>
      <c r="C49" s="469" t="e">
        <f>R49</f>
        <v>#DIV/0!</v>
      </c>
      <c r="D49" s="469"/>
      <c r="E49" s="469"/>
      <c r="F49" s="469"/>
      <c r="G49" s="469"/>
      <c r="H49" s="469"/>
      <c r="I49" s="469"/>
      <c r="J49" s="469"/>
      <c r="K49" s="1335"/>
      <c r="L49" s="1750"/>
      <c r="M49" s="1741"/>
      <c r="N49" s="1741"/>
      <c r="O49" s="1741"/>
      <c r="P49" s="3730" t="str">
        <f>A49</f>
        <v>估价对象XX用房的比较价格（楼面单价，元/平方米）</v>
      </c>
      <c r="Q49" s="3731"/>
      <c r="R49" s="3835" t="e">
        <f>IF(F1="售价",ROUND(IF(D48="简单平均",AVERAGE(R48:V48),R48*F48+T48*H48+V48*J48),0),ROUND(IF(D48="简单平均",AVERAGE(R48:V48),R48*F48+T48*H48+V48*J48),1))</f>
        <v>#DIV/0!</v>
      </c>
      <c r="S49" s="3835"/>
      <c r="T49" s="3835"/>
      <c r="U49" s="3835"/>
      <c r="V49" s="3835"/>
      <c r="W49" s="3835"/>
      <c r="X49" s="797"/>
      <c r="Y49" s="797"/>
      <c r="Z49" s="797"/>
      <c r="AA49" s="797"/>
      <c r="AB49" s="797"/>
      <c r="AC49" s="797"/>
    </row>
    <row r="50" spans="1:29">
      <c r="A50" s="2720"/>
      <c r="B50" s="2720"/>
      <c r="C50" s="2720"/>
      <c r="D50" s="2720"/>
      <c r="E50" s="2720"/>
      <c r="F50" s="2720"/>
      <c r="G50" s="2722"/>
      <c r="H50" s="2720"/>
      <c r="I50" s="2720"/>
      <c r="J50" s="2720"/>
      <c r="K50" s="2723"/>
      <c r="L50" s="1754"/>
      <c r="M50" s="1741"/>
      <c r="N50" s="1741"/>
      <c r="O50" s="1741"/>
      <c r="P50" s="1741"/>
      <c r="Q50" s="1741"/>
      <c r="R50" s="1741"/>
      <c r="S50" s="1741"/>
      <c r="T50" s="1741"/>
      <c r="U50" s="1741"/>
      <c r="V50" s="1741"/>
      <c r="W50" s="1741"/>
      <c r="X50" s="1741"/>
      <c r="Y50" s="1741"/>
      <c r="Z50" s="1741"/>
      <c r="AA50" s="1741"/>
      <c r="AB50" s="1741"/>
      <c r="AC50" s="1741"/>
    </row>
    <row r="51" spans="1:29">
      <c r="A51" s="2720"/>
      <c r="B51" s="2720"/>
      <c r="C51" s="2720"/>
      <c r="D51" s="2720"/>
      <c r="E51" s="2720"/>
      <c r="F51" s="2720"/>
      <c r="G51" s="2720"/>
      <c r="H51" s="2720"/>
      <c r="I51" s="2720"/>
      <c r="J51" s="2720"/>
      <c r="K51" s="2723"/>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4"/>
      <c r="M53" s="1741"/>
      <c r="N53" s="1741"/>
      <c r="O53" s="1741"/>
      <c r="P53" s="1741"/>
      <c r="Q53" s="1741"/>
      <c r="R53" s="1741"/>
      <c r="S53" s="1741"/>
      <c r="T53" s="1741"/>
      <c r="U53" s="1741"/>
      <c r="V53" s="1741"/>
      <c r="W53" s="1741"/>
      <c r="X53" s="1741"/>
      <c r="Y53" s="1741"/>
      <c r="Z53" s="1741"/>
      <c r="AA53" s="1741"/>
      <c r="AB53" s="1741"/>
      <c r="AC53" s="1741"/>
    </row>
    <row r="54" spans="1:29" s="1137"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7"/>
      <c r="M54" s="1751"/>
      <c r="N54" s="1751"/>
      <c r="O54" s="1751"/>
      <c r="P54" s="1751"/>
      <c r="Q54" s="1751"/>
      <c r="R54" s="1751"/>
      <c r="S54" s="1751"/>
      <c r="T54" s="1751"/>
      <c r="U54" s="1751"/>
      <c r="V54" s="1751"/>
      <c r="W54" s="1751"/>
      <c r="X54" s="1751"/>
      <c r="Y54" s="1751"/>
      <c r="Z54" s="1751"/>
      <c r="AA54" s="1751"/>
      <c r="AB54" s="1751"/>
      <c r="AC54" s="1751"/>
    </row>
    <row r="55" spans="1:29" s="1137"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1.75" thickBot="1">
      <c r="A57" s="1316" t="s">
        <v>522</v>
      </c>
      <c r="B57" s="797"/>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39" customFormat="1" ht="15">
      <c r="A58" s="592" t="s">
        <v>478</v>
      </c>
      <c r="B58" s="593"/>
      <c r="C58" s="2112" t="str">
        <f>YEAR(C7)&amp;"-"&amp;MONTH(C7)</f>
        <v>2023-9</v>
      </c>
      <c r="D58" s="2114">
        <f>EDATE(C58,-1)</f>
        <v>45139</v>
      </c>
      <c r="E58" s="2114">
        <f t="shared" ref="E58:O58" si="13">EDATE(D58,-1)</f>
        <v>45108</v>
      </c>
      <c r="F58" s="2114">
        <f t="shared" si="13"/>
        <v>45078</v>
      </c>
      <c r="G58" s="2114">
        <f t="shared" si="13"/>
        <v>45047</v>
      </c>
      <c r="H58" s="2114">
        <f t="shared" si="13"/>
        <v>45017</v>
      </c>
      <c r="I58" s="2114">
        <f t="shared" si="13"/>
        <v>44986</v>
      </c>
      <c r="J58" s="2114">
        <f t="shared" si="13"/>
        <v>44958</v>
      </c>
      <c r="K58" s="2114">
        <f t="shared" si="13"/>
        <v>44927</v>
      </c>
      <c r="L58" s="2114">
        <f t="shared" si="13"/>
        <v>44896</v>
      </c>
      <c r="M58" s="2114">
        <f t="shared" si="13"/>
        <v>44866</v>
      </c>
      <c r="N58" s="2114">
        <f t="shared" si="13"/>
        <v>44835</v>
      </c>
      <c r="O58" s="2114">
        <f t="shared" si="13"/>
        <v>44805</v>
      </c>
      <c r="P58" s="1764"/>
      <c r="Q58" s="1764"/>
      <c r="R58" s="1764"/>
      <c r="S58" s="1764"/>
      <c r="T58" s="1764"/>
      <c r="U58" s="1764"/>
      <c r="V58" s="1764"/>
      <c r="W58" s="1764"/>
      <c r="X58" s="1764"/>
      <c r="Y58" s="1764"/>
      <c r="Z58" s="1764"/>
      <c r="AA58" s="1764"/>
      <c r="AB58" s="1764"/>
      <c r="AC58" s="1764"/>
    </row>
    <row r="59" spans="1:29" s="1058" customFormat="1" ht="15">
      <c r="A59" s="527"/>
      <c r="B59" s="594"/>
      <c r="C59" s="595">
        <v>100</v>
      </c>
      <c r="D59" s="596"/>
      <c r="E59" s="596"/>
      <c r="F59" s="596"/>
      <c r="G59" s="596"/>
      <c r="H59" s="596"/>
      <c r="I59" s="596"/>
      <c r="J59" s="596"/>
      <c r="K59" s="596"/>
      <c r="L59" s="596"/>
      <c r="M59" s="487"/>
      <c r="N59" s="596"/>
      <c r="O59" s="597"/>
      <c r="P59" s="1762"/>
      <c r="Q59" s="1639"/>
      <c r="R59" s="1639"/>
      <c r="S59" s="1639"/>
      <c r="T59" s="1639"/>
      <c r="U59" s="1639"/>
      <c r="V59" s="1639"/>
      <c r="W59" s="1639"/>
      <c r="X59" s="1639"/>
      <c r="Y59" s="1639"/>
      <c r="Z59" s="1639"/>
      <c r="AA59" s="1639"/>
      <c r="AB59" s="1639"/>
      <c r="AC59" s="1639"/>
    </row>
    <row r="60" spans="1:29" s="1058" customFormat="1" ht="15.7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58" customFormat="1" ht="15">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58" customFormat="1" ht="15.75" thickBot="1">
      <c r="A62" s="603"/>
      <c r="B62" s="594"/>
      <c r="C62" s="812">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044"/>
    </row>
    <row r="63" spans="1:29">
      <c r="A63" s="607" t="s">
        <v>525</v>
      </c>
      <c r="B63" s="608" t="s">
        <v>483</v>
      </c>
      <c r="C63" s="645">
        <f>C9</f>
        <v>0</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5.75" thickBot="1">
      <c r="A64" s="482"/>
      <c r="B64" s="612"/>
      <c r="C64" s="613"/>
      <c r="D64" s="613"/>
      <c r="E64" s="613"/>
      <c r="F64" s="613"/>
      <c r="G64" s="613"/>
      <c r="H64" s="613"/>
      <c r="I64" s="613"/>
      <c r="J64" s="613"/>
      <c r="K64" s="613"/>
      <c r="L64" s="613"/>
      <c r="M64" s="614"/>
      <c r="N64" s="1767"/>
      <c r="O64" s="1767"/>
      <c r="P64" s="1765"/>
      <c r="Q64" s="1762"/>
      <c r="R64" s="1741"/>
      <c r="S64" s="1741"/>
      <c r="T64" s="1741"/>
      <c r="U64" s="1741"/>
      <c r="V64" s="1741"/>
      <c r="W64" s="1741"/>
      <c r="X64" s="1741"/>
      <c r="Y64" s="1741"/>
      <c r="Z64" s="1741"/>
      <c r="AA64" s="1741"/>
      <c r="AB64" s="1741"/>
      <c r="AC64" s="1741"/>
    </row>
    <row r="65" spans="1:29" ht="27.75" thickTop="1">
      <c r="A65" s="482"/>
      <c r="B65" s="615" t="s">
        <v>486</v>
      </c>
      <c r="C65" s="658"/>
      <c r="D65" s="658"/>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5.75" thickBot="1">
      <c r="A66" s="482"/>
      <c r="B66" s="620"/>
      <c r="C66" s="613"/>
      <c r="D66" s="613"/>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2"/>
      <c r="B68" s="625"/>
      <c r="C68" s="491"/>
      <c r="D68" s="491"/>
      <c r="E68" s="491"/>
      <c r="F68" s="491"/>
      <c r="G68" s="491"/>
      <c r="H68" s="491"/>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7"/>
      <c r="O69" s="1767"/>
      <c r="P69" s="1765"/>
      <c r="Q69" s="1762"/>
      <c r="R69" s="1741"/>
      <c r="S69" s="1741"/>
      <c r="T69" s="1741"/>
      <c r="U69" s="1741"/>
      <c r="V69" s="1741"/>
      <c r="W69" s="1741"/>
      <c r="X69" s="1741"/>
      <c r="Y69" s="1741"/>
      <c r="Z69" s="1741"/>
      <c r="AA69" s="1741"/>
      <c r="AB69" s="1741"/>
      <c r="AC69" s="1741"/>
    </row>
    <row r="70" spans="1:29" s="1132" customFormat="1" ht="15.75"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2" customFormat="1" ht="15.75"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2" customFormat="1" ht="15.75"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2" customFormat="1" ht="15.75" thickBot="1">
      <c r="A73" s="629"/>
      <c r="B73" s="620"/>
      <c r="C73" s="634"/>
      <c r="D73" s="613"/>
      <c r="E73" s="613"/>
      <c r="F73" s="613"/>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2" customFormat="1" ht="15.75"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2" customFormat="1" ht="15.75"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7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75" thickTop="1">
      <c r="A80" s="482"/>
      <c r="B80" s="1554" t="s">
        <v>1837</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75" thickTop="1">
      <c r="A82" s="482"/>
      <c r="B82" s="2055" t="s">
        <v>1838</v>
      </c>
      <c r="C82" s="2056" t="s">
        <v>1839</v>
      </c>
      <c r="D82" s="2056" t="s">
        <v>1840</v>
      </c>
      <c r="E82" s="2056" t="s">
        <v>1841</v>
      </c>
      <c r="F82" s="2056" t="s">
        <v>1842</v>
      </c>
      <c r="G82" s="2056" t="s">
        <v>1843</v>
      </c>
      <c r="H82" s="616"/>
      <c r="I82" s="616"/>
      <c r="J82" s="616"/>
      <c r="K82" s="616"/>
      <c r="L82" s="616"/>
      <c r="M82" s="2059"/>
      <c r="N82" s="1767"/>
      <c r="O82" s="1767"/>
      <c r="P82" s="1765"/>
      <c r="Q82" s="1762"/>
      <c r="R82" s="1741"/>
      <c r="S82" s="1741"/>
      <c r="T82" s="1741"/>
      <c r="U82" s="1741"/>
      <c r="V82" s="1741"/>
      <c r="W82" s="1741"/>
      <c r="X82" s="1741"/>
      <c r="Y82" s="1741"/>
      <c r="Z82" s="1741"/>
      <c r="AA82" s="1741"/>
      <c r="AB82" s="1741"/>
      <c r="AC82" s="1741"/>
    </row>
    <row r="83" spans="1:29" ht="15.75" thickBot="1">
      <c r="A83" s="482"/>
      <c r="B83" s="623"/>
      <c r="C83" s="621">
        <v>100</v>
      </c>
      <c r="D83" s="621">
        <f>C83-$K21</f>
        <v>100</v>
      </c>
      <c r="E83" s="621">
        <f>D83-$K21</f>
        <v>100</v>
      </c>
      <c r="F83" s="621">
        <f>E83-$K21</f>
        <v>100</v>
      </c>
      <c r="G83" s="621">
        <f>F83-$K21</f>
        <v>100</v>
      </c>
      <c r="H83" s="854"/>
      <c r="I83" s="854"/>
      <c r="J83" s="854"/>
      <c r="K83" s="854"/>
      <c r="L83" s="854"/>
      <c r="M83" s="509"/>
      <c r="N83" s="1767"/>
      <c r="O83" s="1767"/>
      <c r="P83" s="1765"/>
      <c r="Q83" s="1762"/>
      <c r="R83" s="1741"/>
      <c r="S83" s="1741"/>
      <c r="T83" s="1741"/>
      <c r="U83" s="1741"/>
      <c r="V83" s="1741"/>
      <c r="W83" s="1741"/>
      <c r="X83" s="1741"/>
      <c r="Y83" s="1741"/>
      <c r="Z83" s="1741"/>
      <c r="AA83" s="1741"/>
      <c r="AB83" s="1741"/>
      <c r="AC83" s="1741"/>
    </row>
    <row r="84" spans="1:29" ht="15.7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58" customFormat="1" ht="15.75" thickTop="1">
      <c r="A86" s="486"/>
      <c r="B86" s="615" t="s">
        <v>711</v>
      </c>
      <c r="C86" s="630"/>
      <c r="D86" s="630"/>
      <c r="E86" s="630"/>
      <c r="F86" s="630"/>
      <c r="G86" s="630"/>
      <c r="H86" s="630"/>
      <c r="I86" s="630"/>
      <c r="J86" s="630"/>
      <c r="K86" s="630"/>
      <c r="L86" s="813"/>
      <c r="M86" s="814"/>
      <c r="N86" s="1765"/>
      <c r="O86" s="1765"/>
      <c r="P86" s="1765"/>
      <c r="Q86" s="1762"/>
      <c r="R86" s="1639"/>
      <c r="S86" s="1639"/>
      <c r="T86" s="1639"/>
      <c r="U86" s="1639"/>
      <c r="V86" s="1639"/>
      <c r="W86" s="1639"/>
      <c r="X86" s="1639"/>
      <c r="Y86" s="1639"/>
      <c r="Z86" s="1639"/>
      <c r="AA86" s="1639"/>
      <c r="AB86" s="1639"/>
      <c r="AC86" s="1639"/>
    </row>
    <row r="87" spans="1:29" s="1058"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58" customFormat="1" ht="15.75" thickTop="1">
      <c r="A88" s="486"/>
      <c r="B88" s="615" t="str">
        <f>B26</f>
        <v>平面位置/可视性</v>
      </c>
      <c r="C88" s="630"/>
      <c r="D88" s="630"/>
      <c r="E88" s="630"/>
      <c r="F88" s="815"/>
      <c r="G88" s="630"/>
      <c r="H88" s="630"/>
      <c r="I88" s="630"/>
      <c r="J88" s="630"/>
      <c r="K88" s="630"/>
      <c r="L88" s="630"/>
      <c r="M88" s="814"/>
      <c r="N88" s="1765"/>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34"/>
      <c r="D89" s="613"/>
      <c r="E89" s="613"/>
      <c r="F89" s="613"/>
      <c r="G89" s="613"/>
      <c r="H89" s="613"/>
      <c r="I89" s="613"/>
      <c r="J89" s="613"/>
      <c r="K89" s="613"/>
      <c r="L89" s="613"/>
      <c r="M89" s="613"/>
      <c r="N89" s="1767"/>
      <c r="O89" s="1767"/>
      <c r="P89" s="1765"/>
      <c r="Q89" s="1762"/>
      <c r="R89" s="1639"/>
      <c r="S89" s="1639"/>
      <c r="T89" s="1639"/>
      <c r="U89" s="1639"/>
      <c r="V89" s="1639"/>
      <c r="W89" s="1639"/>
      <c r="X89" s="1639"/>
      <c r="Y89" s="1639"/>
      <c r="Z89" s="1639"/>
      <c r="AA89" s="1639"/>
      <c r="AB89" s="1639"/>
      <c r="AC89" s="1639"/>
    </row>
    <row r="90" spans="1:29" s="1132" customFormat="1" ht="15.75" thickTop="1">
      <c r="A90" s="629"/>
      <c r="B90" s="615" t="str">
        <f>B27</f>
        <v>人流量</v>
      </c>
      <c r="C90" s="630"/>
      <c r="D90" s="630"/>
      <c r="E90" s="630"/>
      <c r="F90" s="630"/>
      <c r="G90" s="630"/>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2"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8"/>
      <c r="O91" s="1768"/>
      <c r="P91" s="1768"/>
      <c r="Q91" s="1769"/>
      <c r="R91" s="1770"/>
      <c r="S91" s="1770"/>
      <c r="T91" s="1770"/>
      <c r="U91" s="1770"/>
      <c r="V91" s="1770"/>
      <c r="W91" s="1770"/>
      <c r="X91" s="1770"/>
      <c r="Y91" s="1770"/>
      <c r="Z91" s="1770"/>
      <c r="AA91" s="1770"/>
      <c r="AB91" s="1770"/>
      <c r="AC91" s="1770"/>
    </row>
    <row r="92" spans="1:29" ht="15.75" thickTop="1">
      <c r="A92" s="482"/>
      <c r="B92" s="615" t="str">
        <f>B28</f>
        <v>楼层</v>
      </c>
      <c r="C92" s="630"/>
      <c r="D92" s="630"/>
      <c r="E92" s="630"/>
      <c r="F92" s="630"/>
      <c r="G92" s="630"/>
      <c r="H92" s="630"/>
      <c r="I92" s="630"/>
      <c r="J92" s="630"/>
      <c r="K92" s="630"/>
      <c r="L92" s="813"/>
      <c r="M92" s="814"/>
      <c r="N92" s="1766"/>
      <c r="O92" s="1766"/>
      <c r="P92" s="1765"/>
      <c r="Q92" s="1762"/>
      <c r="R92" s="1741"/>
      <c r="S92" s="1741"/>
      <c r="T92" s="1741"/>
      <c r="U92" s="1741"/>
      <c r="V92" s="1741"/>
      <c r="W92" s="1741"/>
      <c r="X92" s="1741"/>
      <c r="Y92" s="1741"/>
      <c r="Z92" s="1741"/>
      <c r="AA92" s="1741"/>
      <c r="AB92" s="1741"/>
      <c r="AC92" s="1741"/>
    </row>
    <row r="93" spans="1:29" ht="15.75" thickBot="1">
      <c r="A93" s="482"/>
      <c r="B93" s="620"/>
      <c r="C93" s="613"/>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5.75"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5.75" thickBot="1">
      <c r="A95" s="482"/>
      <c r="B95" s="620"/>
      <c r="C95" s="634"/>
      <c r="D95" s="613"/>
      <c r="E95" s="613"/>
      <c r="F95" s="613"/>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5.75"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5.75" thickBot="1">
      <c r="A97" s="482"/>
      <c r="B97" s="620"/>
      <c r="C97" s="634"/>
      <c r="D97" s="613"/>
      <c r="E97" s="613"/>
      <c r="F97" s="613"/>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5.75" thickTop="1">
      <c r="A98" s="482"/>
      <c r="B98" s="623">
        <f>B31</f>
        <v>111</v>
      </c>
      <c r="C98" s="630"/>
      <c r="D98" s="630"/>
      <c r="E98" s="630"/>
      <c r="F98" s="630"/>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5.75" thickBot="1">
      <c r="A99" s="493"/>
      <c r="B99" s="641"/>
      <c r="C99" s="642"/>
      <c r="D99" s="642"/>
      <c r="E99" s="642"/>
      <c r="F99" s="642"/>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c r="A100" s="607" t="s">
        <v>500</v>
      </c>
      <c r="B100" s="608" t="s">
        <v>712</v>
      </c>
      <c r="C100" s="547"/>
      <c r="D100" s="547"/>
      <c r="E100" s="547"/>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2" customFormat="1">
      <c r="A103" s="552"/>
      <c r="B103" s="668"/>
      <c r="C103" s="79"/>
      <c r="D103" s="79"/>
      <c r="E103" s="79"/>
      <c r="F103" s="79"/>
      <c r="G103" s="79"/>
      <c r="H103" s="79"/>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9"/>
      <c r="B104" s="620"/>
      <c r="C104" s="634"/>
      <c r="D104" s="613"/>
      <c r="E104" s="613"/>
      <c r="F104" s="613"/>
      <c r="G104" s="613"/>
      <c r="H104" s="613"/>
      <c r="I104" s="613"/>
      <c r="J104" s="613"/>
      <c r="K104" s="613"/>
      <c r="L104" s="613"/>
      <c r="M104" s="614"/>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630"/>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691</v>
      </c>
      <c r="C107" s="630"/>
      <c r="D107" s="630"/>
      <c r="E107" s="630"/>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c r="A110" s="543"/>
      <c r="B110" s="623"/>
      <c r="C110" s="816">
        <v>0.5</v>
      </c>
      <c r="D110" s="816">
        <v>0.6</v>
      </c>
      <c r="E110" s="816">
        <v>0.7</v>
      </c>
      <c r="F110" s="816">
        <v>0.8</v>
      </c>
      <c r="G110" s="816">
        <v>0.9</v>
      </c>
      <c r="H110" s="816">
        <v>1.0001</v>
      </c>
      <c r="I110" s="826"/>
      <c r="J110" s="826"/>
      <c r="K110" s="827"/>
      <c r="L110" s="828"/>
      <c r="M110" s="829"/>
      <c r="N110" s="1766"/>
      <c r="O110" s="1766"/>
      <c r="P110" s="1765"/>
      <c r="Q110" s="1762"/>
      <c r="R110" s="1741"/>
      <c r="S110" s="1741"/>
      <c r="T110" s="1741"/>
      <c r="U110" s="1741"/>
      <c r="V110" s="1741"/>
      <c r="W110" s="1741"/>
      <c r="X110" s="1741"/>
      <c r="Y110" s="1741"/>
      <c r="Z110" s="1741"/>
      <c r="AA110" s="1741"/>
      <c r="AB110" s="1741"/>
      <c r="AC110" s="1741"/>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7"/>
      <c r="O111" s="1767"/>
      <c r="P111" s="1765"/>
      <c r="Q111" s="1762"/>
      <c r="R111" s="1741"/>
      <c r="S111" s="1741"/>
      <c r="T111" s="1741"/>
      <c r="U111" s="1741"/>
      <c r="V111" s="1741"/>
      <c r="W111" s="1741"/>
      <c r="X111" s="1741"/>
      <c r="Y111" s="1741"/>
      <c r="Z111" s="1741"/>
      <c r="AA111" s="1741"/>
      <c r="AB111" s="1741"/>
      <c r="AC111" s="1741"/>
    </row>
    <row r="112" spans="1:29" s="1132" customFormat="1" ht="15" thickTop="1">
      <c r="A112" s="552"/>
      <c r="B112" s="1554" t="s">
        <v>1836</v>
      </c>
      <c r="C112" s="630"/>
      <c r="D112" s="630"/>
      <c r="E112" s="630"/>
      <c r="F112" s="630"/>
      <c r="G112" s="630"/>
      <c r="H112" s="658"/>
      <c r="I112" s="658"/>
      <c r="J112" s="658"/>
      <c r="K112" s="659"/>
      <c r="L112" s="660"/>
      <c r="M112" s="661"/>
      <c r="N112" s="1768"/>
      <c r="O112" s="1768"/>
      <c r="P112" s="1768"/>
      <c r="Q112" s="1769"/>
      <c r="R112" s="1770"/>
      <c r="S112" s="1770"/>
      <c r="T112" s="1770"/>
      <c r="U112" s="1770"/>
      <c r="V112" s="1770"/>
      <c r="W112" s="1770"/>
      <c r="X112" s="1770"/>
      <c r="Y112" s="1770"/>
      <c r="Z112" s="1770"/>
      <c r="AA112" s="1770"/>
      <c r="AB112" s="1770"/>
      <c r="AC112" s="1770"/>
    </row>
    <row r="113" spans="1:29" s="1132"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713</v>
      </c>
      <c r="C114" s="630"/>
      <c r="D114" s="630"/>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615" t="s">
        <v>714</v>
      </c>
      <c r="C116" s="630"/>
      <c r="D116" s="630"/>
      <c r="E116" s="630"/>
      <c r="F116" s="630"/>
      <c r="G116" s="630"/>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715</v>
      </c>
      <c r="C118" s="830"/>
      <c r="D118" s="830"/>
      <c r="E118" s="830"/>
      <c r="F118" s="830"/>
      <c r="G118" s="830"/>
      <c r="H118" s="631"/>
      <c r="I118" s="631"/>
      <c r="J118" s="631"/>
      <c r="K118" s="631"/>
      <c r="L118" s="632"/>
      <c r="M118" s="633"/>
      <c r="N118" s="1766"/>
      <c r="O118" s="1766"/>
      <c r="P118" s="1765"/>
      <c r="Q118" s="1762"/>
      <c r="R118" s="1741"/>
      <c r="S118" s="1741"/>
      <c r="T118" s="1741"/>
      <c r="U118" s="1741"/>
      <c r="V118" s="1741"/>
      <c r="W118" s="1741"/>
      <c r="X118" s="1741"/>
      <c r="Y118" s="1741"/>
      <c r="Z118" s="1741"/>
      <c r="AA118" s="1741"/>
      <c r="AB118" s="1741"/>
      <c r="AC118" s="1741"/>
    </row>
    <row r="119" spans="1:29" ht="15.75" thickBot="1">
      <c r="A119" s="482"/>
      <c r="B119" s="620"/>
      <c r="C119" s="634"/>
      <c r="D119" s="613"/>
      <c r="E119" s="613"/>
      <c r="F119" s="613"/>
      <c r="G119" s="613"/>
      <c r="H119" s="613"/>
      <c r="I119" s="613"/>
      <c r="J119" s="613"/>
      <c r="K119" s="613"/>
      <c r="L119" s="613"/>
      <c r="M119" s="614"/>
      <c r="N119" s="1767"/>
      <c r="O119" s="1767"/>
      <c r="P119" s="1765"/>
      <c r="Q119" s="1762"/>
      <c r="R119" s="1741"/>
      <c r="S119" s="1741"/>
      <c r="T119" s="1741"/>
      <c r="U119" s="1741"/>
      <c r="V119" s="1741"/>
      <c r="W119" s="1741"/>
      <c r="X119" s="1741"/>
      <c r="Y119" s="1741"/>
      <c r="Z119" s="1741"/>
      <c r="AA119" s="1741"/>
      <c r="AB119" s="1741"/>
      <c r="AC119" s="1741"/>
    </row>
    <row r="120" spans="1:29" s="1132" customFormat="1" ht="15" thickTop="1">
      <c r="A120" s="552"/>
      <c r="B120" s="615" t="s">
        <v>716</v>
      </c>
      <c r="C120" s="658"/>
      <c r="D120" s="658"/>
      <c r="E120" s="658"/>
      <c r="F120" s="658"/>
      <c r="G120" s="631"/>
      <c r="H120" s="631"/>
      <c r="I120" s="631"/>
      <c r="J120" s="631"/>
      <c r="K120" s="631"/>
      <c r="L120" s="632"/>
      <c r="M120" s="633"/>
      <c r="N120" s="1768"/>
      <c r="O120" s="1768"/>
      <c r="P120" s="1768"/>
      <c r="Q120" s="1769"/>
      <c r="R120" s="1770"/>
      <c r="S120" s="1770"/>
      <c r="T120" s="1770"/>
      <c r="U120" s="1770"/>
      <c r="V120" s="1770"/>
      <c r="W120" s="1770"/>
      <c r="X120" s="1770"/>
      <c r="Y120" s="1770"/>
      <c r="Z120" s="1770"/>
      <c r="AA120" s="1770"/>
      <c r="AB120" s="1770"/>
      <c r="AC120" s="1770"/>
    </row>
    <row r="121" spans="1:29" s="1132"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2" customFormat="1" ht="15" thickTop="1">
      <c r="A126" s="552"/>
      <c r="B126" s="615">
        <f>B44</f>
        <v>111</v>
      </c>
      <c r="C126" s="630"/>
      <c r="D126" s="630"/>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2" customFormat="1" ht="15.75" thickBot="1">
      <c r="A127" s="629"/>
      <c r="B127" s="620"/>
      <c r="C127" s="634"/>
      <c r="D127" s="613"/>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5"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5.75" thickBot="1">
      <c r="A129" s="482"/>
      <c r="B129" s="620"/>
      <c r="C129" s="634"/>
      <c r="D129" s="613"/>
      <c r="E129" s="613"/>
      <c r="F129" s="613"/>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5"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5.75"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816"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454" t="s">
        <v>717</v>
      </c>
      <c r="C1" s="455" t="s">
        <v>667</v>
      </c>
      <c r="D1" s="781"/>
      <c r="E1" s="457"/>
      <c r="F1" s="2117"/>
      <c r="G1" s="1327" t="s">
        <v>668</v>
      </c>
      <c r="H1" s="457"/>
      <c r="I1" s="457"/>
      <c r="J1" s="457"/>
      <c r="K1" s="458"/>
      <c r="L1" s="2717"/>
      <c r="M1" s="2718"/>
      <c r="N1" s="2718"/>
      <c r="O1" s="2718"/>
      <c r="P1" s="2773"/>
      <c r="Q1" s="1739"/>
      <c r="R1" s="1739"/>
      <c r="S1" s="1739"/>
      <c r="T1" s="1739"/>
      <c r="U1" s="1739"/>
      <c r="V1" s="1739"/>
      <c r="W1" s="1739"/>
      <c r="X1" s="1739"/>
      <c r="Y1" s="1739"/>
      <c r="Z1" s="1739"/>
      <c r="AA1" s="1739"/>
      <c r="AB1" s="1739"/>
      <c r="AC1" s="1673"/>
    </row>
    <row r="2" spans="1:29" s="1129" customFormat="1" ht="28.5" customHeight="1">
      <c r="A2" s="393" t="s">
        <v>427</v>
      </c>
      <c r="B2" s="782" t="e">
        <f>ROUND(B3*D3/10000,0)</f>
        <v>#DIV/0!</v>
      </c>
      <c r="C2" s="1734"/>
      <c r="D2" s="1734"/>
      <c r="E2" s="1673"/>
      <c r="F2" s="1736"/>
      <c r="G2" s="1735"/>
      <c r="H2" s="1735"/>
      <c r="I2" s="1735"/>
      <c r="J2" s="1735"/>
      <c r="K2" s="1735"/>
      <c r="L2" s="1738"/>
      <c r="M2" s="1739"/>
      <c r="N2" s="1739"/>
      <c r="O2" s="1739"/>
      <c r="P2" s="2773"/>
      <c r="Q2" s="1739"/>
      <c r="R2" s="1739"/>
      <c r="S2" s="1739"/>
      <c r="T2" s="1739"/>
      <c r="U2" s="1739"/>
      <c r="V2" s="1739"/>
      <c r="W2" s="1739"/>
      <c r="X2" s="1739"/>
      <c r="Y2" s="1739"/>
      <c r="Z2" s="1739"/>
      <c r="AA2" s="1739"/>
      <c r="AB2" s="1739"/>
      <c r="AC2" s="1673"/>
    </row>
    <row r="3" spans="1:29" s="1129" customFormat="1" ht="28.5" customHeight="1" thickBot="1">
      <c r="A3" s="460" t="s">
        <v>468</v>
      </c>
      <c r="B3" s="461" t="e">
        <f>C50</f>
        <v>#DIV/0!</v>
      </c>
      <c r="C3" s="784" t="s">
        <v>669</v>
      </c>
      <c r="D3" s="783">
        <f>SUMIF('数据-汇总表'!$C19:$C33,D1,'数据-汇总表'!$E19:$E33)</f>
        <v>0</v>
      </c>
      <c r="E3" s="1673"/>
      <c r="F3" s="1736"/>
      <c r="G3" s="1735"/>
      <c r="H3" s="1735"/>
      <c r="I3" s="1735"/>
      <c r="J3" s="1735"/>
      <c r="K3" s="1737"/>
      <c r="L3" s="1738"/>
      <c r="M3" s="1739"/>
      <c r="N3" s="1739"/>
      <c r="O3" s="1739"/>
      <c r="P3" s="2773"/>
      <c r="Q3" s="1739"/>
      <c r="R3" s="1739"/>
      <c r="S3" s="1739"/>
      <c r="T3" s="1739"/>
      <c r="U3" s="1739"/>
      <c r="V3" s="1739"/>
      <c r="W3" s="1739"/>
      <c r="X3" s="1739"/>
      <c r="Y3" s="1739"/>
      <c r="Z3" s="1739"/>
      <c r="AA3" s="1739"/>
      <c r="AB3" s="1739"/>
      <c r="AC3" s="1673"/>
    </row>
    <row r="4" spans="1:29" ht="15">
      <c r="A4" s="463" t="s">
        <v>470</v>
      </c>
      <c r="B4" s="464"/>
      <c r="C4" s="3732" t="s">
        <v>471</v>
      </c>
      <c r="D4" s="3733"/>
      <c r="E4" s="3769" t="s">
        <v>472</v>
      </c>
      <c r="F4" s="3770"/>
      <c r="G4" s="3732" t="s">
        <v>473</v>
      </c>
      <c r="H4" s="3733"/>
      <c r="I4" s="3732" t="s">
        <v>474</v>
      </c>
      <c r="J4" s="3733"/>
      <c r="K4" s="465" t="s">
        <v>475</v>
      </c>
      <c r="L4" s="1740"/>
      <c r="M4" s="1741"/>
      <c r="N4" s="1741"/>
      <c r="O4" s="1741"/>
      <c r="P4" s="3837" t="s">
        <v>476</v>
      </c>
      <c r="Q4" s="3735"/>
      <c r="R4" s="3718" t="s">
        <v>472</v>
      </c>
      <c r="S4" s="3719"/>
      <c r="T4" s="3718" t="s">
        <v>473</v>
      </c>
      <c r="U4" s="3719"/>
      <c r="V4" s="3740" t="s">
        <v>474</v>
      </c>
      <c r="W4" s="3740"/>
      <c r="X4" s="1301"/>
      <c r="Y4" s="3718" t="s">
        <v>476</v>
      </c>
      <c r="Z4" s="3719"/>
      <c r="AA4" s="3713" t="s">
        <v>472</v>
      </c>
      <c r="AB4" s="3713" t="s">
        <v>473</v>
      </c>
      <c r="AC4" s="3713" t="s">
        <v>474</v>
      </c>
    </row>
    <row r="5" spans="1:29" ht="15">
      <c r="A5" s="466"/>
      <c r="B5" s="467"/>
      <c r="C5" s="3743" t="s">
        <v>2186</v>
      </c>
      <c r="D5" s="3744"/>
      <c r="E5" s="3771" t="s">
        <v>2187</v>
      </c>
      <c r="F5" s="3772"/>
      <c r="G5" s="3743" t="s">
        <v>2188</v>
      </c>
      <c r="H5" s="3744"/>
      <c r="I5" s="3743" t="s">
        <v>2189</v>
      </c>
      <c r="J5" s="3744"/>
      <c r="K5" s="465"/>
      <c r="L5" s="1740"/>
      <c r="M5" s="1741"/>
      <c r="N5" s="1741"/>
      <c r="O5" s="1741"/>
      <c r="P5" s="3838"/>
      <c r="Q5" s="3737"/>
      <c r="R5" s="3720"/>
      <c r="S5" s="3721"/>
      <c r="T5" s="3720"/>
      <c r="U5" s="3721"/>
      <c r="V5" s="3740"/>
      <c r="W5" s="3740"/>
      <c r="X5" s="1301"/>
      <c r="Y5" s="3720"/>
      <c r="Z5" s="3721"/>
      <c r="AA5" s="3714"/>
      <c r="AB5" s="3714"/>
      <c r="AC5" s="3714"/>
    </row>
    <row r="6" spans="1:29" ht="15.75" thickBot="1">
      <c r="A6" s="468"/>
      <c r="B6" s="469"/>
      <c r="C6" s="3741" t="s">
        <v>2190</v>
      </c>
      <c r="D6" s="3742"/>
      <c r="E6" s="3773" t="s">
        <v>2190</v>
      </c>
      <c r="F6" s="3774"/>
      <c r="G6" s="3741" t="s">
        <v>2190</v>
      </c>
      <c r="H6" s="3742"/>
      <c r="I6" s="3741" t="s">
        <v>2190</v>
      </c>
      <c r="J6" s="3742"/>
      <c r="K6" s="465" t="s">
        <v>477</v>
      </c>
      <c r="L6" s="1740"/>
      <c r="M6" s="1741"/>
      <c r="N6" s="1741"/>
      <c r="O6" s="1741"/>
      <c r="P6" s="3839"/>
      <c r="Q6" s="3739"/>
      <c r="R6" s="3720"/>
      <c r="S6" s="3721"/>
      <c r="T6" s="3722"/>
      <c r="U6" s="3723"/>
      <c r="V6" s="3740"/>
      <c r="W6" s="3740"/>
      <c r="X6" s="1301"/>
      <c r="Y6" s="3722"/>
      <c r="Z6" s="3723"/>
      <c r="AA6" s="3715"/>
      <c r="AB6" s="3715"/>
      <c r="AC6" s="3715"/>
    </row>
    <row r="7" spans="1:29" s="1058" customFormat="1" ht="15.75" thickBot="1">
      <c r="A7" s="2208"/>
      <c r="B7" s="2215" t="s">
        <v>478</v>
      </c>
      <c r="C7" s="470">
        <f>'数据-取费表'!B2</f>
        <v>45196</v>
      </c>
      <c r="D7" s="471">
        <v>100</v>
      </c>
      <c r="E7" s="472"/>
      <c r="F7" s="473">
        <f>SUMIF(59:59,YEAR(E7)&amp;"-"&amp;MONTH(E7),60:60)</f>
        <v>0</v>
      </c>
      <c r="G7" s="472"/>
      <c r="H7" s="471">
        <f>SUMIF(59:59,YEAR(G7)&amp;"-"&amp;MONTH(G7),60:60)</f>
        <v>0</v>
      </c>
      <c r="I7" s="472"/>
      <c r="J7" s="471">
        <f>SUMIF(59:59,YEAR(I7)&amp;"-"&amp;MONTH(I7),60:60)</f>
        <v>0</v>
      </c>
      <c r="K7" s="88"/>
      <c r="L7" s="1742"/>
      <c r="M7" s="1639"/>
      <c r="N7" s="1639"/>
      <c r="O7" s="1639"/>
      <c r="P7" s="3725" t="s">
        <v>479</v>
      </c>
      <c r="Q7" s="3725"/>
      <c r="R7" s="1302" t="s">
        <v>5</v>
      </c>
      <c r="S7" s="1303">
        <f t="shared" ref="S7:S15" si="0">F7</f>
        <v>0</v>
      </c>
      <c r="T7" s="1302" t="s">
        <v>5</v>
      </c>
      <c r="U7" s="1303">
        <f t="shared" ref="U7:U15" si="1">H7</f>
        <v>0</v>
      </c>
      <c r="V7" s="1302" t="s">
        <v>5</v>
      </c>
      <c r="W7" s="1303">
        <f t="shared" ref="W7:W15" si="2">J7</f>
        <v>0</v>
      </c>
      <c r="X7" s="1304"/>
      <c r="Y7" s="3716" t="s">
        <v>479</v>
      </c>
      <c r="Z7" s="3717"/>
      <c r="AA7" s="995" t="e">
        <f>D7/F7</f>
        <v>#DIV/0!</v>
      </c>
      <c r="AB7" s="995" t="e">
        <f>D7/H7</f>
        <v>#DIV/0!</v>
      </c>
      <c r="AC7" s="995" t="e">
        <f>D7/J7</f>
        <v>#DIV/0!</v>
      </c>
    </row>
    <row r="8" spans="1:29" s="1058" customFormat="1" ht="15.7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2"/>
      <c r="M8" s="1639"/>
      <c r="N8" s="1639"/>
      <c r="O8" s="1639"/>
      <c r="P8" s="3725" t="s">
        <v>482</v>
      </c>
      <c r="Q8" s="3717"/>
      <c r="R8" s="1302" t="s">
        <v>5</v>
      </c>
      <c r="S8" s="1303">
        <f t="shared" si="0"/>
        <v>0</v>
      </c>
      <c r="T8" s="1302" t="s">
        <v>5</v>
      </c>
      <c r="U8" s="1303">
        <f t="shared" si="1"/>
        <v>0</v>
      </c>
      <c r="V8" s="1302" t="s">
        <v>5</v>
      </c>
      <c r="W8" s="1303">
        <f t="shared" si="2"/>
        <v>0</v>
      </c>
      <c r="X8" s="1304"/>
      <c r="Y8" s="3716" t="s">
        <v>482</v>
      </c>
      <c r="Z8" s="3717"/>
      <c r="AA8" s="995" t="e">
        <f t="shared" ref="AA8:AA47" si="3">D8/F8</f>
        <v>#DIV/0!</v>
      </c>
      <c r="AB8" s="995" t="e">
        <f t="shared" ref="AB8:AB47" si="4">D8/H8</f>
        <v>#DIV/0!</v>
      </c>
      <c r="AC8" s="995" t="e">
        <f t="shared" ref="AC8:AC47" si="5">D8/J8</f>
        <v>#DIV/0!</v>
      </c>
    </row>
    <row r="9" spans="1:29" s="1058" customFormat="1" ht="15">
      <c r="A9" s="2210"/>
      <c r="B9" s="2217" t="s">
        <v>2035</v>
      </c>
      <c r="C9" s="789"/>
      <c r="D9" s="154">
        <v>100</v>
      </c>
      <c r="E9" s="791"/>
      <c r="F9" s="154">
        <f>SUMIF(64:64,E9,65:65)-SUMIF(64:64,C9,65:65)+100</f>
        <v>100</v>
      </c>
      <c r="G9" s="790"/>
      <c r="H9" s="154">
        <f>SUMIF(64:64,G9,65:65)-SUMIF(64:64,C9,65:65)+100</f>
        <v>100</v>
      </c>
      <c r="I9" s="790"/>
      <c r="J9" s="154">
        <f>SUMIF(64:64,I9,65:65)-SUMIF(64:64,C9,65:65)+100</f>
        <v>100</v>
      </c>
      <c r="K9" s="88"/>
      <c r="L9" s="1742"/>
      <c r="M9" s="1639"/>
      <c r="N9" s="1639"/>
      <c r="O9" s="1639"/>
      <c r="P9" s="3724" t="s">
        <v>484</v>
      </c>
      <c r="Q9" s="816" t="str">
        <f t="shared" ref="Q9:Q15" si="6">B9</f>
        <v>用途</v>
      </c>
      <c r="R9" s="1302" t="s">
        <v>5</v>
      </c>
      <c r="S9" s="1303">
        <f t="shared" si="0"/>
        <v>100</v>
      </c>
      <c r="T9" s="1302" t="s">
        <v>5</v>
      </c>
      <c r="U9" s="1303">
        <f t="shared" si="1"/>
        <v>100</v>
      </c>
      <c r="V9" s="1302" t="s">
        <v>5</v>
      </c>
      <c r="W9" s="1303">
        <f t="shared" si="2"/>
        <v>100</v>
      </c>
      <c r="X9" s="1304"/>
      <c r="Y9" s="3672" t="s">
        <v>485</v>
      </c>
      <c r="Z9" s="995" t="str">
        <f t="shared" ref="Z9:Z15" si="7">Q9</f>
        <v>用途</v>
      </c>
      <c r="AA9" s="995">
        <f t="shared" si="3"/>
        <v>1</v>
      </c>
      <c r="AB9" s="995">
        <f t="shared" si="4"/>
        <v>1</v>
      </c>
      <c r="AC9" s="995">
        <f t="shared" si="5"/>
        <v>1</v>
      </c>
    </row>
    <row r="10" spans="1:29" s="1131" customFormat="1" ht="27">
      <c r="A10" s="2211"/>
      <c r="B10" s="2216" t="s">
        <v>2036</v>
      </c>
      <c r="C10" s="3386"/>
      <c r="D10" s="235">
        <v>100</v>
      </c>
      <c r="E10" s="3386"/>
      <c r="F10" s="235">
        <f>SUMIF(66:66,E10,67:67)-SUMIF(66:66,C10,67:67)+100</f>
        <v>100</v>
      </c>
      <c r="G10" s="3387"/>
      <c r="H10" s="235">
        <f>SUMIF(66:66,G10,67:67)-SUMIF(66:66,C10,67:67)+100</f>
        <v>100</v>
      </c>
      <c r="I10" s="3386"/>
      <c r="J10" s="235">
        <f>SUMIF(66:66,I10,67:67)-SUMIF(66:66,C10,67:67)+100</f>
        <v>100</v>
      </c>
      <c r="K10" s="88"/>
      <c r="L10" s="1744"/>
      <c r="M10" s="1777"/>
      <c r="N10" s="1777"/>
      <c r="O10" s="1777"/>
      <c r="P10" s="3724"/>
      <c r="Q10" s="816" t="str">
        <f t="shared" si="6"/>
        <v>土地使用年限（年）</v>
      </c>
      <c r="R10" s="1302" t="s">
        <v>5</v>
      </c>
      <c r="S10" s="1303">
        <f t="shared" si="0"/>
        <v>100</v>
      </c>
      <c r="T10" s="1302" t="s">
        <v>5</v>
      </c>
      <c r="U10" s="1303">
        <f t="shared" si="1"/>
        <v>100</v>
      </c>
      <c r="V10" s="1302" t="s">
        <v>5</v>
      </c>
      <c r="W10" s="1303">
        <f t="shared" si="2"/>
        <v>100</v>
      </c>
      <c r="X10" s="1304"/>
      <c r="Y10" s="3672"/>
      <c r="Z10" s="995" t="str">
        <f t="shared" si="7"/>
        <v>土地使用年限（年）</v>
      </c>
      <c r="AA10" s="995">
        <f t="shared" si="3"/>
        <v>1</v>
      </c>
      <c r="AB10" s="995">
        <f t="shared" si="4"/>
        <v>1</v>
      </c>
      <c r="AC10" s="995">
        <f t="shared" si="5"/>
        <v>1</v>
      </c>
    </row>
    <row r="11" spans="1:29" ht="15">
      <c r="A11" s="2212"/>
      <c r="B11" s="2216" t="s">
        <v>2037</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6"/>
      <c r="M11" s="1741"/>
      <c r="N11" s="1741"/>
      <c r="O11" s="1741"/>
      <c r="P11" s="3724"/>
      <c r="Q11" s="816" t="str">
        <f t="shared" si="6"/>
        <v>容积率</v>
      </c>
      <c r="R11" s="1302" t="s">
        <v>5</v>
      </c>
      <c r="S11" s="1303" t="e">
        <f t="shared" si="0"/>
        <v>#N/A</v>
      </c>
      <c r="T11" s="1302" t="s">
        <v>5</v>
      </c>
      <c r="U11" s="1303" t="e">
        <f t="shared" si="1"/>
        <v>#N/A</v>
      </c>
      <c r="V11" s="1302" t="s">
        <v>5</v>
      </c>
      <c r="W11" s="1303" t="e">
        <f t="shared" si="2"/>
        <v>#N/A</v>
      </c>
      <c r="X11" s="1304"/>
      <c r="Y11" s="3672"/>
      <c r="Z11" s="995" t="str">
        <f t="shared" si="7"/>
        <v>容积率</v>
      </c>
      <c r="AA11" s="995" t="e">
        <f t="shared" si="3"/>
        <v>#N/A</v>
      </c>
      <c r="AB11" s="995" t="e">
        <f t="shared" si="4"/>
        <v>#N/A</v>
      </c>
      <c r="AC11" s="995" t="e">
        <f t="shared" si="5"/>
        <v>#N/A</v>
      </c>
    </row>
    <row r="12" spans="1:29" s="1058" customFormat="1" ht="15">
      <c r="A12" s="2213"/>
      <c r="B12" s="2219">
        <v>111</v>
      </c>
      <c r="C12" s="478"/>
      <c r="D12" s="488">
        <v>100</v>
      </c>
      <c r="E12" s="478"/>
      <c r="F12" s="235">
        <f>SUMIF(71:71,E12,72:72)-SUMIF(71:71,C12,72:72)+100</f>
        <v>100</v>
      </c>
      <c r="G12" s="831"/>
      <c r="H12" s="235">
        <f>SUMIF(71:71,G12,72:72)-SUMIF(71:71,C12,72:72)+100</f>
        <v>100</v>
      </c>
      <c r="I12" s="478"/>
      <c r="J12" s="235">
        <f>SUMIF(71:71,I12,72:72)-SUMIF(71:71,C12,72:72)+100</f>
        <v>100</v>
      </c>
      <c r="K12" s="531"/>
      <c r="L12" s="1742"/>
      <c r="M12" s="1639"/>
      <c r="N12" s="1639"/>
      <c r="O12" s="1639"/>
      <c r="P12" s="3724"/>
      <c r="Q12" s="816">
        <f t="shared" si="6"/>
        <v>111</v>
      </c>
      <c r="R12" s="1302" t="s">
        <v>5</v>
      </c>
      <c r="S12" s="1303">
        <f t="shared" si="0"/>
        <v>100</v>
      </c>
      <c r="T12" s="1302" t="s">
        <v>5</v>
      </c>
      <c r="U12" s="1303">
        <f t="shared" si="1"/>
        <v>100</v>
      </c>
      <c r="V12" s="1302" t="s">
        <v>5</v>
      </c>
      <c r="W12" s="1303">
        <f t="shared" si="2"/>
        <v>100</v>
      </c>
      <c r="X12" s="1304"/>
      <c r="Y12" s="3672"/>
      <c r="Z12" s="995">
        <f t="shared" si="7"/>
        <v>111</v>
      </c>
      <c r="AA12" s="995">
        <f>D12/F12</f>
        <v>1</v>
      </c>
      <c r="AB12" s="995">
        <f>D12/H12</f>
        <v>1</v>
      </c>
      <c r="AC12" s="995">
        <f>D12/J12</f>
        <v>1</v>
      </c>
    </row>
    <row r="13" spans="1:29" ht="15">
      <c r="A13" s="2213"/>
      <c r="B13" s="2219">
        <v>111</v>
      </c>
      <c r="C13" s="489"/>
      <c r="D13" s="490">
        <v>100</v>
      </c>
      <c r="E13" s="478"/>
      <c r="F13" s="235">
        <f>SUMIF(73:73,E13,74:74)-SUMIF(73:73,C13,74:74)+100</f>
        <v>100</v>
      </c>
      <c r="G13" s="831"/>
      <c r="H13" s="490">
        <f>SUMIF(73:73,G13,74:74)-SUMIF(73:73,C13,74:74)+100</f>
        <v>100</v>
      </c>
      <c r="I13" s="478"/>
      <c r="J13" s="490">
        <f>SUMIF(73:73,I13,74:74)-SUMIF(73:73,C13,74:74)+100</f>
        <v>100</v>
      </c>
      <c r="K13" s="531"/>
      <c r="L13" s="1748"/>
      <c r="M13" s="1741"/>
      <c r="N13" s="1741"/>
      <c r="O13" s="1741"/>
      <c r="P13" s="3724"/>
      <c r="Q13" s="816">
        <f t="shared" si="6"/>
        <v>111</v>
      </c>
      <c r="R13" s="1302" t="s">
        <v>5</v>
      </c>
      <c r="S13" s="1303">
        <f t="shared" si="0"/>
        <v>100</v>
      </c>
      <c r="T13" s="1302" t="s">
        <v>5</v>
      </c>
      <c r="U13" s="1303">
        <f t="shared" si="1"/>
        <v>100</v>
      </c>
      <c r="V13" s="1302" t="s">
        <v>5</v>
      </c>
      <c r="W13" s="1303">
        <f t="shared" si="2"/>
        <v>100</v>
      </c>
      <c r="X13" s="1304"/>
      <c r="Y13" s="3672"/>
      <c r="Z13" s="995">
        <f t="shared" si="7"/>
        <v>111</v>
      </c>
      <c r="AA13" s="995">
        <f t="shared" si="3"/>
        <v>1</v>
      </c>
      <c r="AB13" s="995">
        <f t="shared" si="4"/>
        <v>1</v>
      </c>
      <c r="AC13" s="995">
        <f t="shared" si="5"/>
        <v>1</v>
      </c>
    </row>
    <row r="14" spans="1:29" ht="15.75" thickBot="1">
      <c r="A14" s="2214"/>
      <c r="B14" s="2220">
        <v>111</v>
      </c>
      <c r="C14" s="495"/>
      <c r="D14" s="496">
        <v>100</v>
      </c>
      <c r="E14" s="832"/>
      <c r="F14" s="496">
        <f>SUMIF(75:75,E14,76:76)-SUMIF(75:75,C14,76:76)+100</f>
        <v>100</v>
      </c>
      <c r="G14" s="831"/>
      <c r="H14" s="496">
        <f>SUMIF(75:75,G14,76:76)-SUMIF(75:75,C14,76:76)+100</f>
        <v>100</v>
      </c>
      <c r="I14" s="478"/>
      <c r="J14" s="496">
        <f>SUMIF(75:75,I14,76:76)-SUMIF(75:75,C14,76:76)+100</f>
        <v>100</v>
      </c>
      <c r="K14" s="531"/>
      <c r="L14" s="1748"/>
      <c r="M14" s="1741"/>
      <c r="N14" s="1741"/>
      <c r="O14" s="1741"/>
      <c r="P14" s="3724"/>
      <c r="Q14" s="816">
        <f t="shared" si="6"/>
        <v>111</v>
      </c>
      <c r="R14" s="1302" t="s">
        <v>5</v>
      </c>
      <c r="S14" s="1303">
        <f t="shared" si="0"/>
        <v>100</v>
      </c>
      <c r="T14" s="1302" t="s">
        <v>5</v>
      </c>
      <c r="U14" s="1303">
        <f t="shared" si="1"/>
        <v>100</v>
      </c>
      <c r="V14" s="1302" t="s">
        <v>5</v>
      </c>
      <c r="W14" s="1303">
        <f t="shared" si="2"/>
        <v>100</v>
      </c>
      <c r="X14" s="1304"/>
      <c r="Y14" s="3672"/>
      <c r="Z14" s="995">
        <f t="shared" si="7"/>
        <v>111</v>
      </c>
      <c r="AA14" s="995">
        <f t="shared" si="3"/>
        <v>1</v>
      </c>
      <c r="AB14" s="995">
        <f t="shared" si="4"/>
        <v>1</v>
      </c>
      <c r="AC14" s="995">
        <f t="shared" si="5"/>
        <v>1</v>
      </c>
    </row>
    <row r="15" spans="1:29" ht="71.25">
      <c r="A15" s="2206" t="s">
        <v>2033</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0"/>
      <c r="L15" s="1748"/>
      <c r="M15" s="1741"/>
      <c r="N15" s="1741"/>
      <c r="O15" s="1741"/>
      <c r="P15" s="3726" t="s">
        <v>489</v>
      </c>
      <c r="Q15" s="1305" t="str">
        <f t="shared" si="6"/>
        <v>办公集聚程度</v>
      </c>
      <c r="R15" s="1306" t="s">
        <v>5</v>
      </c>
      <c r="S15" s="1307">
        <f t="shared" si="0"/>
        <v>100</v>
      </c>
      <c r="T15" s="1306" t="s">
        <v>5</v>
      </c>
      <c r="U15" s="1307">
        <f t="shared" si="1"/>
        <v>100</v>
      </c>
      <c r="V15" s="1306" t="s">
        <v>5</v>
      </c>
      <c r="W15" s="1307">
        <f t="shared" si="2"/>
        <v>100</v>
      </c>
      <c r="X15" s="1301"/>
      <c r="Y15" s="3726" t="s">
        <v>489</v>
      </c>
      <c r="Z15" s="1308" t="str">
        <f t="shared" si="7"/>
        <v>办公集聚程度</v>
      </c>
      <c r="AA15" s="1308">
        <f t="shared" si="3"/>
        <v>1</v>
      </c>
      <c r="AB15" s="1308">
        <f t="shared" si="4"/>
        <v>1</v>
      </c>
      <c r="AC15" s="1308">
        <f t="shared" si="5"/>
        <v>1</v>
      </c>
    </row>
    <row r="16" spans="1:29" ht="15">
      <c r="A16" s="482"/>
      <c r="B16" s="503"/>
      <c r="C16" s="504"/>
      <c r="D16" s="505"/>
      <c r="E16" s="526"/>
      <c r="F16" s="505"/>
      <c r="G16" s="504"/>
      <c r="H16" s="509"/>
      <c r="I16" s="526"/>
      <c r="J16" s="505"/>
      <c r="K16" s="821"/>
      <c r="L16" s="1748"/>
      <c r="M16" s="1741"/>
      <c r="N16" s="1741"/>
      <c r="O16" s="1741"/>
      <c r="P16" s="3727"/>
      <c r="Q16" s="1305"/>
      <c r="R16" s="1306"/>
      <c r="S16" s="1307"/>
      <c r="T16" s="1306"/>
      <c r="U16" s="1307"/>
      <c r="V16" s="1306"/>
      <c r="W16" s="1307"/>
      <c r="X16" s="1301"/>
      <c r="Y16" s="3727"/>
      <c r="Z16" s="1308"/>
      <c r="AA16" s="1308">
        <v>1</v>
      </c>
      <c r="AB16" s="1308">
        <v>1</v>
      </c>
      <c r="AC16" s="1308">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0"/>
      <c r="L17" s="1748"/>
      <c r="M17" s="1741"/>
      <c r="N17" s="1741"/>
      <c r="O17" s="1741"/>
      <c r="P17" s="3727"/>
      <c r="Q17" s="1305" t="str">
        <f>B17</f>
        <v>交通便捷度</v>
      </c>
      <c r="R17" s="1306" t="s">
        <v>5</v>
      </c>
      <c r="S17" s="1307">
        <f>F17</f>
        <v>100</v>
      </c>
      <c r="T17" s="1306" t="s">
        <v>5</v>
      </c>
      <c r="U17" s="1307">
        <f>H17</f>
        <v>100</v>
      </c>
      <c r="V17" s="1306" t="s">
        <v>5</v>
      </c>
      <c r="W17" s="1307">
        <f>J17</f>
        <v>100</v>
      </c>
      <c r="X17" s="1301"/>
      <c r="Y17" s="3727"/>
      <c r="Z17" s="1308" t="str">
        <f>Q17</f>
        <v>交通便捷度</v>
      </c>
      <c r="AA17" s="1308">
        <f t="shared" si="3"/>
        <v>1</v>
      </c>
      <c r="AB17" s="1308">
        <f t="shared" si="4"/>
        <v>1</v>
      </c>
      <c r="AC17" s="1308">
        <f t="shared" si="5"/>
        <v>1</v>
      </c>
    </row>
    <row r="18" spans="1:29" ht="15">
      <c r="A18" s="482"/>
      <c r="B18" s="516"/>
      <c r="C18" s="517"/>
      <c r="D18" s="509"/>
      <c r="E18" s="519"/>
      <c r="F18" s="509"/>
      <c r="G18" s="518"/>
      <c r="H18" s="505"/>
      <c r="I18" s="518"/>
      <c r="J18" s="505"/>
      <c r="K18" s="821"/>
      <c r="L18" s="1748"/>
      <c r="M18" s="1741"/>
      <c r="N18" s="1741"/>
      <c r="O18" s="1741"/>
      <c r="P18" s="3727"/>
      <c r="Q18" s="1305"/>
      <c r="R18" s="1306"/>
      <c r="S18" s="1307"/>
      <c r="T18" s="1306"/>
      <c r="U18" s="1307"/>
      <c r="V18" s="1306"/>
      <c r="W18" s="1307"/>
      <c r="X18" s="1301"/>
      <c r="Y18" s="3727"/>
      <c r="Z18" s="1308"/>
      <c r="AA18" s="1308">
        <v>1</v>
      </c>
      <c r="AB18" s="1308">
        <v>1</v>
      </c>
      <c r="AC18" s="1308">
        <v>1</v>
      </c>
    </row>
    <row r="19" spans="1:29" ht="42.75">
      <c r="A19" s="482"/>
      <c r="B19" s="2061" t="s">
        <v>1826</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0"/>
      <c r="L19" s="1748"/>
      <c r="M19" s="1741"/>
      <c r="N19" s="1741"/>
      <c r="O19" s="1741"/>
      <c r="P19" s="3727"/>
      <c r="Q19" s="1305" t="str">
        <f>B19</f>
        <v>公共配套设施</v>
      </c>
      <c r="R19" s="1306" t="s">
        <v>5</v>
      </c>
      <c r="S19" s="1307">
        <f>F19</f>
        <v>100</v>
      </c>
      <c r="T19" s="1306" t="s">
        <v>5</v>
      </c>
      <c r="U19" s="1307">
        <f>H19</f>
        <v>100</v>
      </c>
      <c r="V19" s="1306" t="s">
        <v>5</v>
      </c>
      <c r="W19" s="1307">
        <f>J19</f>
        <v>100</v>
      </c>
      <c r="X19" s="1301"/>
      <c r="Y19" s="3727"/>
      <c r="Z19" s="1308" t="str">
        <f>Q19</f>
        <v>公共配套设施</v>
      </c>
      <c r="AA19" s="1308">
        <f t="shared" si="3"/>
        <v>1</v>
      </c>
      <c r="AB19" s="1308">
        <f t="shared" si="4"/>
        <v>1</v>
      </c>
      <c r="AC19" s="1308">
        <f t="shared" si="5"/>
        <v>1</v>
      </c>
    </row>
    <row r="20" spans="1:29" ht="15">
      <c r="A20" s="482"/>
      <c r="B20" s="516"/>
      <c r="C20" s="504"/>
      <c r="D20" s="505"/>
      <c r="E20" s="508"/>
      <c r="F20" s="505"/>
      <c r="G20" s="506"/>
      <c r="H20" s="505"/>
      <c r="I20" s="506"/>
      <c r="J20" s="505"/>
      <c r="K20" s="821"/>
      <c r="L20" s="1748"/>
      <c r="M20" s="1741"/>
      <c r="N20" s="1741"/>
      <c r="O20" s="1741"/>
      <c r="P20" s="3727"/>
      <c r="Q20" s="1305"/>
      <c r="R20" s="1306"/>
      <c r="S20" s="1307"/>
      <c r="T20" s="1306"/>
      <c r="U20" s="1307"/>
      <c r="V20" s="1306"/>
      <c r="W20" s="1307"/>
      <c r="X20" s="1301"/>
      <c r="Y20" s="3727"/>
      <c r="Z20" s="1308"/>
      <c r="AA20" s="1308">
        <v>1</v>
      </c>
      <c r="AB20" s="1308">
        <v>1</v>
      </c>
      <c r="AC20" s="1308">
        <v>1</v>
      </c>
    </row>
    <row r="21" spans="1:29" ht="28.5">
      <c r="A21" s="482"/>
      <c r="B21" s="2049" t="s">
        <v>1838</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0"/>
      <c r="L21" s="1748"/>
      <c r="M21" s="1741"/>
      <c r="N21" s="1741"/>
      <c r="O21" s="1741"/>
      <c r="P21" s="3727"/>
      <c r="Q21" s="1305" t="str">
        <f>B21</f>
        <v>基础设施水平</v>
      </c>
      <c r="R21" s="1306" t="s">
        <v>5</v>
      </c>
      <c r="S21" s="1307">
        <f>F21</f>
        <v>100</v>
      </c>
      <c r="T21" s="1306" t="s">
        <v>5</v>
      </c>
      <c r="U21" s="1307">
        <f>H21</f>
        <v>100</v>
      </c>
      <c r="V21" s="1306" t="s">
        <v>5</v>
      </c>
      <c r="W21" s="1307">
        <f>J21</f>
        <v>100</v>
      </c>
      <c r="X21" s="1301"/>
      <c r="Y21" s="3727"/>
      <c r="Z21" s="1308" t="str">
        <f>Q21</f>
        <v>基础设施水平</v>
      </c>
      <c r="AA21" s="1308">
        <f>D21/F21</f>
        <v>1</v>
      </c>
      <c r="AB21" s="1308">
        <f>D21/H21</f>
        <v>1</v>
      </c>
      <c r="AC21" s="1308">
        <f>D21/J21</f>
        <v>1</v>
      </c>
    </row>
    <row r="22" spans="1:29" ht="15">
      <c r="A22" s="482"/>
      <c r="B22" s="528"/>
      <c r="C22" s="517"/>
      <c r="D22" s="505"/>
      <c r="E22" s="526"/>
      <c r="F22" s="505"/>
      <c r="G22" s="504"/>
      <c r="H22" s="505"/>
      <c r="I22" s="504"/>
      <c r="J22" s="505"/>
      <c r="K22" s="2060"/>
      <c r="L22" s="1748"/>
      <c r="M22" s="1741"/>
      <c r="N22" s="1741"/>
      <c r="O22" s="1741"/>
      <c r="P22" s="3727"/>
      <c r="Q22" s="1305"/>
      <c r="R22" s="1306"/>
      <c r="S22" s="1307"/>
      <c r="T22" s="1306"/>
      <c r="U22" s="1307"/>
      <c r="V22" s="1306"/>
      <c r="W22" s="1307"/>
      <c r="X22" s="1301"/>
      <c r="Y22" s="3727"/>
      <c r="Z22" s="1308"/>
      <c r="AA22" s="1308">
        <v>1</v>
      </c>
      <c r="AB22" s="1308">
        <v>1</v>
      </c>
      <c r="AC22" s="1308">
        <v>1</v>
      </c>
    </row>
    <row r="23" spans="1:29" ht="57">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0"/>
      <c r="L23" s="1748"/>
      <c r="M23" s="1741"/>
      <c r="N23" s="1741"/>
      <c r="O23" s="1741"/>
      <c r="P23" s="3727"/>
      <c r="Q23" s="1305" t="str">
        <f>B23</f>
        <v>环境质量</v>
      </c>
      <c r="R23" s="1306" t="s">
        <v>5</v>
      </c>
      <c r="S23" s="1307">
        <f>F23</f>
        <v>100</v>
      </c>
      <c r="T23" s="1306" t="s">
        <v>5</v>
      </c>
      <c r="U23" s="1307">
        <f>H23</f>
        <v>100</v>
      </c>
      <c r="V23" s="1306" t="s">
        <v>5</v>
      </c>
      <c r="W23" s="1307">
        <f>J23</f>
        <v>100</v>
      </c>
      <c r="X23" s="1301"/>
      <c r="Y23" s="3727"/>
      <c r="Z23" s="1308" t="str">
        <f>Q23</f>
        <v>环境质量</v>
      </c>
      <c r="AA23" s="1308">
        <f t="shared" si="3"/>
        <v>1</v>
      </c>
      <c r="AB23" s="1308">
        <f t="shared" si="4"/>
        <v>1</v>
      </c>
      <c r="AC23" s="1308">
        <f t="shared" si="5"/>
        <v>1</v>
      </c>
    </row>
    <row r="24" spans="1:29" ht="15">
      <c r="A24" s="482"/>
      <c r="B24" s="528"/>
      <c r="C24" s="504"/>
      <c r="D24" s="505"/>
      <c r="E24" s="508"/>
      <c r="F24" s="505"/>
      <c r="G24" s="506"/>
      <c r="H24" s="505"/>
      <c r="I24" s="506"/>
      <c r="J24" s="505"/>
      <c r="K24" s="821"/>
      <c r="L24" s="1748"/>
      <c r="M24" s="1741"/>
      <c r="N24" s="1741"/>
      <c r="O24" s="1741"/>
      <c r="P24" s="3727"/>
      <c r="Q24" s="1305"/>
      <c r="R24" s="1306"/>
      <c r="S24" s="1307"/>
      <c r="T24" s="1306"/>
      <c r="U24" s="1307"/>
      <c r="V24" s="1306"/>
      <c r="W24" s="1307"/>
      <c r="X24" s="1301"/>
      <c r="Y24" s="3727"/>
      <c r="Z24" s="1308"/>
      <c r="AA24" s="1308">
        <v>1</v>
      </c>
      <c r="AB24" s="1308">
        <v>1</v>
      </c>
      <c r="AC24" s="1308">
        <v>1</v>
      </c>
    </row>
    <row r="25" spans="1:29" ht="27">
      <c r="A25" s="466"/>
      <c r="B25" s="510" t="s">
        <v>497</v>
      </c>
      <c r="C25" s="833"/>
      <c r="D25" s="490">
        <v>100</v>
      </c>
      <c r="E25" s="489"/>
      <c r="F25" s="490">
        <f>SUMIF(87:87,E26,88:88)-SUMIF(87:87,C26,88:88)+100</f>
        <v>100</v>
      </c>
      <c r="G25" s="833"/>
      <c r="H25" s="490">
        <f>SUMIF(87:87,G26,88:88)-SUMIF(87:87,C26,88:88)+100</f>
        <v>100</v>
      </c>
      <c r="I25" s="489"/>
      <c r="J25" s="490">
        <f>SUMIF(87:87,I26,88:88)-SUMIF(87:87,C26,88:88)+100</f>
        <v>100</v>
      </c>
      <c r="K25" s="820"/>
      <c r="L25" s="1748"/>
      <c r="M25" s="1741"/>
      <c r="N25" s="1741"/>
      <c r="O25" s="1741"/>
      <c r="P25" s="3727"/>
      <c r="Q25" s="1305" t="str">
        <f>B25</f>
        <v>毗邻道路的类型与等级</v>
      </c>
      <c r="R25" s="1306" t="s">
        <v>5</v>
      </c>
      <c r="S25" s="1307">
        <f>F25</f>
        <v>100</v>
      </c>
      <c r="T25" s="1306" t="s">
        <v>5</v>
      </c>
      <c r="U25" s="1307">
        <f>H25</f>
        <v>100</v>
      </c>
      <c r="V25" s="1306" t="s">
        <v>5</v>
      </c>
      <c r="W25" s="1307">
        <f>J25</f>
        <v>100</v>
      </c>
      <c r="X25" s="1301"/>
      <c r="Y25" s="3727"/>
      <c r="Z25" s="1308" t="str">
        <f>Q25</f>
        <v>毗邻道路的类型与等级</v>
      </c>
      <c r="AA25" s="1308">
        <f t="shared" si="3"/>
        <v>1</v>
      </c>
      <c r="AB25" s="1308">
        <f t="shared" si="4"/>
        <v>1</v>
      </c>
      <c r="AC25" s="1308">
        <f t="shared" si="5"/>
        <v>1</v>
      </c>
    </row>
    <row r="26" spans="1:29" ht="15">
      <c r="A26" s="466"/>
      <c r="B26" s="516"/>
      <c r="C26" s="530"/>
      <c r="D26" s="490"/>
      <c r="E26" s="532"/>
      <c r="F26" s="490"/>
      <c r="G26" s="530"/>
      <c r="H26" s="490"/>
      <c r="I26" s="532"/>
      <c r="J26" s="490"/>
      <c r="K26" s="821"/>
      <c r="L26" s="1748"/>
      <c r="M26" s="1741"/>
      <c r="N26" s="1741"/>
      <c r="O26" s="1741"/>
      <c r="P26" s="3727"/>
      <c r="Q26" s="1305"/>
      <c r="R26" s="1306"/>
      <c r="S26" s="1307"/>
      <c r="T26" s="1306"/>
      <c r="U26" s="1307"/>
      <c r="V26" s="1306"/>
      <c r="W26" s="1307"/>
      <c r="X26" s="1301"/>
      <c r="Y26" s="3727"/>
      <c r="Z26" s="1308"/>
      <c r="AA26" s="1308">
        <v>1</v>
      </c>
      <c r="AB26" s="1308">
        <v>1</v>
      </c>
      <c r="AC26" s="1308">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8"/>
      <c r="M27" s="1741"/>
      <c r="N27" s="1741"/>
      <c r="O27" s="1741"/>
      <c r="P27" s="3727"/>
      <c r="Q27" s="1305" t="str">
        <f t="shared" ref="Q27:Q47" si="8">B27</f>
        <v>楼层</v>
      </c>
      <c r="R27" s="1306" t="s">
        <v>5</v>
      </c>
      <c r="S27" s="1307">
        <f>F27</f>
        <v>100</v>
      </c>
      <c r="T27" s="1306" t="s">
        <v>5</v>
      </c>
      <c r="U27" s="1307">
        <f>H27</f>
        <v>100</v>
      </c>
      <c r="V27" s="1306" t="s">
        <v>5</v>
      </c>
      <c r="W27" s="1307">
        <f>J27</f>
        <v>100</v>
      </c>
      <c r="X27" s="1301"/>
      <c r="Y27" s="3727"/>
      <c r="Z27" s="1308" t="str">
        <f>Q27</f>
        <v>楼层</v>
      </c>
      <c r="AA27" s="1308">
        <f t="shared" si="3"/>
        <v>1</v>
      </c>
      <c r="AB27" s="1308">
        <f t="shared" si="4"/>
        <v>1</v>
      </c>
      <c r="AC27" s="1308">
        <f t="shared" si="5"/>
        <v>1</v>
      </c>
    </row>
    <row r="28" spans="1:29" s="1058" customFormat="1" ht="15">
      <c r="A28" s="486"/>
      <c r="B28" s="510" t="s">
        <v>719</v>
      </c>
      <c r="C28" s="834"/>
      <c r="D28" s="516">
        <v>100</v>
      </c>
      <c r="E28" s="823"/>
      <c r="F28" s="516">
        <f>SUMIF(91:91,E28,92:92)-SUMIF(91:91,C28,92:92)+100</f>
        <v>100</v>
      </c>
      <c r="G28" s="834"/>
      <c r="H28" s="516">
        <f>SUMIF(91:91,G28,92:92)-SUMIF(91:91,C28,92:92)+100</f>
        <v>100</v>
      </c>
      <c r="I28" s="823"/>
      <c r="J28" s="516">
        <f>SUMIF(91:91,I28,92:92)-SUMIF(91:91,C28,92:92)+100</f>
        <v>100</v>
      </c>
      <c r="K28" s="533"/>
      <c r="L28" s="1742"/>
      <c r="M28" s="1639"/>
      <c r="N28" s="1639"/>
      <c r="O28" s="1639"/>
      <c r="P28" s="3727"/>
      <c r="Q28" s="816" t="str">
        <f t="shared" si="8"/>
        <v>朝向</v>
      </c>
      <c r="R28" s="1302" t="s">
        <v>5</v>
      </c>
      <c r="S28" s="1303">
        <f>F28</f>
        <v>100</v>
      </c>
      <c r="T28" s="1302" t="s">
        <v>5</v>
      </c>
      <c r="U28" s="1303">
        <f>H28</f>
        <v>100</v>
      </c>
      <c r="V28" s="1302" t="s">
        <v>5</v>
      </c>
      <c r="W28" s="1303">
        <f>J28</f>
        <v>100</v>
      </c>
      <c r="X28" s="1304"/>
      <c r="Y28" s="3727"/>
      <c r="Z28" s="995" t="str">
        <f>Q28</f>
        <v>朝向</v>
      </c>
      <c r="AA28" s="1308">
        <f>D28/F28</f>
        <v>1</v>
      </c>
      <c r="AB28" s="1308">
        <f>D28/H28</f>
        <v>1</v>
      </c>
      <c r="AC28" s="1308">
        <f>D28/J28</f>
        <v>1</v>
      </c>
    </row>
    <row r="29" spans="1:29" ht="15">
      <c r="A29" s="482"/>
      <c r="B29" s="534">
        <v>111</v>
      </c>
      <c r="C29" s="833"/>
      <c r="D29" s="490">
        <v>100</v>
      </c>
      <c r="E29" s="478"/>
      <c r="F29" s="490">
        <f>SUMIF(93:93,E29,94:94)-SUMIF(93:93,C29,94:94)+100</f>
        <v>100</v>
      </c>
      <c r="G29" s="831"/>
      <c r="H29" s="490">
        <f>SUMIF(93:93,G29,94:94)-SUMIF(93:93,C29,94:94)+100</f>
        <v>100</v>
      </c>
      <c r="I29" s="478"/>
      <c r="J29" s="490">
        <f>SUMIF(93:93,I29,94:94)-SUMIF(93:93,C29,94:94)+100</f>
        <v>100</v>
      </c>
      <c r="K29" s="531"/>
      <c r="L29" s="1748"/>
      <c r="M29" s="1741"/>
      <c r="N29" s="1741"/>
      <c r="O29" s="1741"/>
      <c r="P29" s="3727"/>
      <c r="Q29" s="1305">
        <f t="shared" si="8"/>
        <v>111</v>
      </c>
      <c r="R29" s="1306" t="s">
        <v>5</v>
      </c>
      <c r="S29" s="1307">
        <f t="shared" ref="S29:S47" si="9">F29</f>
        <v>100</v>
      </c>
      <c r="T29" s="1306" t="s">
        <v>5</v>
      </c>
      <c r="U29" s="1307">
        <f t="shared" ref="U29:U47" si="10">H29</f>
        <v>100</v>
      </c>
      <c r="V29" s="1306" t="s">
        <v>5</v>
      </c>
      <c r="W29" s="1307">
        <f t="shared" ref="W29:W47" si="11">J29</f>
        <v>100</v>
      </c>
      <c r="X29" s="1301"/>
      <c r="Y29" s="3727"/>
      <c r="Z29" s="1308">
        <f t="shared" ref="Z29:Z47" si="12">Q29</f>
        <v>111</v>
      </c>
      <c r="AA29" s="1308">
        <f t="shared" si="3"/>
        <v>1</v>
      </c>
      <c r="AB29" s="1308">
        <f t="shared" si="4"/>
        <v>1</v>
      </c>
      <c r="AC29" s="1308">
        <f t="shared" si="5"/>
        <v>1</v>
      </c>
    </row>
    <row r="30" spans="1:29" ht="15">
      <c r="A30" s="482"/>
      <c r="B30" s="534">
        <v>111</v>
      </c>
      <c r="C30" s="833"/>
      <c r="D30" s="490">
        <v>100</v>
      </c>
      <c r="E30" s="478"/>
      <c r="F30" s="490">
        <f>SUMIF(95:95,E30,96:96)-SUMIF(95:95,C30,96:96)+100</f>
        <v>100</v>
      </c>
      <c r="G30" s="831"/>
      <c r="H30" s="490">
        <f>SUMIF(95:95,G30,96:96)-SUMIF(95:95,C30,96:96)+100</f>
        <v>100</v>
      </c>
      <c r="I30" s="478"/>
      <c r="J30" s="490">
        <f>SUMIF(95:95,I30,96:96)-SUMIF(95:95,C30,96:96)+100</f>
        <v>100</v>
      </c>
      <c r="K30" s="531"/>
      <c r="L30" s="1748"/>
      <c r="M30" s="1741"/>
      <c r="N30" s="1741"/>
      <c r="O30" s="1741"/>
      <c r="P30" s="3727"/>
      <c r="Q30" s="1305">
        <f t="shared" si="8"/>
        <v>111</v>
      </c>
      <c r="R30" s="1306" t="s">
        <v>5</v>
      </c>
      <c r="S30" s="1307">
        <f t="shared" si="9"/>
        <v>100</v>
      </c>
      <c r="T30" s="1306" t="s">
        <v>5</v>
      </c>
      <c r="U30" s="1307">
        <f t="shared" si="10"/>
        <v>100</v>
      </c>
      <c r="V30" s="1306" t="s">
        <v>5</v>
      </c>
      <c r="W30" s="1307">
        <f t="shared" si="11"/>
        <v>100</v>
      </c>
      <c r="X30" s="1301"/>
      <c r="Y30" s="3727"/>
      <c r="Z30" s="1308">
        <f t="shared" si="12"/>
        <v>111</v>
      </c>
      <c r="AA30" s="1308">
        <f t="shared" si="3"/>
        <v>1</v>
      </c>
      <c r="AB30" s="1308">
        <f t="shared" si="4"/>
        <v>1</v>
      </c>
      <c r="AC30" s="1308">
        <f t="shared" si="5"/>
        <v>1</v>
      </c>
    </row>
    <row r="31" spans="1:29" ht="15">
      <c r="A31" s="482"/>
      <c r="B31" s="534">
        <v>111</v>
      </c>
      <c r="C31" s="833"/>
      <c r="D31" s="490">
        <v>100</v>
      </c>
      <c r="E31" s="478"/>
      <c r="F31" s="490">
        <f>SUMIF(97:97,E31,98:98)-SUMIF(97:97,C31,98:98)+100</f>
        <v>100</v>
      </c>
      <c r="G31" s="831"/>
      <c r="H31" s="490">
        <f>SUMIF(97:97,G31,98:98)-SUMIF(97:97,C31,98:98)+100</f>
        <v>100</v>
      </c>
      <c r="I31" s="478"/>
      <c r="J31" s="490">
        <f>SUMIF(97:97,I31,98:98)-SUMIF(97:97,C31,98:98)+100</f>
        <v>100</v>
      </c>
      <c r="K31" s="531"/>
      <c r="L31" s="1748"/>
      <c r="M31" s="1741"/>
      <c r="N31" s="1741"/>
      <c r="O31" s="1741"/>
      <c r="P31" s="3727"/>
      <c r="Q31" s="1305">
        <f t="shared" si="8"/>
        <v>111</v>
      </c>
      <c r="R31" s="1306" t="s">
        <v>5</v>
      </c>
      <c r="S31" s="1307">
        <f t="shared" si="9"/>
        <v>100</v>
      </c>
      <c r="T31" s="1306" t="s">
        <v>5</v>
      </c>
      <c r="U31" s="1307">
        <f t="shared" si="10"/>
        <v>100</v>
      </c>
      <c r="V31" s="1306" t="s">
        <v>5</v>
      </c>
      <c r="W31" s="1307">
        <f t="shared" si="11"/>
        <v>100</v>
      </c>
      <c r="X31" s="1301"/>
      <c r="Y31" s="3727"/>
      <c r="Z31" s="1308">
        <f t="shared" si="12"/>
        <v>111</v>
      </c>
      <c r="AA31" s="1308">
        <f t="shared" si="3"/>
        <v>1</v>
      </c>
      <c r="AB31" s="1308">
        <f t="shared" si="4"/>
        <v>1</v>
      </c>
      <c r="AC31" s="1308">
        <f t="shared" si="5"/>
        <v>1</v>
      </c>
    </row>
    <row r="32" spans="1:29" ht="15.75" thickBot="1">
      <c r="A32" s="493"/>
      <c r="B32" s="835">
        <v>111</v>
      </c>
      <c r="C32" s="836"/>
      <c r="D32" s="496">
        <v>100</v>
      </c>
      <c r="E32" s="832"/>
      <c r="F32" s="496">
        <f>SUMIF(99:99,E32,100:100)-SUMIF(99:99,C32,100:100)+100</f>
        <v>100</v>
      </c>
      <c r="G32" s="831"/>
      <c r="H32" s="496">
        <f>SUMIF(99:99,G32,100:100)-SUMIF(99:99,C32,100:100)+100</f>
        <v>100</v>
      </c>
      <c r="I32" s="478"/>
      <c r="J32" s="496">
        <f>SUMIF(99:99,I32,100:100)-SUMIF(99:99,C32,100:100)+100</f>
        <v>100</v>
      </c>
      <c r="K32" s="531"/>
      <c r="L32" s="1748"/>
      <c r="M32" s="1741"/>
      <c r="N32" s="1741"/>
      <c r="O32" s="1741"/>
      <c r="P32" s="3727"/>
      <c r="Q32" s="1305">
        <f t="shared" si="8"/>
        <v>111</v>
      </c>
      <c r="R32" s="1306" t="s">
        <v>5</v>
      </c>
      <c r="S32" s="1307">
        <f t="shared" si="9"/>
        <v>100</v>
      </c>
      <c r="T32" s="1306" t="s">
        <v>5</v>
      </c>
      <c r="U32" s="1307">
        <f t="shared" si="10"/>
        <v>100</v>
      </c>
      <c r="V32" s="1306" t="s">
        <v>5</v>
      </c>
      <c r="W32" s="1307">
        <f t="shared" si="11"/>
        <v>100</v>
      </c>
      <c r="X32" s="1301"/>
      <c r="Y32" s="3727"/>
      <c r="Z32" s="1308">
        <f t="shared" si="12"/>
        <v>111</v>
      </c>
      <c r="AA32" s="1308">
        <f t="shared" si="3"/>
        <v>1</v>
      </c>
      <c r="AB32" s="1308">
        <f t="shared" si="4"/>
        <v>1</v>
      </c>
      <c r="AC32" s="1308">
        <f t="shared" si="5"/>
        <v>1</v>
      </c>
    </row>
    <row r="33" spans="1:29" ht="15">
      <c r="A33" s="2203" t="s">
        <v>2034</v>
      </c>
      <c r="B33" s="156" t="s">
        <v>720</v>
      </c>
      <c r="C33" s="802"/>
      <c r="D33" s="546">
        <v>100</v>
      </c>
      <c r="E33" s="802"/>
      <c r="F33" s="525">
        <f>SUMIF(101:101,E33,102:102)-SUMIF(101:101,C33,102:102)+100</f>
        <v>100</v>
      </c>
      <c r="G33" s="802"/>
      <c r="H33" s="490">
        <f>SUMIF(101:101,G33,102:102)-SUMIF(101:101,C33,102:102)+100</f>
        <v>100</v>
      </c>
      <c r="I33" s="802"/>
      <c r="J33" s="546">
        <f>SUMIF(101:101,I33,102:102)-SUMIF(101:101,C33,102:102)+100</f>
        <v>100</v>
      </c>
      <c r="K33" s="533"/>
      <c r="L33" s="1748"/>
      <c r="M33" s="1741"/>
      <c r="N33" s="1741"/>
      <c r="O33" s="1741"/>
      <c r="P33" s="3728" t="s">
        <v>499</v>
      </c>
      <c r="Q33" s="1305" t="str">
        <f t="shared" si="8"/>
        <v>建筑类型</v>
      </c>
      <c r="R33" s="1306" t="s">
        <v>5</v>
      </c>
      <c r="S33" s="1307">
        <f t="shared" si="9"/>
        <v>100</v>
      </c>
      <c r="T33" s="1306" t="s">
        <v>5</v>
      </c>
      <c r="U33" s="1307">
        <f t="shared" si="10"/>
        <v>100</v>
      </c>
      <c r="V33" s="1306" t="s">
        <v>5</v>
      </c>
      <c r="W33" s="1307">
        <f t="shared" si="11"/>
        <v>100</v>
      </c>
      <c r="X33" s="1301"/>
      <c r="Y33" s="3729" t="s">
        <v>499</v>
      </c>
      <c r="Z33" s="1308" t="str">
        <f t="shared" si="12"/>
        <v>建筑类型</v>
      </c>
      <c r="AA33" s="1308">
        <f t="shared" si="3"/>
        <v>1</v>
      </c>
      <c r="AB33" s="1308">
        <f t="shared" si="4"/>
        <v>1</v>
      </c>
      <c r="AC33" s="1308">
        <f t="shared" si="5"/>
        <v>1</v>
      </c>
    </row>
    <row r="34" spans="1:29" s="1132" customFormat="1" ht="15">
      <c r="A34" s="552"/>
      <c r="B34" s="477" t="s">
        <v>673</v>
      </c>
      <c r="C34" s="804"/>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6"/>
      <c r="M34" s="1770"/>
      <c r="N34" s="1770"/>
      <c r="O34" s="1770"/>
      <c r="P34" s="3729"/>
      <c r="Q34" s="817" t="str">
        <f t="shared" si="8"/>
        <v>项目建筑规模</v>
      </c>
      <c r="R34" s="1309" t="s">
        <v>5</v>
      </c>
      <c r="S34" s="1310" t="e">
        <f t="shared" si="9"/>
        <v>#N/A</v>
      </c>
      <c r="T34" s="1309" t="s">
        <v>5</v>
      </c>
      <c r="U34" s="1310" t="e">
        <f t="shared" si="10"/>
        <v>#N/A</v>
      </c>
      <c r="V34" s="1309" t="s">
        <v>5</v>
      </c>
      <c r="W34" s="1310" t="e">
        <f t="shared" si="11"/>
        <v>#N/A</v>
      </c>
      <c r="X34" s="1311"/>
      <c r="Y34" s="3729"/>
      <c r="Z34" s="1312" t="str">
        <f t="shared" si="12"/>
        <v>项目建筑规模</v>
      </c>
      <c r="AA34" s="1308" t="e">
        <f t="shared" si="3"/>
        <v>#N/A</v>
      </c>
      <c r="AB34" s="1308" t="e">
        <f t="shared" si="4"/>
        <v>#N/A</v>
      </c>
      <c r="AC34" s="1308"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8"/>
      <c r="M35" s="1741"/>
      <c r="N35" s="1741"/>
      <c r="O35" s="1741"/>
      <c r="P35" s="3729"/>
      <c r="Q35" s="1305" t="str">
        <f t="shared" si="8"/>
        <v>建筑结构</v>
      </c>
      <c r="R35" s="1306" t="s">
        <v>5</v>
      </c>
      <c r="S35" s="1307">
        <f t="shared" si="9"/>
        <v>100</v>
      </c>
      <c r="T35" s="1306" t="s">
        <v>5</v>
      </c>
      <c r="U35" s="1307">
        <f t="shared" si="10"/>
        <v>100</v>
      </c>
      <c r="V35" s="1306" t="s">
        <v>5</v>
      </c>
      <c r="W35" s="1307">
        <f t="shared" si="11"/>
        <v>100</v>
      </c>
      <c r="X35" s="1301"/>
      <c r="Y35" s="3729"/>
      <c r="Z35" s="1308" t="str">
        <f t="shared" si="12"/>
        <v>建筑结构</v>
      </c>
      <c r="AA35" s="1308">
        <f t="shared" si="3"/>
        <v>1</v>
      </c>
      <c r="AB35" s="1308">
        <f t="shared" si="4"/>
        <v>1</v>
      </c>
      <c r="AC35" s="1308">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8"/>
      <c r="M36" s="1741"/>
      <c r="N36" s="1741"/>
      <c r="O36" s="1741"/>
      <c r="P36" s="3729"/>
      <c r="Q36" s="1305" t="str">
        <f t="shared" si="8"/>
        <v>公共部分装修</v>
      </c>
      <c r="R36" s="1306" t="s">
        <v>5</v>
      </c>
      <c r="S36" s="1307">
        <f t="shared" si="9"/>
        <v>100</v>
      </c>
      <c r="T36" s="1306" t="s">
        <v>5</v>
      </c>
      <c r="U36" s="1307">
        <f t="shared" si="10"/>
        <v>100</v>
      </c>
      <c r="V36" s="1306" t="s">
        <v>5</v>
      </c>
      <c r="W36" s="1307">
        <f t="shared" si="11"/>
        <v>100</v>
      </c>
      <c r="X36" s="1301"/>
      <c r="Y36" s="3729"/>
      <c r="Z36" s="1308" t="str">
        <f t="shared" si="12"/>
        <v>公共部分装修</v>
      </c>
      <c r="AA36" s="1308">
        <f t="shared" si="3"/>
        <v>1</v>
      </c>
      <c r="AB36" s="1308">
        <f t="shared" si="4"/>
        <v>1</v>
      </c>
      <c r="AC36" s="1308">
        <f t="shared" si="5"/>
        <v>1</v>
      </c>
    </row>
    <row r="37" spans="1:29" ht="15">
      <c r="A37" s="543"/>
      <c r="B37" s="477" t="s">
        <v>704</v>
      </c>
      <c r="C37" s="806"/>
      <c r="D37" s="490">
        <v>100</v>
      </c>
      <c r="E37" s="806"/>
      <c r="F37" s="525" t="e">
        <f>LOOKUP(E37,111:111,112:112)-LOOKUP(C37,111:111,112:112)+100</f>
        <v>#N/A</v>
      </c>
      <c r="G37" s="806"/>
      <c r="H37" s="525" t="e">
        <f>LOOKUP(G37,111:111,112:112)-LOOKUP(C37,111:111,112:112)+100</f>
        <v>#N/A</v>
      </c>
      <c r="I37" s="806"/>
      <c r="J37" s="490" t="e">
        <f>LOOKUP(I37,111:111,112:112)-LOOKUP(C37,111:111,112:112)+100</f>
        <v>#N/A</v>
      </c>
      <c r="K37" s="533"/>
      <c r="L37" s="1748"/>
      <c r="M37" s="1741"/>
      <c r="N37" s="1741"/>
      <c r="O37" s="1741"/>
      <c r="P37" s="3729"/>
      <c r="Q37" s="1305" t="str">
        <f t="shared" si="8"/>
        <v>成新度</v>
      </c>
      <c r="R37" s="1306" t="s">
        <v>5</v>
      </c>
      <c r="S37" s="1307" t="e">
        <f t="shared" si="9"/>
        <v>#N/A</v>
      </c>
      <c r="T37" s="1306" t="s">
        <v>5</v>
      </c>
      <c r="U37" s="1307" t="e">
        <f t="shared" si="10"/>
        <v>#N/A</v>
      </c>
      <c r="V37" s="1306" t="s">
        <v>5</v>
      </c>
      <c r="W37" s="1307" t="e">
        <f t="shared" si="11"/>
        <v>#N/A</v>
      </c>
      <c r="X37" s="1301"/>
      <c r="Y37" s="3729"/>
      <c r="Z37" s="1308" t="str">
        <f t="shared" si="12"/>
        <v>成新度</v>
      </c>
      <c r="AA37" s="1308" t="e">
        <f t="shared" si="3"/>
        <v>#N/A</v>
      </c>
      <c r="AB37" s="1308" t="e">
        <f t="shared" si="4"/>
        <v>#N/A</v>
      </c>
      <c r="AC37" s="1308" t="e">
        <f t="shared" si="5"/>
        <v>#N/A</v>
      </c>
    </row>
    <row r="38" spans="1:29" s="1058"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2"/>
      <c r="M38" s="1639"/>
      <c r="N38" s="1639"/>
      <c r="O38" s="1639"/>
      <c r="P38" s="3729"/>
      <c r="Q38" s="816" t="str">
        <f t="shared" si="8"/>
        <v>写字楼等级</v>
      </c>
      <c r="R38" s="1302" t="s">
        <v>5</v>
      </c>
      <c r="S38" s="1303">
        <f t="shared" si="9"/>
        <v>100</v>
      </c>
      <c r="T38" s="1302" t="s">
        <v>5</v>
      </c>
      <c r="U38" s="1303">
        <f t="shared" si="10"/>
        <v>100</v>
      </c>
      <c r="V38" s="1302" t="s">
        <v>5</v>
      </c>
      <c r="W38" s="1303">
        <f t="shared" si="11"/>
        <v>100</v>
      </c>
      <c r="X38" s="1304"/>
      <c r="Y38" s="3729"/>
      <c r="Z38" s="995" t="str">
        <f t="shared" si="12"/>
        <v>写字楼等级</v>
      </c>
      <c r="AA38" s="995">
        <f t="shared" si="3"/>
        <v>1</v>
      </c>
      <c r="AB38" s="995">
        <f t="shared" si="4"/>
        <v>1</v>
      </c>
      <c r="AC38" s="995">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8"/>
      <c r="M39" s="1741"/>
      <c r="N39" s="1741"/>
      <c r="O39" s="1741"/>
      <c r="P39" s="3729" t="s">
        <v>499</v>
      </c>
      <c r="Q39" s="1305" t="str">
        <f t="shared" si="8"/>
        <v>物业管理</v>
      </c>
      <c r="R39" s="1306" t="s">
        <v>5</v>
      </c>
      <c r="S39" s="1307">
        <f t="shared" si="9"/>
        <v>100</v>
      </c>
      <c r="T39" s="1306" t="s">
        <v>5</v>
      </c>
      <c r="U39" s="1307">
        <f t="shared" si="10"/>
        <v>100</v>
      </c>
      <c r="V39" s="1306" t="s">
        <v>5</v>
      </c>
      <c r="W39" s="1307">
        <f t="shared" si="11"/>
        <v>100</v>
      </c>
      <c r="X39" s="1301"/>
      <c r="Y39" s="3729" t="s">
        <v>499</v>
      </c>
      <c r="Z39" s="1308" t="str">
        <f t="shared" si="12"/>
        <v>物业管理</v>
      </c>
      <c r="AA39" s="1308">
        <f t="shared" si="3"/>
        <v>1</v>
      </c>
      <c r="AB39" s="1308">
        <f t="shared" si="4"/>
        <v>1</v>
      </c>
      <c r="AC39" s="1308">
        <f t="shared" si="5"/>
        <v>1</v>
      </c>
    </row>
    <row r="40" spans="1:29" ht="15">
      <c r="A40" s="543"/>
      <c r="B40" s="1553" t="s">
        <v>1845</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8"/>
      <c r="M40" s="1741"/>
      <c r="N40" s="1741"/>
      <c r="O40" s="1741"/>
      <c r="P40" s="3729"/>
      <c r="Q40" s="1305" t="str">
        <f t="shared" si="8"/>
        <v>市政基础设施</v>
      </c>
      <c r="R40" s="1306" t="s">
        <v>5</v>
      </c>
      <c r="S40" s="1307">
        <f t="shared" si="9"/>
        <v>100</v>
      </c>
      <c r="T40" s="1306" t="s">
        <v>5</v>
      </c>
      <c r="U40" s="1307">
        <f t="shared" si="10"/>
        <v>100</v>
      </c>
      <c r="V40" s="1306" t="s">
        <v>5</v>
      </c>
      <c r="W40" s="1307">
        <f t="shared" si="11"/>
        <v>100</v>
      </c>
      <c r="X40" s="1301"/>
      <c r="Y40" s="3729"/>
      <c r="Z40" s="1308" t="str">
        <f t="shared" si="12"/>
        <v>市政基础设施</v>
      </c>
      <c r="AA40" s="1308">
        <f t="shared" si="3"/>
        <v>1</v>
      </c>
      <c r="AB40" s="1308">
        <f t="shared" si="4"/>
        <v>1</v>
      </c>
      <c r="AC40" s="1308">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8"/>
      <c r="M41" s="1741"/>
      <c r="N41" s="1741"/>
      <c r="O41" s="1741"/>
      <c r="P41" s="3729"/>
      <c r="Q41" s="1305" t="str">
        <f t="shared" si="8"/>
        <v>层高</v>
      </c>
      <c r="R41" s="1306" t="s">
        <v>5</v>
      </c>
      <c r="S41" s="1307">
        <f t="shared" si="9"/>
        <v>100</v>
      </c>
      <c r="T41" s="1306" t="s">
        <v>5</v>
      </c>
      <c r="U41" s="1307">
        <f t="shared" si="10"/>
        <v>100</v>
      </c>
      <c r="V41" s="1306" t="s">
        <v>5</v>
      </c>
      <c r="W41" s="1307">
        <f t="shared" si="11"/>
        <v>100</v>
      </c>
      <c r="X41" s="1301"/>
      <c r="Y41" s="3729"/>
      <c r="Z41" s="1308" t="str">
        <f t="shared" si="12"/>
        <v>层高</v>
      </c>
      <c r="AA41" s="1308">
        <f t="shared" si="3"/>
        <v>1</v>
      </c>
      <c r="AB41" s="1308">
        <f t="shared" si="4"/>
        <v>1</v>
      </c>
      <c r="AC41" s="1308">
        <f t="shared" si="5"/>
        <v>1</v>
      </c>
    </row>
    <row r="42" spans="1:29" s="1132"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6"/>
      <c r="M42" s="1770"/>
      <c r="N42" s="1770"/>
      <c r="O42" s="1770"/>
      <c r="P42" s="3729"/>
      <c r="Q42" s="817" t="str">
        <f t="shared" si="8"/>
        <v>单套建筑面积</v>
      </c>
      <c r="R42" s="1309" t="s">
        <v>5</v>
      </c>
      <c r="S42" s="1310">
        <f t="shared" si="9"/>
        <v>100</v>
      </c>
      <c r="T42" s="1309" t="s">
        <v>5</v>
      </c>
      <c r="U42" s="1310">
        <f t="shared" si="10"/>
        <v>100</v>
      </c>
      <c r="V42" s="1309" t="s">
        <v>5</v>
      </c>
      <c r="W42" s="1310">
        <f t="shared" si="11"/>
        <v>100</v>
      </c>
      <c r="X42" s="1311"/>
      <c r="Y42" s="3729"/>
      <c r="Z42" s="1312" t="str">
        <f t="shared" si="12"/>
        <v>单套建筑面积</v>
      </c>
      <c r="AA42" s="1308">
        <f t="shared" si="3"/>
        <v>1</v>
      </c>
      <c r="AB42" s="1308">
        <f t="shared" si="4"/>
        <v>1</v>
      </c>
      <c r="AC42" s="1308">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8"/>
      <c r="M43" s="1741"/>
      <c r="N43" s="1741"/>
      <c r="O43" s="1741"/>
      <c r="P43" s="3729"/>
      <c r="Q43" s="1305" t="str">
        <f t="shared" si="8"/>
        <v>内部装修</v>
      </c>
      <c r="R43" s="1306" t="s">
        <v>5</v>
      </c>
      <c r="S43" s="1307">
        <f t="shared" si="9"/>
        <v>100</v>
      </c>
      <c r="T43" s="1306" t="s">
        <v>5</v>
      </c>
      <c r="U43" s="1307">
        <f t="shared" si="10"/>
        <v>100</v>
      </c>
      <c r="V43" s="1306" t="s">
        <v>5</v>
      </c>
      <c r="W43" s="1307">
        <f t="shared" si="11"/>
        <v>100</v>
      </c>
      <c r="X43" s="1301"/>
      <c r="Y43" s="3729"/>
      <c r="Z43" s="1308" t="str">
        <f t="shared" si="12"/>
        <v>内部装修</v>
      </c>
      <c r="AA43" s="1308">
        <f t="shared" si="3"/>
        <v>1</v>
      </c>
      <c r="AB43" s="1308">
        <f t="shared" si="4"/>
        <v>1</v>
      </c>
      <c r="AC43" s="1308">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8"/>
      <c r="M44" s="1741"/>
      <c r="N44" s="1741"/>
      <c r="O44" s="1741"/>
      <c r="P44" s="3729"/>
      <c r="Q44" s="1305" t="str">
        <f t="shared" si="8"/>
        <v>内部装修维护情况</v>
      </c>
      <c r="R44" s="1306" t="s">
        <v>5</v>
      </c>
      <c r="S44" s="1307">
        <f t="shared" si="9"/>
        <v>100</v>
      </c>
      <c r="T44" s="1306" t="s">
        <v>5</v>
      </c>
      <c r="U44" s="1307">
        <f t="shared" si="10"/>
        <v>100</v>
      </c>
      <c r="V44" s="1306" t="s">
        <v>5</v>
      </c>
      <c r="W44" s="1307">
        <f t="shared" si="11"/>
        <v>100</v>
      </c>
      <c r="X44" s="1301"/>
      <c r="Y44" s="3729"/>
      <c r="Z44" s="1308" t="str">
        <f t="shared" si="12"/>
        <v>内部装修维护情况</v>
      </c>
      <c r="AA44" s="1308">
        <f t="shared" si="3"/>
        <v>1</v>
      </c>
      <c r="AB44" s="1308">
        <f t="shared" si="4"/>
        <v>1</v>
      </c>
      <c r="AC44" s="1308">
        <f t="shared" si="5"/>
        <v>1</v>
      </c>
    </row>
    <row r="45" spans="1:29" s="1058" customFormat="1" ht="15">
      <c r="A45" s="549"/>
      <c r="B45" s="91">
        <v>111</v>
      </c>
      <c r="C45" s="804"/>
      <c r="D45" s="235">
        <v>100</v>
      </c>
      <c r="E45" s="478"/>
      <c r="F45" s="477">
        <f>SUMIF(127:127,E45,128:128)-SUMIF(127:127,C45,128:128)+100</f>
        <v>100</v>
      </c>
      <c r="G45" s="478"/>
      <c r="H45" s="235">
        <f>SUMIF(127:127,G45,128:128)-SUMIF(127:127,C45,128:128)+100</f>
        <v>100</v>
      </c>
      <c r="I45" s="478"/>
      <c r="J45" s="235">
        <f>SUMIF(127:127,I45,128:128)-SUMIF(127:127,C45,128:128)+100</f>
        <v>100</v>
      </c>
      <c r="K45" s="531"/>
      <c r="L45" s="1742"/>
      <c r="M45" s="1639"/>
      <c r="N45" s="1639"/>
      <c r="O45" s="1639"/>
      <c r="P45" s="3729"/>
      <c r="Q45" s="816">
        <f t="shared" si="8"/>
        <v>111</v>
      </c>
      <c r="R45" s="1302" t="s">
        <v>5</v>
      </c>
      <c r="S45" s="1303">
        <f t="shared" si="9"/>
        <v>100</v>
      </c>
      <c r="T45" s="1302" t="s">
        <v>5</v>
      </c>
      <c r="U45" s="1303">
        <f t="shared" si="10"/>
        <v>100</v>
      </c>
      <c r="V45" s="1302" t="s">
        <v>5</v>
      </c>
      <c r="W45" s="1303">
        <f t="shared" si="11"/>
        <v>100</v>
      </c>
      <c r="X45" s="1304"/>
      <c r="Y45" s="3729"/>
      <c r="Z45" s="995">
        <f t="shared" si="12"/>
        <v>111</v>
      </c>
      <c r="AA45" s="995">
        <f t="shared" si="3"/>
        <v>1</v>
      </c>
      <c r="AB45" s="995">
        <f t="shared" si="4"/>
        <v>1</v>
      </c>
      <c r="AC45" s="995">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8"/>
      <c r="M46" s="1741"/>
      <c r="N46" s="1741"/>
      <c r="O46" s="1741"/>
      <c r="P46" s="3729"/>
      <c r="Q46" s="1305">
        <f t="shared" si="8"/>
        <v>111</v>
      </c>
      <c r="R46" s="1306" t="s">
        <v>5</v>
      </c>
      <c r="S46" s="1307">
        <f t="shared" si="9"/>
        <v>100</v>
      </c>
      <c r="T46" s="1306" t="s">
        <v>5</v>
      </c>
      <c r="U46" s="1307">
        <f t="shared" si="10"/>
        <v>100</v>
      </c>
      <c r="V46" s="1306" t="s">
        <v>5</v>
      </c>
      <c r="W46" s="1307">
        <f t="shared" si="11"/>
        <v>100</v>
      </c>
      <c r="X46" s="1301"/>
      <c r="Y46" s="3729"/>
      <c r="Z46" s="1308">
        <f t="shared" si="12"/>
        <v>111</v>
      </c>
      <c r="AA46" s="1308">
        <f t="shared" si="3"/>
        <v>1</v>
      </c>
      <c r="AB46" s="1308">
        <f t="shared" si="4"/>
        <v>1</v>
      </c>
      <c r="AC46" s="1308">
        <f t="shared" si="5"/>
        <v>1</v>
      </c>
    </row>
    <row r="47" spans="1:29" ht="15.75" thickBot="1">
      <c r="A47" s="809"/>
      <c r="B47" s="494">
        <v>111</v>
      </c>
      <c r="C47" s="495"/>
      <c r="D47" s="496">
        <v>100</v>
      </c>
      <c r="E47" s="478"/>
      <c r="F47" s="794">
        <f>SUMIF(131:131,E47,132:132)-SUMIF(131:131,C47,132:132)+100</f>
        <v>100</v>
      </c>
      <c r="G47" s="478"/>
      <c r="H47" s="496">
        <f>SUMIF(131:131,G47,132:132)-SUMIF(131:131,C47,132:132)+100</f>
        <v>100</v>
      </c>
      <c r="I47" s="478"/>
      <c r="J47" s="496">
        <f>SUMIF(131:131,I47,132:132)-SUMIF(131:131,C47,132:132)+100</f>
        <v>100</v>
      </c>
      <c r="K47" s="531"/>
      <c r="L47" s="1748"/>
      <c r="M47" s="1741"/>
      <c r="N47" s="1741"/>
      <c r="O47" s="1741"/>
      <c r="P47" s="3836"/>
      <c r="Q47" s="1305">
        <f t="shared" si="8"/>
        <v>111</v>
      </c>
      <c r="R47" s="1306" t="s">
        <v>5</v>
      </c>
      <c r="S47" s="1307">
        <f t="shared" si="9"/>
        <v>100</v>
      </c>
      <c r="T47" s="1306" t="s">
        <v>5</v>
      </c>
      <c r="U47" s="1307">
        <f t="shared" si="10"/>
        <v>100</v>
      </c>
      <c r="V47" s="1306" t="s">
        <v>5</v>
      </c>
      <c r="W47" s="1307">
        <f t="shared" si="11"/>
        <v>100</v>
      </c>
      <c r="X47" s="1301"/>
      <c r="Y47" s="3836"/>
      <c r="Z47" s="1308">
        <f t="shared" si="12"/>
        <v>111</v>
      </c>
      <c r="AA47" s="1308">
        <f t="shared" si="3"/>
        <v>1</v>
      </c>
      <c r="AB47" s="1308">
        <f t="shared" si="4"/>
        <v>1</v>
      </c>
      <c r="AC47" s="1308">
        <f t="shared" si="5"/>
        <v>1</v>
      </c>
    </row>
    <row r="48" spans="1:29" ht="15">
      <c r="A48" s="556" t="s">
        <v>683</v>
      </c>
      <c r="B48" s="810"/>
      <c r="C48" s="2080" t="s">
        <v>0</v>
      </c>
      <c r="D48" s="559"/>
      <c r="E48" s="560"/>
      <c r="F48" s="561"/>
      <c r="G48" s="562"/>
      <c r="H48" s="563"/>
      <c r="I48" s="560"/>
      <c r="J48" s="563"/>
      <c r="K48" s="1334"/>
      <c r="L48" s="1750"/>
      <c r="M48" s="1741"/>
      <c r="N48" s="1741"/>
      <c r="O48" s="1741"/>
      <c r="P48" s="3731" t="str">
        <f>A48</f>
        <v>成交单价（元/平方米）</v>
      </c>
      <c r="Q48" s="3724"/>
      <c r="R48" s="3740">
        <f>E48</f>
        <v>0</v>
      </c>
      <c r="S48" s="3740"/>
      <c r="T48" s="3740">
        <f>G48</f>
        <v>0</v>
      </c>
      <c r="U48" s="3740"/>
      <c r="V48" s="3740">
        <f>I48</f>
        <v>0</v>
      </c>
      <c r="W48" s="3740"/>
      <c r="X48" s="797"/>
      <c r="Y48" s="1313"/>
      <c r="Z48" s="797"/>
      <c r="AA48" s="797"/>
      <c r="AB48" s="797"/>
      <c r="AC48" s="797"/>
    </row>
    <row r="49" spans="1:29" ht="15.75" thickBot="1">
      <c r="A49" s="564" t="s">
        <v>2039</v>
      </c>
      <c r="B49" s="811"/>
      <c r="C49" s="2081" t="e">
        <f>R50</f>
        <v>#DIV/0!</v>
      </c>
      <c r="D49" s="2549" t="s">
        <v>2255</v>
      </c>
      <c r="E49" s="2082" t="e">
        <f>R49</f>
        <v>#DIV/0!</v>
      </c>
      <c r="F49" s="2550"/>
      <c r="G49" s="2081" t="e">
        <f>T49</f>
        <v>#DIV/0!</v>
      </c>
      <c r="H49" s="2550"/>
      <c r="I49" s="2082" t="e">
        <f>V49</f>
        <v>#DIV/0!</v>
      </c>
      <c r="J49" s="2550"/>
      <c r="K49" s="2557">
        <f>F49+H49+J49</f>
        <v>0</v>
      </c>
      <c r="L49" s="1750"/>
      <c r="M49" s="1741"/>
      <c r="N49" s="1741"/>
      <c r="O49" s="1741"/>
      <c r="P49" s="3731" t="str">
        <f>A49</f>
        <v>比较价格（元/平方米）</v>
      </c>
      <c r="Q49" s="3724"/>
      <c r="R49" s="3740" t="e">
        <f>IF(F1="售价",ROUND(PRODUCT(R48,AA7:AA47),0),ROUND(PRODUCT(R48,AA7:AA47),1))</f>
        <v>#DIV/0!</v>
      </c>
      <c r="S49" s="3740"/>
      <c r="T49" s="3740" t="e">
        <f>IF(F1="售价",ROUND(PRODUCT(T48,AB7:AB47),0),ROUND(PRODUCT(T48,AB7:AB47),1))</f>
        <v>#DIV/0!</v>
      </c>
      <c r="U49" s="3740"/>
      <c r="V49" s="3740" t="e">
        <f>IF(F1="售价",ROUND(PRODUCT(V48,AC7:AC47),0),ROUND(PRODUCT(V48,AC7:AC47),1))</f>
        <v>#DIV/0!</v>
      </c>
      <c r="W49" s="3740"/>
      <c r="X49" s="797"/>
      <c r="Y49" s="797"/>
      <c r="Z49" s="797"/>
      <c r="AA49" s="797"/>
      <c r="AB49" s="797"/>
      <c r="AC49" s="797"/>
    </row>
    <row r="50" spans="1:29" ht="15.75" thickBot="1">
      <c r="A50" s="568" t="s">
        <v>2192</v>
      </c>
      <c r="B50" s="569"/>
      <c r="C50" s="469" t="e">
        <f>R50</f>
        <v>#DIV/0!</v>
      </c>
      <c r="D50" s="469"/>
      <c r="E50" s="469"/>
      <c r="F50" s="469"/>
      <c r="G50" s="469"/>
      <c r="H50" s="469"/>
      <c r="I50" s="469"/>
      <c r="J50" s="469"/>
      <c r="K50" s="1335"/>
      <c r="L50" s="1750"/>
      <c r="M50" s="1741"/>
      <c r="N50" s="1741"/>
      <c r="O50" s="1741"/>
      <c r="P50" s="3840" t="str">
        <f>A50</f>
        <v>估价对象XX用房的比较价格（楼面单价，元/平方米）</v>
      </c>
      <c r="Q50" s="3731"/>
      <c r="R50" s="3835" t="e">
        <f>IF(F1="售价",ROUND(IF(D49="简单平均",AVERAGE(R49:V49),R49*F49+T49*H49+V49*J49),0),ROUND(IF(D49="简单平均",AVERAGE(R49:V49),R49*F49+T49*H49+V49*J49),1))</f>
        <v>#DIV/0!</v>
      </c>
      <c r="S50" s="3835"/>
      <c r="T50" s="3835"/>
      <c r="U50" s="3835"/>
      <c r="V50" s="3835"/>
      <c r="W50" s="3835"/>
      <c r="X50" s="797"/>
      <c r="Y50" s="797"/>
      <c r="Z50" s="797"/>
      <c r="AA50" s="797"/>
      <c r="AB50" s="797"/>
      <c r="AC50" s="797"/>
    </row>
    <row r="51" spans="1:29">
      <c r="A51" s="2720"/>
      <c r="B51" s="2720"/>
      <c r="C51" s="2720"/>
      <c r="D51" s="2720"/>
      <c r="E51" s="2720"/>
      <c r="F51" s="2720"/>
      <c r="G51" s="2722"/>
      <c r="H51" s="2720"/>
      <c r="I51" s="2720"/>
      <c r="J51" s="2720"/>
      <c r="K51" s="2723"/>
      <c r="L51" s="1754"/>
      <c r="M51" s="1741"/>
      <c r="N51" s="1741"/>
      <c r="O51" s="1741"/>
      <c r="P51" s="1803"/>
      <c r="Q51" s="1741"/>
      <c r="R51" s="1741"/>
      <c r="S51" s="1741"/>
      <c r="T51" s="1741"/>
      <c r="U51" s="1741"/>
      <c r="V51" s="1741"/>
      <c r="W51" s="1741"/>
      <c r="X51" s="1741"/>
      <c r="Y51" s="1741"/>
      <c r="Z51" s="1741"/>
      <c r="AA51" s="1741"/>
      <c r="AB51" s="1741"/>
      <c r="AC51" s="1741"/>
    </row>
    <row r="52" spans="1:29">
      <c r="A52" s="2720"/>
      <c r="B52" s="2720"/>
      <c r="C52" s="2720"/>
      <c r="D52" s="2720"/>
      <c r="E52" s="2720"/>
      <c r="F52" s="2720"/>
      <c r="G52" s="2720"/>
      <c r="H52" s="2720"/>
      <c r="I52" s="2720"/>
      <c r="J52" s="2720"/>
      <c r="K52" s="2723"/>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4"/>
      <c r="M54" s="1741"/>
      <c r="N54" s="1741"/>
      <c r="O54" s="1741"/>
      <c r="P54" s="1803"/>
      <c r="Q54" s="1741"/>
      <c r="R54" s="1741"/>
      <c r="S54" s="1741"/>
      <c r="T54" s="1741"/>
      <c r="U54" s="1741"/>
      <c r="V54" s="1741"/>
      <c r="W54" s="1741"/>
      <c r="X54" s="1741"/>
      <c r="Y54" s="1741"/>
      <c r="Z54" s="1741"/>
      <c r="AA54" s="1741"/>
      <c r="AB54" s="1741"/>
      <c r="AC54" s="1741"/>
    </row>
    <row r="55" spans="1:29" s="1137"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7"/>
      <c r="M55" s="1751"/>
      <c r="N55" s="1751"/>
      <c r="O55" s="1751"/>
      <c r="P55" s="1804"/>
      <c r="Q55" s="1751"/>
      <c r="R55" s="1751"/>
      <c r="S55" s="1751"/>
      <c r="T55" s="1751"/>
      <c r="U55" s="1751"/>
      <c r="V55" s="1751"/>
      <c r="W55" s="1751"/>
      <c r="X55" s="1751"/>
      <c r="Y55" s="1751"/>
      <c r="Z55" s="1751"/>
      <c r="AA55" s="1751"/>
      <c r="AB55" s="1751"/>
      <c r="AC55" s="1751"/>
    </row>
    <row r="56" spans="1:29" s="1137"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1.75" thickBot="1">
      <c r="A58" s="1316" t="s">
        <v>522</v>
      </c>
      <c r="B58" s="797"/>
      <c r="C58" s="1315"/>
      <c r="D58" s="1315"/>
      <c r="E58" s="1315"/>
      <c r="F58" s="1317"/>
      <c r="G58" s="1317"/>
      <c r="H58" s="1315"/>
      <c r="I58" s="1315"/>
      <c r="J58" s="1315"/>
      <c r="K58" s="1318"/>
      <c r="L58" s="1314"/>
      <c r="M58" s="1315"/>
      <c r="N58" s="1761"/>
      <c r="O58" s="1761"/>
      <c r="P58" s="1805"/>
      <c r="Q58" s="1762"/>
      <c r="R58" s="1741"/>
      <c r="S58" s="1741"/>
      <c r="T58" s="1741"/>
      <c r="U58" s="1741"/>
      <c r="V58" s="1741"/>
      <c r="W58" s="1741"/>
      <c r="X58" s="1741"/>
      <c r="Y58" s="1741"/>
      <c r="Z58" s="1741"/>
      <c r="AA58" s="1741"/>
      <c r="AB58" s="1741"/>
      <c r="AC58" s="1741"/>
    </row>
    <row r="59" spans="1:29" s="1139" customFormat="1" ht="15">
      <c r="A59" s="592" t="s">
        <v>478</v>
      </c>
      <c r="B59" s="593"/>
      <c r="C59" s="2112" t="str">
        <f>YEAR(C7)&amp;"-"&amp;MONTH(C7)</f>
        <v>2023-9</v>
      </c>
      <c r="D59" s="2114">
        <f>EDATE(C59,-1)</f>
        <v>45139</v>
      </c>
      <c r="E59" s="2114">
        <f t="shared" ref="E59:O59" si="13">EDATE(D59,-1)</f>
        <v>45108</v>
      </c>
      <c r="F59" s="2114">
        <f t="shared" si="13"/>
        <v>45078</v>
      </c>
      <c r="G59" s="2114">
        <f t="shared" si="13"/>
        <v>45047</v>
      </c>
      <c r="H59" s="2114">
        <f t="shared" si="13"/>
        <v>45017</v>
      </c>
      <c r="I59" s="2114">
        <f t="shared" si="13"/>
        <v>44986</v>
      </c>
      <c r="J59" s="2114">
        <f t="shared" si="13"/>
        <v>44958</v>
      </c>
      <c r="K59" s="2114">
        <f t="shared" si="13"/>
        <v>44927</v>
      </c>
      <c r="L59" s="2114">
        <f t="shared" si="13"/>
        <v>44896</v>
      </c>
      <c r="M59" s="2114">
        <f t="shared" si="13"/>
        <v>44866</v>
      </c>
      <c r="N59" s="2114">
        <f t="shared" si="13"/>
        <v>44835</v>
      </c>
      <c r="O59" s="2114">
        <f t="shared" si="13"/>
        <v>44805</v>
      </c>
      <c r="P59" s="1806"/>
      <c r="Q59" s="1764"/>
      <c r="R59" s="1764"/>
      <c r="S59" s="1764"/>
      <c r="T59" s="1764"/>
      <c r="U59" s="1764"/>
      <c r="V59" s="1764"/>
      <c r="W59" s="1764"/>
      <c r="X59" s="1764"/>
      <c r="Y59" s="1764"/>
      <c r="Z59" s="1764"/>
      <c r="AA59" s="1764"/>
      <c r="AB59" s="1764"/>
      <c r="AC59" s="1764"/>
    </row>
    <row r="60" spans="1:29" s="1058" customFormat="1" ht="15">
      <c r="A60" s="527"/>
      <c r="B60" s="594"/>
      <c r="C60" s="595">
        <v>100</v>
      </c>
      <c r="D60" s="596"/>
      <c r="E60" s="596"/>
      <c r="F60" s="596"/>
      <c r="G60" s="596"/>
      <c r="H60" s="596"/>
      <c r="I60" s="596"/>
      <c r="J60" s="596"/>
      <c r="K60" s="596"/>
      <c r="L60" s="596"/>
      <c r="M60" s="487"/>
      <c r="N60" s="596"/>
      <c r="O60" s="487"/>
      <c r="P60" s="1807"/>
      <c r="Q60" s="1639"/>
      <c r="R60" s="1639"/>
      <c r="S60" s="1639"/>
      <c r="T60" s="1639"/>
      <c r="U60" s="1639"/>
      <c r="V60" s="1639"/>
      <c r="W60" s="1639"/>
      <c r="X60" s="1639"/>
      <c r="Y60" s="1639"/>
      <c r="Z60" s="1639"/>
      <c r="AA60" s="1639"/>
      <c r="AB60" s="1639"/>
      <c r="AC60" s="1639"/>
    </row>
    <row r="61" spans="1:29" s="1058" customFormat="1" ht="15.75" thickBot="1">
      <c r="A61" s="262" t="s">
        <v>523</v>
      </c>
      <c r="B61" s="598"/>
      <c r="C61" s="599"/>
      <c r="D61" s="600"/>
      <c r="E61" s="600"/>
      <c r="F61" s="600"/>
      <c r="G61" s="600"/>
      <c r="H61" s="600"/>
      <c r="I61" s="600"/>
      <c r="J61" s="600"/>
      <c r="K61" s="600"/>
      <c r="L61" s="600"/>
      <c r="M61" s="601"/>
      <c r="N61" s="600"/>
      <c r="O61" s="601"/>
      <c r="P61" s="1807"/>
      <c r="Q61" s="1762"/>
      <c r="R61" s="1639"/>
      <c r="S61" s="1639"/>
      <c r="T61" s="1639"/>
      <c r="U61" s="1639"/>
      <c r="V61" s="1639"/>
      <c r="W61" s="1639"/>
      <c r="X61" s="1639"/>
      <c r="Y61" s="1639"/>
      <c r="Z61" s="1639"/>
      <c r="AA61" s="1639"/>
      <c r="AB61" s="1639"/>
      <c r="AC61" s="1639"/>
    </row>
    <row r="62" spans="1:29" s="1058" customFormat="1" ht="15">
      <c r="A62" s="603" t="s">
        <v>480</v>
      </c>
      <c r="B62" s="594"/>
      <c r="C62" s="604" t="s">
        <v>524</v>
      </c>
      <c r="D62" s="80"/>
      <c r="E62" s="80"/>
      <c r="F62" s="80"/>
      <c r="G62" s="80"/>
      <c r="H62" s="80"/>
      <c r="I62" s="80"/>
      <c r="J62" s="80"/>
      <c r="K62" s="80"/>
      <c r="L62" s="605"/>
      <c r="M62" s="606"/>
      <c r="N62" s="1765"/>
      <c r="O62" s="1765"/>
      <c r="P62" s="1808"/>
      <c r="Q62" s="1762"/>
      <c r="R62" s="1639"/>
      <c r="S62" s="1639"/>
      <c r="T62" s="1639"/>
      <c r="U62" s="1639"/>
      <c r="V62" s="1639"/>
      <c r="W62" s="1639"/>
      <c r="X62" s="1639"/>
      <c r="Y62" s="1639"/>
      <c r="Z62" s="1639"/>
      <c r="AA62" s="1639"/>
      <c r="AB62" s="1639"/>
      <c r="AC62" s="1639"/>
    </row>
    <row r="63" spans="1:29" s="1058" customFormat="1" ht="15.75" thickBot="1">
      <c r="A63" s="603"/>
      <c r="B63" s="594"/>
      <c r="C63" s="812">
        <v>100</v>
      </c>
      <c r="D63" s="596"/>
      <c r="E63" s="596"/>
      <c r="F63" s="596"/>
      <c r="G63" s="596"/>
      <c r="H63" s="596"/>
      <c r="I63" s="596"/>
      <c r="J63" s="596"/>
      <c r="K63" s="596"/>
      <c r="L63" s="596"/>
      <c r="M63" s="597"/>
      <c r="N63" s="1765"/>
      <c r="O63" s="1765"/>
      <c r="P63" s="1807"/>
      <c r="Q63" s="1762"/>
      <c r="R63" s="1639"/>
      <c r="S63" s="1639"/>
      <c r="T63" s="1639"/>
      <c r="U63" s="1639"/>
      <c r="V63" s="1639"/>
      <c r="W63" s="1639"/>
      <c r="X63" s="1639"/>
      <c r="Y63" s="1639"/>
      <c r="Z63" s="1639"/>
      <c r="AA63" s="1639"/>
      <c r="AB63" s="1639"/>
      <c r="AC63" s="1639"/>
    </row>
    <row r="64" spans="1:29">
      <c r="A64" s="607" t="s">
        <v>525</v>
      </c>
      <c r="B64" s="608" t="s">
        <v>483</v>
      </c>
      <c r="C64" s="645">
        <f>C9</f>
        <v>0</v>
      </c>
      <c r="D64" s="547"/>
      <c r="E64" s="547"/>
      <c r="F64" s="547"/>
      <c r="G64" s="547"/>
      <c r="H64" s="547"/>
      <c r="I64" s="547"/>
      <c r="J64" s="547"/>
      <c r="K64" s="609"/>
      <c r="L64" s="610"/>
      <c r="M64" s="611"/>
      <c r="N64" s="1766"/>
      <c r="O64" s="1766"/>
      <c r="P64" s="1809"/>
      <c r="Q64" s="1762"/>
      <c r="R64" s="1741"/>
      <c r="S64" s="1741"/>
      <c r="T64" s="1741"/>
      <c r="U64" s="1741"/>
      <c r="V64" s="1741"/>
      <c r="W64" s="1741"/>
      <c r="X64" s="1741"/>
      <c r="Y64" s="1741"/>
      <c r="Z64" s="1741"/>
      <c r="AA64" s="1741"/>
      <c r="AB64" s="1741"/>
      <c r="AC64" s="1741"/>
    </row>
    <row r="65" spans="1:29" ht="15.75" thickBot="1">
      <c r="A65" s="482"/>
      <c r="B65" s="612"/>
      <c r="C65" s="613"/>
      <c r="D65" s="613"/>
      <c r="E65" s="613"/>
      <c r="F65" s="613"/>
      <c r="G65" s="613"/>
      <c r="H65" s="613"/>
      <c r="I65" s="613"/>
      <c r="J65" s="613"/>
      <c r="K65" s="613"/>
      <c r="L65" s="613"/>
      <c r="M65" s="614"/>
      <c r="N65" s="1767"/>
      <c r="O65" s="1767"/>
      <c r="P65" s="1809"/>
      <c r="Q65" s="1762"/>
      <c r="R65" s="1741"/>
      <c r="S65" s="1741"/>
      <c r="T65" s="1741"/>
      <c r="U65" s="1741"/>
      <c r="V65" s="1741"/>
      <c r="W65" s="1741"/>
      <c r="X65" s="1741"/>
      <c r="Y65" s="1741"/>
      <c r="Z65" s="1741"/>
      <c r="AA65" s="1741"/>
      <c r="AB65" s="1741"/>
      <c r="AC65" s="1741"/>
    </row>
    <row r="66" spans="1:29" ht="27.75" thickTop="1">
      <c r="A66" s="482"/>
      <c r="B66" s="615" t="s">
        <v>486</v>
      </c>
      <c r="C66" s="658"/>
      <c r="D66" s="658"/>
      <c r="E66" s="658"/>
      <c r="F66" s="658"/>
      <c r="G66" s="658"/>
      <c r="H66" s="658"/>
      <c r="I66" s="658"/>
      <c r="J66" s="658"/>
      <c r="K66" s="659"/>
      <c r="L66" s="660"/>
      <c r="M66" s="661"/>
      <c r="N66" s="1766"/>
      <c r="O66" s="1766"/>
      <c r="P66" s="1809"/>
      <c r="Q66" s="1762"/>
      <c r="R66" s="1741"/>
      <c r="S66" s="1741"/>
      <c r="T66" s="1741"/>
      <c r="U66" s="1741"/>
      <c r="V66" s="1741"/>
      <c r="W66" s="1741"/>
      <c r="X66" s="1741"/>
      <c r="Y66" s="1741"/>
      <c r="Z66" s="1741"/>
      <c r="AA66" s="1741"/>
      <c r="AB66" s="1741"/>
      <c r="AC66" s="1741"/>
    </row>
    <row r="67" spans="1:29" ht="15.75" thickBot="1">
      <c r="A67" s="482"/>
      <c r="B67" s="620"/>
      <c r="C67" s="613"/>
      <c r="D67" s="613"/>
      <c r="E67" s="613"/>
      <c r="F67" s="613"/>
      <c r="G67" s="613"/>
      <c r="H67" s="613"/>
      <c r="I67" s="613"/>
      <c r="J67" s="613"/>
      <c r="K67" s="613"/>
      <c r="L67" s="613"/>
      <c r="M67" s="614"/>
      <c r="N67" s="1767"/>
      <c r="O67" s="1767"/>
      <c r="P67" s="1809"/>
      <c r="Q67" s="1762"/>
      <c r="R67" s="1741"/>
      <c r="S67" s="1741"/>
      <c r="T67" s="1741"/>
      <c r="U67" s="1741"/>
      <c r="V67" s="1741"/>
      <c r="W67" s="1741"/>
      <c r="X67" s="1741"/>
      <c r="Y67" s="1741"/>
      <c r="Z67" s="1741"/>
      <c r="AA67" s="1741"/>
      <c r="AB67" s="1741"/>
      <c r="AC67" s="1741"/>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7"/>
      <c r="O68" s="1767"/>
      <c r="P68" s="1809"/>
      <c r="Q68" s="1762"/>
      <c r="R68" s="1741"/>
      <c r="S68" s="1741"/>
      <c r="T68" s="1741"/>
      <c r="U68" s="1741"/>
      <c r="V68" s="1741"/>
      <c r="W68" s="1741"/>
      <c r="X68" s="1741"/>
      <c r="Y68" s="1741"/>
      <c r="Z68" s="1741"/>
      <c r="AA68" s="1741"/>
      <c r="AB68" s="1741"/>
      <c r="AC68" s="1741"/>
    </row>
    <row r="69" spans="1:29" ht="15">
      <c r="A69" s="482"/>
      <c r="B69" s="625"/>
      <c r="C69" s="491"/>
      <c r="D69" s="491"/>
      <c r="E69" s="491"/>
      <c r="F69" s="491"/>
      <c r="G69" s="491"/>
      <c r="H69" s="491"/>
      <c r="I69" s="491"/>
      <c r="J69" s="491"/>
      <c r="K69" s="626"/>
      <c r="L69" s="627"/>
      <c r="M69" s="628"/>
      <c r="N69" s="1766"/>
      <c r="O69" s="1766"/>
      <c r="P69" s="1809"/>
      <c r="Q69" s="1762"/>
      <c r="R69" s="1741"/>
      <c r="S69" s="1741"/>
      <c r="T69" s="1741"/>
      <c r="U69" s="1741"/>
      <c r="V69" s="1741"/>
      <c r="W69" s="1741"/>
      <c r="X69" s="1741"/>
      <c r="Y69" s="1741"/>
      <c r="Z69" s="1741"/>
      <c r="AA69" s="1741"/>
      <c r="AB69" s="1741"/>
      <c r="AC69" s="1741"/>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7"/>
      <c r="O70" s="1767"/>
      <c r="P70" s="1809"/>
      <c r="Q70" s="1762"/>
      <c r="R70" s="1741"/>
      <c r="S70" s="1741"/>
      <c r="T70" s="1741"/>
      <c r="U70" s="1741"/>
      <c r="V70" s="1741"/>
      <c r="W70" s="1741"/>
      <c r="X70" s="1741"/>
      <c r="Y70" s="1741"/>
      <c r="Z70" s="1741"/>
      <c r="AA70" s="1741"/>
      <c r="AB70" s="1741"/>
      <c r="AC70" s="1741"/>
    </row>
    <row r="71" spans="1:29" s="1132" customFormat="1" ht="15.75" thickTop="1">
      <c r="A71" s="629"/>
      <c r="B71" s="615">
        <f>B12</f>
        <v>111</v>
      </c>
      <c r="C71" s="630"/>
      <c r="D71" s="630"/>
      <c r="E71" s="630"/>
      <c r="F71" s="630"/>
      <c r="G71" s="630"/>
      <c r="H71" s="631"/>
      <c r="I71" s="631"/>
      <c r="J71" s="631"/>
      <c r="K71" s="631"/>
      <c r="L71" s="632"/>
      <c r="M71" s="633"/>
      <c r="N71" s="1768"/>
      <c r="O71" s="1768"/>
      <c r="P71" s="1810"/>
      <c r="Q71" s="1769"/>
      <c r="R71" s="1770"/>
      <c r="S71" s="1770"/>
      <c r="T71" s="1770"/>
      <c r="U71" s="1770"/>
      <c r="V71" s="1770"/>
      <c r="W71" s="1770"/>
      <c r="X71" s="1770"/>
      <c r="Y71" s="1770"/>
      <c r="Z71" s="1770"/>
      <c r="AA71" s="1770"/>
      <c r="AB71" s="1770"/>
      <c r="AC71" s="1770"/>
    </row>
    <row r="72" spans="1:29" s="1132" customFormat="1" ht="15.75" thickBot="1">
      <c r="A72" s="629"/>
      <c r="B72" s="620"/>
      <c r="C72" s="634"/>
      <c r="D72" s="613"/>
      <c r="E72" s="613"/>
      <c r="F72" s="613"/>
      <c r="G72" s="613"/>
      <c r="H72" s="613"/>
      <c r="I72" s="613"/>
      <c r="J72" s="613"/>
      <c r="K72" s="613"/>
      <c r="L72" s="613"/>
      <c r="M72" s="614"/>
      <c r="N72" s="1767"/>
      <c r="O72" s="1767"/>
      <c r="P72" s="1810"/>
      <c r="Q72" s="1769"/>
      <c r="R72" s="1770"/>
      <c r="S72" s="1770"/>
      <c r="T72" s="1770"/>
      <c r="U72" s="1770"/>
      <c r="V72" s="1770"/>
      <c r="W72" s="1770"/>
      <c r="X72" s="1770"/>
      <c r="Y72" s="1770"/>
      <c r="Z72" s="1770"/>
      <c r="AA72" s="1770"/>
      <c r="AB72" s="1770"/>
      <c r="AC72" s="1770"/>
    </row>
    <row r="73" spans="1:29" s="1132" customFormat="1" ht="15.75" thickTop="1">
      <c r="A73" s="629"/>
      <c r="B73" s="615">
        <f>B13</f>
        <v>111</v>
      </c>
      <c r="C73" s="630"/>
      <c r="D73" s="630"/>
      <c r="E73" s="630"/>
      <c r="F73" s="630"/>
      <c r="G73" s="630"/>
      <c r="H73" s="631"/>
      <c r="I73" s="631"/>
      <c r="J73" s="631"/>
      <c r="K73" s="631"/>
      <c r="L73" s="632"/>
      <c r="M73" s="633"/>
      <c r="N73" s="1768"/>
      <c r="O73" s="1768"/>
      <c r="P73" s="1811"/>
      <c r="Q73" s="1771"/>
      <c r="R73" s="1770"/>
      <c r="S73" s="1770"/>
      <c r="T73" s="1770"/>
      <c r="U73" s="1770"/>
      <c r="V73" s="1770"/>
      <c r="W73" s="1770"/>
      <c r="X73" s="1770"/>
      <c r="Y73" s="1770"/>
      <c r="Z73" s="1770"/>
      <c r="AA73" s="1770"/>
      <c r="AB73" s="1770"/>
      <c r="AC73" s="1770"/>
    </row>
    <row r="74" spans="1:29" s="1132" customFormat="1" ht="15.75" thickBot="1">
      <c r="A74" s="629"/>
      <c r="B74" s="620"/>
      <c r="C74" s="634"/>
      <c r="D74" s="634"/>
      <c r="E74" s="634"/>
      <c r="F74" s="634"/>
      <c r="G74" s="634"/>
      <c r="H74" s="635"/>
      <c r="I74" s="635"/>
      <c r="J74" s="635"/>
      <c r="K74" s="635"/>
      <c r="L74" s="635"/>
      <c r="M74" s="636"/>
      <c r="N74" s="1768"/>
      <c r="O74" s="1768"/>
      <c r="P74" s="1810"/>
      <c r="Q74" s="1769"/>
      <c r="R74" s="1770"/>
      <c r="S74" s="1770"/>
      <c r="T74" s="1770"/>
      <c r="U74" s="1770"/>
      <c r="V74" s="1770"/>
      <c r="W74" s="1770"/>
      <c r="X74" s="1770"/>
      <c r="Y74" s="1770"/>
      <c r="Z74" s="1770"/>
      <c r="AA74" s="1770"/>
      <c r="AB74" s="1770"/>
      <c r="AC74" s="1770"/>
    </row>
    <row r="75" spans="1:29" s="1132" customFormat="1" ht="15.75" thickTop="1">
      <c r="A75" s="629"/>
      <c r="B75" s="623">
        <f>B14</f>
        <v>111</v>
      </c>
      <c r="C75" s="80"/>
      <c r="D75" s="80"/>
      <c r="E75" s="80"/>
      <c r="F75" s="80"/>
      <c r="G75" s="80"/>
      <c r="H75" s="637"/>
      <c r="I75" s="637"/>
      <c r="J75" s="637"/>
      <c r="K75" s="637"/>
      <c r="L75" s="638"/>
      <c r="M75" s="639"/>
      <c r="N75" s="1768"/>
      <c r="O75" s="1768"/>
      <c r="P75" s="1812"/>
      <c r="Q75" s="1769"/>
      <c r="R75" s="1770"/>
      <c r="S75" s="1770"/>
      <c r="T75" s="1770"/>
      <c r="U75" s="1770"/>
      <c r="V75" s="1770"/>
      <c r="W75" s="1770"/>
      <c r="X75" s="1770"/>
      <c r="Y75" s="1770"/>
      <c r="Z75" s="1770"/>
      <c r="AA75" s="1770"/>
      <c r="AB75" s="1770"/>
      <c r="AC75" s="1770"/>
    </row>
    <row r="76" spans="1:29" s="1132" customFormat="1" ht="15.75" thickBot="1">
      <c r="A76" s="640"/>
      <c r="B76" s="641"/>
      <c r="C76" s="642"/>
      <c r="D76" s="642"/>
      <c r="E76" s="642"/>
      <c r="F76" s="642"/>
      <c r="G76" s="642"/>
      <c r="H76" s="643"/>
      <c r="I76" s="643"/>
      <c r="J76" s="643"/>
      <c r="K76" s="643"/>
      <c r="L76" s="643"/>
      <c r="M76" s="644"/>
      <c r="N76" s="1768"/>
      <c r="O76" s="1768"/>
      <c r="P76" s="1810"/>
      <c r="Q76" s="1769"/>
      <c r="R76" s="1770"/>
      <c r="S76" s="1770"/>
      <c r="T76" s="1770"/>
      <c r="U76" s="1770"/>
      <c r="V76" s="1770"/>
      <c r="W76" s="1770"/>
      <c r="X76" s="1770"/>
      <c r="Y76" s="1770"/>
      <c r="Z76" s="1770"/>
      <c r="AA76" s="1770"/>
      <c r="AB76" s="1770"/>
      <c r="AC76" s="1770"/>
    </row>
    <row r="77" spans="1:29">
      <c r="A77" s="607" t="s">
        <v>488</v>
      </c>
      <c r="B77" s="608" t="s">
        <v>533</v>
      </c>
      <c r="C77" s="143" t="s">
        <v>527</v>
      </c>
      <c r="D77" s="143" t="s">
        <v>528</v>
      </c>
      <c r="E77" s="143" t="s">
        <v>529</v>
      </c>
      <c r="F77" s="143" t="s">
        <v>530</v>
      </c>
      <c r="G77" s="143" t="s">
        <v>531</v>
      </c>
      <c r="H77" s="645"/>
      <c r="I77" s="645"/>
      <c r="J77" s="645"/>
      <c r="K77" s="646"/>
      <c r="L77" s="647"/>
      <c r="M77" s="648"/>
      <c r="N77" s="1766"/>
      <c r="O77" s="1766"/>
      <c r="P77" s="1813"/>
      <c r="Q77" s="1762"/>
      <c r="R77" s="1741"/>
      <c r="S77" s="1741"/>
      <c r="T77" s="1741"/>
      <c r="U77" s="1741"/>
      <c r="V77" s="1741"/>
      <c r="W77" s="1741"/>
      <c r="X77" s="1741"/>
      <c r="Y77" s="1741"/>
      <c r="Z77" s="1741"/>
      <c r="AA77" s="1741"/>
      <c r="AB77" s="1741"/>
      <c r="AC77" s="1741"/>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7"/>
      <c r="O78" s="1767"/>
      <c r="P78" s="1809"/>
      <c r="Q78" s="1762"/>
      <c r="R78" s="1741"/>
      <c r="S78" s="1741"/>
      <c r="T78" s="1741"/>
      <c r="U78" s="1741"/>
      <c r="V78" s="1741"/>
      <c r="W78" s="1741"/>
      <c r="X78" s="1741"/>
      <c r="Y78" s="1741"/>
      <c r="Z78" s="1741"/>
      <c r="AA78" s="1741"/>
      <c r="AB78" s="1741"/>
      <c r="AC78" s="1741"/>
    </row>
    <row r="79" spans="1:29" ht="15.75" thickTop="1">
      <c r="A79" s="482"/>
      <c r="B79" s="615" t="s">
        <v>534</v>
      </c>
      <c r="C79" s="649" t="s">
        <v>527</v>
      </c>
      <c r="D79" s="649" t="s">
        <v>528</v>
      </c>
      <c r="E79" s="649" t="s">
        <v>529</v>
      </c>
      <c r="F79" s="649" t="s">
        <v>530</v>
      </c>
      <c r="G79" s="649" t="s">
        <v>531</v>
      </c>
      <c r="H79" s="616"/>
      <c r="I79" s="616"/>
      <c r="J79" s="616"/>
      <c r="K79" s="617"/>
      <c r="L79" s="618"/>
      <c r="M79" s="619"/>
      <c r="N79" s="1766"/>
      <c r="O79" s="1766"/>
      <c r="P79" s="1809"/>
      <c r="Q79" s="1762"/>
      <c r="R79" s="1741"/>
      <c r="S79" s="1741"/>
      <c r="T79" s="1741"/>
      <c r="U79" s="1741"/>
      <c r="V79" s="1741"/>
      <c r="W79" s="1741"/>
      <c r="X79" s="1741"/>
      <c r="Y79" s="1741"/>
      <c r="Z79" s="1741"/>
      <c r="AA79" s="1741"/>
      <c r="AB79" s="1741"/>
      <c r="AC79" s="1741"/>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7"/>
      <c r="O80" s="1767"/>
      <c r="P80" s="1809"/>
      <c r="Q80" s="1762"/>
      <c r="R80" s="1741"/>
      <c r="S80" s="1741"/>
      <c r="T80" s="1741"/>
      <c r="U80" s="1741"/>
      <c r="V80" s="1741"/>
      <c r="W80" s="1741"/>
      <c r="X80" s="1741"/>
      <c r="Y80" s="1741"/>
      <c r="Z80" s="1741"/>
      <c r="AA80" s="1741"/>
      <c r="AB80" s="1741"/>
      <c r="AC80" s="1741"/>
    </row>
    <row r="81" spans="1:29" ht="15.75" thickTop="1">
      <c r="A81" s="482"/>
      <c r="B81" s="1554" t="s">
        <v>1837</v>
      </c>
      <c r="C81" s="649" t="s">
        <v>527</v>
      </c>
      <c r="D81" s="649" t="s">
        <v>528</v>
      </c>
      <c r="E81" s="649" t="s">
        <v>529</v>
      </c>
      <c r="F81" s="649" t="s">
        <v>530</v>
      </c>
      <c r="G81" s="649" t="s">
        <v>531</v>
      </c>
      <c r="H81" s="616"/>
      <c r="I81" s="616"/>
      <c r="J81" s="616"/>
      <c r="K81" s="617"/>
      <c r="L81" s="618"/>
      <c r="M81" s="619"/>
      <c r="N81" s="1766"/>
      <c r="O81" s="1766"/>
      <c r="P81" s="1809"/>
      <c r="Q81" s="1762"/>
      <c r="R81" s="1741"/>
      <c r="S81" s="1741"/>
      <c r="T81" s="1741"/>
      <c r="U81" s="1741"/>
      <c r="V81" s="1741"/>
      <c r="W81" s="1741"/>
      <c r="X81" s="1741"/>
      <c r="Y81" s="1741"/>
      <c r="Z81" s="1741"/>
      <c r="AA81" s="1741"/>
      <c r="AB81" s="1741"/>
      <c r="AC81" s="1741"/>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7"/>
      <c r="O82" s="1767"/>
      <c r="P82" s="1809"/>
      <c r="Q82" s="1762"/>
      <c r="R82" s="1741"/>
      <c r="S82" s="1741"/>
      <c r="T82" s="1741"/>
      <c r="U82" s="1741"/>
      <c r="V82" s="1741"/>
      <c r="W82" s="1741"/>
      <c r="X82" s="1741"/>
      <c r="Y82" s="1741"/>
      <c r="Z82" s="1741"/>
      <c r="AA82" s="1741"/>
      <c r="AB82" s="1741"/>
      <c r="AC82" s="1741"/>
    </row>
    <row r="83" spans="1:29" ht="15.75" thickTop="1">
      <c r="A83" s="482"/>
      <c r="B83" s="2055" t="s">
        <v>1838</v>
      </c>
      <c r="C83" s="2056" t="s">
        <v>1839</v>
      </c>
      <c r="D83" s="2056" t="s">
        <v>1840</v>
      </c>
      <c r="E83" s="2056" t="s">
        <v>1841</v>
      </c>
      <c r="F83" s="2056" t="s">
        <v>1842</v>
      </c>
      <c r="G83" s="2056" t="s">
        <v>1843</v>
      </c>
      <c r="H83" s="616"/>
      <c r="I83" s="616"/>
      <c r="J83" s="616"/>
      <c r="K83" s="616"/>
      <c r="L83" s="616"/>
      <c r="M83" s="2059"/>
      <c r="N83" s="1767"/>
      <c r="O83" s="1767"/>
      <c r="P83" s="1809"/>
      <c r="Q83" s="1762"/>
      <c r="R83" s="1741"/>
      <c r="S83" s="1741"/>
      <c r="T83" s="1741"/>
      <c r="U83" s="1741"/>
      <c r="V83" s="1741"/>
      <c r="W83" s="1741"/>
      <c r="X83" s="1741"/>
      <c r="Y83" s="1741"/>
      <c r="Z83" s="1741"/>
      <c r="AA83" s="1741"/>
      <c r="AB83" s="1741"/>
      <c r="AC83" s="1741"/>
    </row>
    <row r="84" spans="1:29" ht="15.75" thickBot="1">
      <c r="A84" s="482"/>
      <c r="B84" s="623"/>
      <c r="C84" s="621">
        <v>100</v>
      </c>
      <c r="D84" s="621">
        <f>C84-$K21</f>
        <v>100</v>
      </c>
      <c r="E84" s="621">
        <f>D84-$K21</f>
        <v>100</v>
      </c>
      <c r="F84" s="621">
        <f>E84-$K21</f>
        <v>100</v>
      </c>
      <c r="G84" s="621">
        <f>F84-$K21</f>
        <v>100</v>
      </c>
      <c r="H84" s="854"/>
      <c r="I84" s="854"/>
      <c r="J84" s="854"/>
      <c r="K84" s="854"/>
      <c r="L84" s="854"/>
      <c r="M84" s="509"/>
      <c r="N84" s="1767"/>
      <c r="O84" s="1767"/>
      <c r="P84" s="1809"/>
      <c r="Q84" s="1762"/>
      <c r="R84" s="1741"/>
      <c r="S84" s="1741"/>
      <c r="T84" s="1741"/>
      <c r="U84" s="1741"/>
      <c r="V84" s="1741"/>
      <c r="W84" s="1741"/>
      <c r="X84" s="1741"/>
      <c r="Y84" s="1741"/>
      <c r="Z84" s="1741"/>
      <c r="AA84" s="1741"/>
      <c r="AB84" s="1741"/>
      <c r="AC84" s="1741"/>
    </row>
    <row r="85" spans="1:29" ht="15.75" thickTop="1">
      <c r="A85" s="482"/>
      <c r="B85" s="615" t="s">
        <v>724</v>
      </c>
      <c r="C85" s="649" t="s">
        <v>527</v>
      </c>
      <c r="D85" s="649" t="s">
        <v>528</v>
      </c>
      <c r="E85" s="649" t="s">
        <v>529</v>
      </c>
      <c r="F85" s="649" t="s">
        <v>530</v>
      </c>
      <c r="G85" s="649" t="s">
        <v>531</v>
      </c>
      <c r="H85" s="616"/>
      <c r="I85" s="616"/>
      <c r="J85" s="616"/>
      <c r="K85" s="617"/>
      <c r="L85" s="618"/>
      <c r="M85" s="619"/>
      <c r="N85" s="1766"/>
      <c r="O85" s="1766"/>
      <c r="P85" s="1809"/>
      <c r="Q85" s="1762"/>
      <c r="R85" s="1741"/>
      <c r="S85" s="1741"/>
      <c r="T85" s="1741"/>
      <c r="U85" s="1741"/>
      <c r="V85" s="1741"/>
      <c r="W85" s="1741"/>
      <c r="X85" s="1741"/>
      <c r="Y85" s="1741"/>
      <c r="Z85" s="1741"/>
      <c r="AA85" s="1741"/>
      <c r="AB85" s="1741"/>
      <c r="AC85" s="1741"/>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7"/>
      <c r="O86" s="1767"/>
      <c r="P86" s="1809"/>
      <c r="Q86" s="1762"/>
      <c r="R86" s="1741"/>
      <c r="S86" s="1741"/>
      <c r="T86" s="1741"/>
      <c r="U86" s="1741"/>
      <c r="V86" s="1741"/>
      <c r="W86" s="1741"/>
      <c r="X86" s="1741"/>
      <c r="Y86" s="1741"/>
      <c r="Z86" s="1741"/>
      <c r="AA86" s="1741"/>
      <c r="AB86" s="1741"/>
      <c r="AC86" s="1741"/>
    </row>
    <row r="87" spans="1:29" s="1058" customFormat="1" ht="27.75" thickTop="1">
      <c r="A87" s="486"/>
      <c r="B87" s="615" t="s">
        <v>725</v>
      </c>
      <c r="C87" s="630"/>
      <c r="D87" s="630"/>
      <c r="E87" s="630"/>
      <c r="F87" s="630"/>
      <c r="G87" s="630"/>
      <c r="H87" s="630"/>
      <c r="I87" s="630"/>
      <c r="J87" s="630"/>
      <c r="K87" s="630"/>
      <c r="L87" s="813"/>
      <c r="M87" s="814"/>
      <c r="N87" s="1765"/>
      <c r="O87" s="1765"/>
      <c r="P87" s="1809"/>
      <c r="Q87" s="1762"/>
      <c r="R87" s="1639"/>
      <c r="S87" s="1639"/>
      <c r="T87" s="1639"/>
      <c r="U87" s="1639"/>
      <c r="V87" s="1639"/>
      <c r="W87" s="1639"/>
      <c r="X87" s="1639"/>
      <c r="Y87" s="1639"/>
      <c r="Z87" s="1639"/>
      <c r="AA87" s="1639"/>
      <c r="AB87" s="1639"/>
      <c r="AC87" s="1639"/>
    </row>
    <row r="88" spans="1:29" s="1058"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7"/>
      <c r="O88" s="1767"/>
      <c r="P88" s="1809"/>
      <c r="Q88" s="1762"/>
      <c r="R88" s="1639"/>
      <c r="S88" s="1639"/>
      <c r="T88" s="1639"/>
      <c r="U88" s="1639"/>
      <c r="V88" s="1639"/>
      <c r="W88" s="1639"/>
      <c r="X88" s="1639"/>
      <c r="Y88" s="1639"/>
      <c r="Z88" s="1639"/>
      <c r="AA88" s="1639"/>
      <c r="AB88" s="1639"/>
      <c r="AC88" s="1639"/>
    </row>
    <row r="89" spans="1:29" s="1058" customFormat="1" ht="15.75" thickTop="1">
      <c r="A89" s="486"/>
      <c r="B89" s="615" t="str">
        <f>B27</f>
        <v>楼层</v>
      </c>
      <c r="C89" s="630"/>
      <c r="D89" s="630"/>
      <c r="E89" s="630"/>
      <c r="F89" s="815"/>
      <c r="G89" s="630"/>
      <c r="H89" s="630"/>
      <c r="I89" s="630"/>
      <c r="J89" s="630"/>
      <c r="K89" s="630"/>
      <c r="L89" s="630"/>
      <c r="M89" s="814"/>
      <c r="N89" s="1765"/>
      <c r="O89" s="1765"/>
      <c r="P89" s="1809"/>
      <c r="Q89" s="1762"/>
      <c r="R89" s="1639"/>
      <c r="S89" s="1639"/>
      <c r="T89" s="1639"/>
      <c r="U89" s="1639"/>
      <c r="V89" s="1639"/>
      <c r="W89" s="1639"/>
      <c r="X89" s="1639"/>
      <c r="Y89" s="1639"/>
      <c r="Z89" s="1639"/>
      <c r="AA89" s="1639"/>
      <c r="AB89" s="1639"/>
      <c r="AC89" s="1639"/>
    </row>
    <row r="90" spans="1:29" s="1058"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7"/>
      <c r="O90" s="1767"/>
      <c r="P90" s="1809"/>
      <c r="Q90" s="1762"/>
      <c r="R90" s="1639"/>
      <c r="S90" s="1639"/>
      <c r="T90" s="1639"/>
      <c r="U90" s="1639"/>
      <c r="V90" s="1639"/>
      <c r="W90" s="1639"/>
      <c r="X90" s="1639"/>
      <c r="Y90" s="1639"/>
      <c r="Z90" s="1639"/>
      <c r="AA90" s="1639"/>
      <c r="AB90" s="1639"/>
      <c r="AC90" s="1639"/>
    </row>
    <row r="91" spans="1:29" s="1132" customFormat="1" ht="15.75" thickTop="1">
      <c r="A91" s="629"/>
      <c r="B91" s="615" t="str">
        <f>B28</f>
        <v>朝向</v>
      </c>
      <c r="C91" s="630"/>
      <c r="D91" s="630"/>
      <c r="E91" s="630"/>
      <c r="F91" s="630"/>
      <c r="G91" s="630"/>
      <c r="H91" s="631"/>
      <c r="I91" s="631"/>
      <c r="J91" s="631"/>
      <c r="K91" s="631"/>
      <c r="L91" s="632"/>
      <c r="M91" s="633"/>
      <c r="N91" s="1768"/>
      <c r="O91" s="1768"/>
      <c r="P91" s="1810"/>
      <c r="Q91" s="1769"/>
      <c r="R91" s="1770"/>
      <c r="S91" s="1770"/>
      <c r="T91" s="1770"/>
      <c r="U91" s="1770"/>
      <c r="V91" s="1770"/>
      <c r="W91" s="1770"/>
      <c r="X91" s="1770"/>
      <c r="Y91" s="1770"/>
      <c r="Z91" s="1770"/>
      <c r="AA91" s="1770"/>
      <c r="AB91" s="1770"/>
      <c r="AC91" s="1770"/>
    </row>
    <row r="92" spans="1:29" s="1132"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8"/>
      <c r="O92" s="1768"/>
      <c r="P92" s="1810"/>
      <c r="Q92" s="1769"/>
      <c r="R92" s="1770"/>
      <c r="S92" s="1770"/>
      <c r="T92" s="1770"/>
      <c r="U92" s="1770"/>
      <c r="V92" s="1770"/>
      <c r="W92" s="1770"/>
      <c r="X92" s="1770"/>
      <c r="Y92" s="1770"/>
      <c r="Z92" s="1770"/>
      <c r="AA92" s="1770"/>
      <c r="AB92" s="1770"/>
      <c r="AC92" s="1770"/>
    </row>
    <row r="93" spans="1:29" ht="15.75" thickTop="1">
      <c r="A93" s="482"/>
      <c r="B93" s="615">
        <f>B29</f>
        <v>111</v>
      </c>
      <c r="C93" s="630"/>
      <c r="D93" s="630"/>
      <c r="E93" s="630"/>
      <c r="F93" s="630"/>
      <c r="G93" s="630"/>
      <c r="H93" s="630"/>
      <c r="I93" s="630"/>
      <c r="J93" s="630"/>
      <c r="K93" s="630"/>
      <c r="L93" s="813"/>
      <c r="M93" s="814"/>
      <c r="N93" s="1766"/>
      <c r="O93" s="1766"/>
      <c r="P93" s="1809"/>
      <c r="Q93" s="1762"/>
      <c r="R93" s="1741"/>
      <c r="S93" s="1741"/>
      <c r="T93" s="1741"/>
      <c r="U93" s="1741"/>
      <c r="V93" s="1741"/>
      <c r="W93" s="1741"/>
      <c r="X93" s="1741"/>
      <c r="Y93" s="1741"/>
      <c r="Z93" s="1741"/>
      <c r="AA93" s="1741"/>
      <c r="AB93" s="1741"/>
      <c r="AC93" s="1741"/>
    </row>
    <row r="94" spans="1:29" ht="15.75" thickBot="1">
      <c r="A94" s="482"/>
      <c r="B94" s="620"/>
      <c r="C94" s="634"/>
      <c r="D94" s="613"/>
      <c r="E94" s="613"/>
      <c r="F94" s="613"/>
      <c r="G94" s="613"/>
      <c r="H94" s="613"/>
      <c r="I94" s="613"/>
      <c r="J94" s="613"/>
      <c r="K94" s="613"/>
      <c r="L94" s="613"/>
      <c r="M94" s="614"/>
      <c r="N94" s="1767"/>
      <c r="O94" s="1767"/>
      <c r="P94" s="1809"/>
      <c r="Q94" s="1762"/>
      <c r="R94" s="1741"/>
      <c r="S94" s="1741"/>
      <c r="T94" s="1741"/>
      <c r="U94" s="1741"/>
      <c r="V94" s="1741"/>
      <c r="W94" s="1741"/>
      <c r="X94" s="1741"/>
      <c r="Y94" s="1741"/>
      <c r="Z94" s="1741"/>
      <c r="AA94" s="1741"/>
      <c r="AB94" s="1741"/>
      <c r="AC94" s="1741"/>
    </row>
    <row r="95" spans="1:29" ht="15.75" thickTop="1">
      <c r="A95" s="482"/>
      <c r="B95" s="615">
        <f>B30</f>
        <v>111</v>
      </c>
      <c r="C95" s="630"/>
      <c r="D95" s="630"/>
      <c r="E95" s="630"/>
      <c r="F95" s="630"/>
      <c r="G95" s="658"/>
      <c r="H95" s="658"/>
      <c r="I95" s="658"/>
      <c r="J95" s="658"/>
      <c r="K95" s="659"/>
      <c r="L95" s="660"/>
      <c r="M95" s="661"/>
      <c r="N95" s="1766"/>
      <c r="O95" s="1766"/>
      <c r="P95" s="1809"/>
      <c r="Q95" s="1762"/>
      <c r="R95" s="1741"/>
      <c r="S95" s="1741"/>
      <c r="T95" s="1741"/>
      <c r="U95" s="1741"/>
      <c r="V95" s="1741"/>
      <c r="W95" s="1741"/>
      <c r="X95" s="1741"/>
      <c r="Y95" s="1741"/>
      <c r="Z95" s="1741"/>
      <c r="AA95" s="1741"/>
      <c r="AB95" s="1741"/>
      <c r="AC95" s="1741"/>
    </row>
    <row r="96" spans="1:29" ht="15.75" thickBot="1">
      <c r="A96" s="482"/>
      <c r="B96" s="620"/>
      <c r="C96" s="634"/>
      <c r="D96" s="634"/>
      <c r="E96" s="634"/>
      <c r="F96" s="634"/>
      <c r="G96" s="613"/>
      <c r="H96" s="613"/>
      <c r="I96" s="613"/>
      <c r="J96" s="613"/>
      <c r="K96" s="613"/>
      <c r="L96" s="613"/>
      <c r="M96" s="614"/>
      <c r="N96" s="1767"/>
      <c r="O96" s="1767"/>
      <c r="P96" s="1809"/>
      <c r="Q96" s="1762"/>
      <c r="R96" s="1741"/>
      <c r="S96" s="1741"/>
      <c r="T96" s="1741"/>
      <c r="U96" s="1741"/>
      <c r="V96" s="1741"/>
      <c r="W96" s="1741"/>
      <c r="X96" s="1741"/>
      <c r="Y96" s="1741"/>
      <c r="Z96" s="1741"/>
      <c r="AA96" s="1741"/>
      <c r="AB96" s="1741"/>
      <c r="AC96" s="1741"/>
    </row>
    <row r="97" spans="1:29" ht="15.75" thickTop="1">
      <c r="A97" s="482"/>
      <c r="B97" s="615">
        <f>B31</f>
        <v>111</v>
      </c>
      <c r="C97" s="630"/>
      <c r="D97" s="630"/>
      <c r="E97" s="630"/>
      <c r="F97" s="630"/>
      <c r="G97" s="658"/>
      <c r="H97" s="658"/>
      <c r="I97" s="658"/>
      <c r="J97" s="658"/>
      <c r="K97" s="659"/>
      <c r="L97" s="660"/>
      <c r="M97" s="661"/>
      <c r="N97" s="1766"/>
      <c r="O97" s="1766"/>
      <c r="P97" s="1809"/>
      <c r="Q97" s="1762"/>
      <c r="R97" s="1741"/>
      <c r="S97" s="1741"/>
      <c r="T97" s="1741"/>
      <c r="U97" s="1741"/>
      <c r="V97" s="1741"/>
      <c r="W97" s="1741"/>
      <c r="X97" s="1741"/>
      <c r="Y97" s="1741"/>
      <c r="Z97" s="1741"/>
      <c r="AA97" s="1741"/>
      <c r="AB97" s="1741"/>
      <c r="AC97" s="1741"/>
    </row>
    <row r="98" spans="1:29" ht="15.75" thickBot="1">
      <c r="A98" s="482"/>
      <c r="B98" s="620"/>
      <c r="C98" s="634"/>
      <c r="D98" s="613"/>
      <c r="E98" s="613"/>
      <c r="F98" s="613"/>
      <c r="G98" s="613"/>
      <c r="H98" s="613"/>
      <c r="I98" s="613"/>
      <c r="J98" s="613"/>
      <c r="K98" s="613"/>
      <c r="L98" s="613"/>
      <c r="M98" s="614"/>
      <c r="N98" s="1767"/>
      <c r="O98" s="1767"/>
      <c r="P98" s="1809"/>
      <c r="Q98" s="1762"/>
      <c r="R98" s="1741"/>
      <c r="S98" s="1741"/>
      <c r="T98" s="1741"/>
      <c r="U98" s="1741"/>
      <c r="V98" s="1741"/>
      <c r="W98" s="1741"/>
      <c r="X98" s="1741"/>
      <c r="Y98" s="1741"/>
      <c r="Z98" s="1741"/>
      <c r="AA98" s="1741"/>
      <c r="AB98" s="1741"/>
      <c r="AC98" s="1741"/>
    </row>
    <row r="99" spans="1:29" ht="15.75" thickTop="1">
      <c r="A99" s="482"/>
      <c r="B99" s="623">
        <f>B32</f>
        <v>111</v>
      </c>
      <c r="C99" s="80"/>
      <c r="D99" s="80"/>
      <c r="E99" s="80"/>
      <c r="F99" s="80"/>
      <c r="G99" s="662"/>
      <c r="H99" s="662"/>
      <c r="I99" s="662"/>
      <c r="J99" s="662"/>
      <c r="K99" s="663"/>
      <c r="L99" s="664"/>
      <c r="M99" s="665"/>
      <c r="N99" s="1766"/>
      <c r="O99" s="1766"/>
      <c r="P99" s="1809"/>
      <c r="Q99" s="1762"/>
      <c r="R99" s="1741"/>
      <c r="S99" s="1741"/>
      <c r="T99" s="1741"/>
      <c r="U99" s="1741"/>
      <c r="V99" s="1741"/>
      <c r="W99" s="1741"/>
      <c r="X99" s="1741"/>
      <c r="Y99" s="1741"/>
      <c r="Z99" s="1741"/>
      <c r="AA99" s="1741"/>
      <c r="AB99" s="1741"/>
      <c r="AC99" s="1741"/>
    </row>
    <row r="100" spans="1:29" ht="15.75" thickBot="1">
      <c r="A100" s="493"/>
      <c r="B100" s="641"/>
      <c r="C100" s="642"/>
      <c r="D100" s="642"/>
      <c r="E100" s="642"/>
      <c r="F100" s="642"/>
      <c r="G100" s="666"/>
      <c r="H100" s="666"/>
      <c r="I100" s="666"/>
      <c r="J100" s="666"/>
      <c r="K100" s="666"/>
      <c r="L100" s="666"/>
      <c r="M100" s="667"/>
      <c r="N100" s="1767"/>
      <c r="O100" s="1767"/>
      <c r="P100" s="1809"/>
      <c r="Q100" s="1762"/>
      <c r="R100" s="1741"/>
      <c r="S100" s="1741"/>
      <c r="T100" s="1741"/>
      <c r="U100" s="1741"/>
      <c r="V100" s="1741"/>
      <c r="W100" s="1741"/>
      <c r="X100" s="1741"/>
      <c r="Y100" s="1741"/>
      <c r="Z100" s="1741"/>
      <c r="AA100" s="1741"/>
      <c r="AB100" s="1741"/>
      <c r="AC100" s="1741"/>
    </row>
    <row r="101" spans="1:29">
      <c r="A101" s="607" t="s">
        <v>500</v>
      </c>
      <c r="B101" s="608" t="s">
        <v>687</v>
      </c>
      <c r="C101" s="547"/>
      <c r="D101" s="547"/>
      <c r="E101" s="547"/>
      <c r="F101" s="547"/>
      <c r="G101" s="547"/>
      <c r="H101" s="547"/>
      <c r="I101" s="547"/>
      <c r="J101" s="547"/>
      <c r="K101" s="609"/>
      <c r="L101" s="610"/>
      <c r="M101" s="611"/>
      <c r="N101" s="1766"/>
      <c r="O101" s="1766"/>
      <c r="P101" s="1809"/>
      <c r="Q101" s="1762"/>
      <c r="R101" s="1741"/>
      <c r="S101" s="1741"/>
      <c r="T101" s="1741"/>
      <c r="U101" s="1741"/>
      <c r="V101" s="1741"/>
      <c r="W101" s="1741"/>
      <c r="X101" s="1741"/>
      <c r="Y101" s="1741"/>
      <c r="Z101" s="1741"/>
      <c r="AA101" s="1741"/>
      <c r="AB101" s="1741"/>
      <c r="AC101" s="1741"/>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7"/>
      <c r="O102" s="1767"/>
      <c r="P102" s="1809"/>
      <c r="Q102" s="1762"/>
      <c r="R102" s="1741"/>
      <c r="S102" s="1741"/>
      <c r="T102" s="1741"/>
      <c r="U102" s="1741"/>
      <c r="V102" s="1741"/>
      <c r="W102" s="1741"/>
      <c r="X102" s="1741"/>
      <c r="Y102" s="1741"/>
      <c r="Z102" s="1741"/>
      <c r="AA102" s="1741"/>
      <c r="AB102" s="1741"/>
      <c r="AC102" s="1741"/>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2" customFormat="1">
      <c r="A104" s="552"/>
      <c r="B104" s="668"/>
      <c r="C104" s="79"/>
      <c r="D104" s="79"/>
      <c r="E104" s="79"/>
      <c r="F104" s="79"/>
      <c r="G104" s="79"/>
      <c r="H104" s="79"/>
      <c r="I104" s="79"/>
      <c r="J104" s="669"/>
      <c r="K104" s="669"/>
      <c r="L104" s="670"/>
      <c r="M104" s="671"/>
      <c r="N104" s="1768"/>
      <c r="O104" s="1768"/>
      <c r="P104" s="1810"/>
      <c r="Q104" s="1769"/>
      <c r="R104" s="1770"/>
      <c r="S104" s="1770"/>
      <c r="T104" s="1770"/>
      <c r="U104" s="1770"/>
      <c r="V104" s="1770"/>
      <c r="W104" s="1770"/>
      <c r="X104" s="1770"/>
      <c r="Y104" s="1770"/>
      <c r="Z104" s="1770"/>
      <c r="AA104" s="1770"/>
      <c r="AB104" s="1770"/>
      <c r="AC104" s="1770"/>
    </row>
    <row r="105" spans="1:29" s="1132" customFormat="1" ht="15.75" thickBot="1">
      <c r="A105" s="629"/>
      <c r="B105" s="620"/>
      <c r="C105" s="634"/>
      <c r="D105" s="613"/>
      <c r="E105" s="613"/>
      <c r="F105" s="613"/>
      <c r="G105" s="613"/>
      <c r="H105" s="613"/>
      <c r="I105" s="613"/>
      <c r="J105" s="613"/>
      <c r="K105" s="613"/>
      <c r="L105" s="613"/>
      <c r="M105" s="614"/>
      <c r="N105" s="1767"/>
      <c r="O105" s="1767"/>
      <c r="P105" s="1810"/>
      <c r="Q105" s="1769"/>
      <c r="R105" s="1770"/>
      <c r="S105" s="1770"/>
      <c r="T105" s="1770"/>
      <c r="U105" s="1770"/>
      <c r="V105" s="1770"/>
      <c r="W105" s="1770"/>
      <c r="X105" s="1770"/>
      <c r="Y105" s="1770"/>
      <c r="Z105" s="1770"/>
      <c r="AA105" s="1770"/>
      <c r="AB105" s="1770"/>
      <c r="AC105" s="1770"/>
    </row>
    <row r="106" spans="1:29" ht="15" thickTop="1">
      <c r="A106" s="543"/>
      <c r="B106" s="615" t="s">
        <v>689</v>
      </c>
      <c r="C106" s="630"/>
      <c r="D106" s="630"/>
      <c r="E106" s="658"/>
      <c r="F106" s="658"/>
      <c r="G106" s="658"/>
      <c r="H106" s="658"/>
      <c r="I106" s="658"/>
      <c r="J106" s="658"/>
      <c r="K106" s="659"/>
      <c r="L106" s="660"/>
      <c r="M106" s="661"/>
      <c r="N106" s="1766"/>
      <c r="O106" s="1766"/>
      <c r="P106" s="1809"/>
      <c r="Q106" s="1762"/>
      <c r="R106" s="1741"/>
      <c r="S106" s="1741"/>
      <c r="T106" s="1741"/>
      <c r="U106" s="1741"/>
      <c r="V106" s="1741"/>
      <c r="W106" s="1741"/>
      <c r="X106" s="1741"/>
      <c r="Y106" s="1741"/>
      <c r="Z106" s="1741"/>
      <c r="AA106" s="1741"/>
      <c r="AB106" s="1741"/>
      <c r="AC106" s="1741"/>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3"/>
      <c r="B108" s="615" t="s">
        <v>691</v>
      </c>
      <c r="C108" s="630"/>
      <c r="D108" s="630"/>
      <c r="E108" s="630"/>
      <c r="F108" s="658"/>
      <c r="G108" s="658"/>
      <c r="H108" s="658"/>
      <c r="I108" s="658"/>
      <c r="J108" s="658"/>
      <c r="K108" s="659"/>
      <c r="L108" s="660"/>
      <c r="M108" s="661"/>
      <c r="N108" s="1766"/>
      <c r="O108" s="1766"/>
      <c r="P108" s="1809"/>
      <c r="Q108" s="1762"/>
      <c r="R108" s="1741"/>
      <c r="S108" s="1741"/>
      <c r="T108" s="1741"/>
      <c r="U108" s="1741"/>
      <c r="V108" s="1741"/>
      <c r="W108" s="1741"/>
      <c r="X108" s="1741"/>
      <c r="Y108" s="1741"/>
      <c r="Z108" s="1741"/>
      <c r="AA108" s="1741"/>
      <c r="AB108" s="1741"/>
      <c r="AC108" s="1741"/>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6"/>
      <c r="O110" s="1766"/>
      <c r="P110" s="1809"/>
      <c r="Q110" s="1762"/>
      <c r="R110" s="1741"/>
      <c r="S110" s="1741"/>
      <c r="T110" s="1741"/>
      <c r="U110" s="1741"/>
      <c r="V110" s="1741"/>
      <c r="W110" s="1741"/>
      <c r="X110" s="1741"/>
      <c r="Y110" s="1741"/>
      <c r="Z110" s="1741"/>
      <c r="AA110" s="1741"/>
      <c r="AB110" s="1741"/>
      <c r="AC110" s="1741"/>
    </row>
    <row r="111" spans="1:29">
      <c r="A111" s="543"/>
      <c r="B111" s="623"/>
      <c r="C111" s="816">
        <v>0.5</v>
      </c>
      <c r="D111" s="816">
        <v>0.6</v>
      </c>
      <c r="E111" s="816">
        <v>0.7</v>
      </c>
      <c r="F111" s="816">
        <v>0.8</v>
      </c>
      <c r="G111" s="816">
        <v>0.9</v>
      </c>
      <c r="H111" s="816">
        <v>1.0001</v>
      </c>
      <c r="I111" s="826"/>
      <c r="J111" s="826"/>
      <c r="K111" s="827"/>
      <c r="L111" s="828"/>
      <c r="M111" s="829"/>
      <c r="N111" s="1766"/>
      <c r="O111" s="1766"/>
      <c r="P111" s="1809"/>
      <c r="Q111" s="1762"/>
      <c r="R111" s="1741"/>
      <c r="S111" s="1741"/>
      <c r="T111" s="1741"/>
      <c r="U111" s="1741"/>
      <c r="V111" s="1741"/>
      <c r="W111" s="1741"/>
      <c r="X111" s="1741"/>
      <c r="Y111" s="1741"/>
      <c r="Z111" s="1741"/>
      <c r="AA111" s="1741"/>
      <c r="AB111" s="1741"/>
      <c r="AC111" s="1741"/>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7"/>
      <c r="O112" s="1767"/>
      <c r="P112" s="1809"/>
      <c r="Q112" s="1762"/>
      <c r="R112" s="1741"/>
      <c r="S112" s="1741"/>
      <c r="T112" s="1741"/>
      <c r="U112" s="1741"/>
      <c r="V112" s="1741"/>
      <c r="W112" s="1741"/>
      <c r="X112" s="1741"/>
      <c r="Y112" s="1741"/>
      <c r="Z112" s="1741"/>
      <c r="AA112" s="1741"/>
      <c r="AB112" s="1741"/>
      <c r="AC112" s="1741"/>
    </row>
    <row r="113" spans="1:29" s="1132" customFormat="1" ht="15" thickTop="1">
      <c r="A113" s="552"/>
      <c r="B113" s="615" t="s">
        <v>726</v>
      </c>
      <c r="C113" s="630"/>
      <c r="D113" s="630"/>
      <c r="E113" s="630"/>
      <c r="F113" s="630"/>
      <c r="G113" s="630"/>
      <c r="H113" s="658"/>
      <c r="I113" s="658"/>
      <c r="J113" s="658"/>
      <c r="K113" s="659"/>
      <c r="L113" s="660"/>
      <c r="M113" s="661"/>
      <c r="N113" s="1768"/>
      <c r="O113" s="1768"/>
      <c r="P113" s="1810"/>
      <c r="Q113" s="1769"/>
      <c r="R113" s="1770"/>
      <c r="S113" s="1770"/>
      <c r="T113" s="1770"/>
      <c r="U113" s="1770"/>
      <c r="V113" s="1770"/>
      <c r="W113" s="1770"/>
      <c r="X113" s="1770"/>
      <c r="Y113" s="1770"/>
      <c r="Z113" s="1770"/>
      <c r="AA113" s="1770"/>
      <c r="AB113" s="1770"/>
      <c r="AC113" s="1770"/>
    </row>
    <row r="114" spans="1:29" s="1132"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3"/>
      <c r="B115" s="615" t="s">
        <v>693</v>
      </c>
      <c r="C115" s="630"/>
      <c r="D115" s="630"/>
      <c r="E115" s="658"/>
      <c r="F115" s="658"/>
      <c r="G115" s="658"/>
      <c r="H115" s="658"/>
      <c r="I115" s="658"/>
      <c r="J115" s="658"/>
      <c r="K115" s="659"/>
      <c r="L115" s="660"/>
      <c r="M115" s="661"/>
      <c r="N115" s="1766"/>
      <c r="O115" s="1766"/>
      <c r="P115" s="1809"/>
      <c r="Q115" s="1762"/>
      <c r="R115" s="1741"/>
      <c r="S115" s="1741"/>
      <c r="T115" s="1741"/>
      <c r="U115" s="1741"/>
      <c r="V115" s="1741"/>
      <c r="W115" s="1741"/>
      <c r="X115" s="1741"/>
      <c r="Y115" s="1741"/>
      <c r="Z115" s="1741"/>
      <c r="AA115" s="1741"/>
      <c r="AB115" s="1741"/>
      <c r="AC115" s="1741"/>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3"/>
      <c r="B117" s="1554" t="s">
        <v>1836</v>
      </c>
      <c r="C117" s="630"/>
      <c r="D117" s="630"/>
      <c r="E117" s="630"/>
      <c r="F117" s="630"/>
      <c r="G117" s="630"/>
      <c r="H117" s="658"/>
      <c r="I117" s="658"/>
      <c r="J117" s="658"/>
      <c r="K117" s="659"/>
      <c r="L117" s="660"/>
      <c r="M117" s="661"/>
      <c r="N117" s="1766"/>
      <c r="O117" s="1766"/>
      <c r="P117" s="1809"/>
      <c r="Q117" s="1762"/>
      <c r="R117" s="1741"/>
      <c r="S117" s="1741"/>
      <c r="T117" s="1741"/>
      <c r="U117" s="1741"/>
      <c r="V117" s="1741"/>
      <c r="W117" s="1741"/>
      <c r="X117" s="1741"/>
      <c r="Y117" s="1741"/>
      <c r="Z117" s="1741"/>
      <c r="AA117" s="1741"/>
      <c r="AB117" s="1741"/>
      <c r="AC117" s="1741"/>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7"/>
      <c r="O118" s="1767"/>
      <c r="P118" s="1809"/>
      <c r="Q118" s="1762"/>
      <c r="R118" s="1741"/>
      <c r="S118" s="1741"/>
      <c r="T118" s="1741"/>
      <c r="U118" s="1741"/>
      <c r="V118" s="1741"/>
      <c r="W118" s="1741"/>
      <c r="X118" s="1741"/>
      <c r="Y118" s="1741"/>
      <c r="Z118" s="1741"/>
      <c r="AA118" s="1741"/>
      <c r="AB118" s="1741"/>
      <c r="AC118" s="1741"/>
    </row>
    <row r="119" spans="1:29" ht="15" thickTop="1">
      <c r="A119" s="543"/>
      <c r="B119" s="837" t="s">
        <v>727</v>
      </c>
      <c r="C119" s="658"/>
      <c r="D119" s="658"/>
      <c r="E119" s="658"/>
      <c r="F119" s="658"/>
      <c r="G119" s="658"/>
      <c r="H119" s="658"/>
      <c r="I119" s="658"/>
      <c r="J119" s="658"/>
      <c r="K119" s="658"/>
      <c r="L119" s="838"/>
      <c r="M119" s="839"/>
      <c r="N119" s="1767"/>
      <c r="O119" s="1767"/>
      <c r="P119" s="1814"/>
      <c r="Q119" s="1802"/>
      <c r="R119" s="1741"/>
      <c r="S119" s="1741"/>
      <c r="T119" s="1741"/>
      <c r="U119" s="1741"/>
      <c r="V119" s="1741"/>
      <c r="W119" s="1741"/>
      <c r="X119" s="1741"/>
      <c r="Y119" s="1741"/>
      <c r="Z119" s="1741"/>
      <c r="AA119" s="1741"/>
      <c r="AB119" s="1741"/>
      <c r="AC119" s="1741"/>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7"/>
      <c r="O120" s="1767"/>
      <c r="P120" s="1809"/>
      <c r="Q120" s="1762"/>
      <c r="R120" s="1741"/>
      <c r="S120" s="1741"/>
      <c r="T120" s="1741"/>
      <c r="U120" s="1741"/>
      <c r="V120" s="1741"/>
      <c r="W120" s="1741"/>
      <c r="X120" s="1741"/>
      <c r="Y120" s="1741"/>
      <c r="Z120" s="1741"/>
      <c r="AA120" s="1741"/>
      <c r="AB120" s="1741"/>
      <c r="AC120" s="1741"/>
    </row>
    <row r="121" spans="1:29" s="1132" customFormat="1" ht="15" thickTop="1">
      <c r="A121" s="552"/>
      <c r="B121" s="615" t="s">
        <v>715</v>
      </c>
      <c r="C121" s="630"/>
      <c r="D121" s="630"/>
      <c r="E121" s="630"/>
      <c r="F121" s="658"/>
      <c r="G121" s="631"/>
      <c r="H121" s="631"/>
      <c r="I121" s="631"/>
      <c r="J121" s="631"/>
      <c r="K121" s="631"/>
      <c r="L121" s="632"/>
      <c r="M121" s="633"/>
      <c r="N121" s="1768"/>
      <c r="O121" s="1768"/>
      <c r="P121" s="1810"/>
      <c r="Q121" s="1769"/>
      <c r="R121" s="1770"/>
      <c r="S121" s="1770"/>
      <c r="T121" s="1770"/>
      <c r="U121" s="1770"/>
      <c r="V121" s="1770"/>
      <c r="W121" s="1770"/>
      <c r="X121" s="1770"/>
      <c r="Y121" s="1770"/>
      <c r="Z121" s="1770"/>
      <c r="AA121" s="1770"/>
      <c r="AB121" s="1770"/>
      <c r="AC121" s="1770"/>
    </row>
    <row r="122" spans="1:29" s="1132" customFormat="1" ht="15.75" thickBot="1">
      <c r="A122" s="629"/>
      <c r="B122" s="612"/>
      <c r="C122" s="634"/>
      <c r="D122" s="634"/>
      <c r="E122" s="634"/>
      <c r="F122" s="634"/>
      <c r="G122" s="634"/>
      <c r="H122" s="634"/>
      <c r="I122" s="634"/>
      <c r="J122" s="634"/>
      <c r="K122" s="634"/>
      <c r="L122" s="634"/>
      <c r="M122" s="634"/>
      <c r="N122" s="1768"/>
      <c r="O122" s="1768"/>
      <c r="P122" s="1810"/>
      <c r="Q122" s="1769"/>
      <c r="R122" s="1770"/>
      <c r="S122" s="1770"/>
      <c r="T122" s="1770"/>
      <c r="U122" s="1770"/>
      <c r="V122" s="1770"/>
      <c r="W122" s="1770"/>
      <c r="X122" s="1770"/>
      <c r="Y122" s="1770"/>
      <c r="Z122" s="1770"/>
      <c r="AA122" s="1770"/>
      <c r="AB122" s="1770"/>
      <c r="AC122" s="1770"/>
    </row>
    <row r="123" spans="1:29" ht="15" thickTop="1">
      <c r="A123" s="543"/>
      <c r="B123" s="615" t="s">
        <v>695</v>
      </c>
      <c r="C123" s="630"/>
      <c r="D123" s="630"/>
      <c r="E123" s="630"/>
      <c r="F123" s="658"/>
      <c r="G123" s="658"/>
      <c r="H123" s="658"/>
      <c r="I123" s="658"/>
      <c r="J123" s="658"/>
      <c r="K123" s="659"/>
      <c r="L123" s="660"/>
      <c r="M123" s="661"/>
      <c r="N123" s="1766"/>
      <c r="O123" s="1766"/>
      <c r="P123" s="1809"/>
      <c r="Q123" s="1762"/>
      <c r="R123" s="1741"/>
      <c r="S123" s="1741"/>
      <c r="T123" s="1741"/>
      <c r="U123" s="1741"/>
      <c r="V123" s="1741"/>
      <c r="W123" s="1741"/>
      <c r="X123" s="1741"/>
      <c r="Y123" s="1741"/>
      <c r="Z123" s="1741"/>
      <c r="AA123" s="1741"/>
      <c r="AB123" s="1741"/>
      <c r="AC123" s="1741"/>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7"/>
      <c r="O124" s="1767"/>
      <c r="P124" s="1809"/>
      <c r="Q124" s="1762"/>
      <c r="R124" s="1741"/>
      <c r="S124" s="1741"/>
      <c r="T124" s="1741"/>
      <c r="U124" s="1741"/>
      <c r="V124" s="1741"/>
      <c r="W124" s="1741"/>
      <c r="X124" s="1741"/>
      <c r="Y124" s="1741"/>
      <c r="Z124" s="1741"/>
      <c r="AA124" s="1741"/>
      <c r="AB124" s="1741"/>
      <c r="AC124" s="1741"/>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6"/>
      <c r="O125" s="1766"/>
      <c r="P125" s="1810"/>
      <c r="Q125" s="1762"/>
      <c r="R125" s="1741"/>
      <c r="S125" s="1741"/>
      <c r="T125" s="1741"/>
      <c r="U125" s="1741"/>
      <c r="V125" s="1741"/>
      <c r="W125" s="1741"/>
      <c r="X125" s="1741"/>
      <c r="Y125" s="1741"/>
      <c r="Z125" s="1741"/>
      <c r="AA125" s="1741"/>
      <c r="AB125" s="1741"/>
      <c r="AC125" s="1741"/>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7"/>
      <c r="O126" s="1767"/>
      <c r="P126" s="1809"/>
      <c r="Q126" s="1762"/>
      <c r="R126" s="1741"/>
      <c r="S126" s="1741"/>
      <c r="T126" s="1741"/>
      <c r="U126" s="1741"/>
      <c r="V126" s="1741"/>
      <c r="W126" s="1741"/>
      <c r="X126" s="1741"/>
      <c r="Y126" s="1741"/>
      <c r="Z126" s="1741"/>
      <c r="AA126" s="1741"/>
      <c r="AB126" s="1741"/>
      <c r="AC126" s="1741"/>
    </row>
    <row r="127" spans="1:29" s="1132" customFormat="1" ht="15" thickTop="1">
      <c r="A127" s="552"/>
      <c r="B127" s="615">
        <f>B45</f>
        <v>111</v>
      </c>
      <c r="C127" s="630"/>
      <c r="D127" s="630"/>
      <c r="E127" s="630"/>
      <c r="F127" s="630"/>
      <c r="G127" s="630"/>
      <c r="H127" s="631"/>
      <c r="I127" s="631"/>
      <c r="J127" s="631"/>
      <c r="K127" s="631"/>
      <c r="L127" s="632"/>
      <c r="M127" s="633"/>
      <c r="N127" s="1768"/>
      <c r="O127" s="1768"/>
      <c r="P127" s="1810"/>
      <c r="Q127" s="1769"/>
      <c r="R127" s="1770"/>
      <c r="S127" s="1770"/>
      <c r="T127" s="1770"/>
      <c r="U127" s="1770"/>
      <c r="V127" s="1770"/>
      <c r="W127" s="1770"/>
      <c r="X127" s="1770"/>
      <c r="Y127" s="1770"/>
      <c r="Z127" s="1770"/>
      <c r="AA127" s="1770"/>
      <c r="AB127" s="1770"/>
      <c r="AC127" s="1770"/>
    </row>
    <row r="128" spans="1:29" s="1132" customFormat="1" ht="15.75" thickBot="1">
      <c r="A128" s="629"/>
      <c r="B128" s="620"/>
      <c r="C128" s="634"/>
      <c r="D128" s="613"/>
      <c r="E128" s="613"/>
      <c r="F128" s="613"/>
      <c r="G128" s="634"/>
      <c r="H128" s="635"/>
      <c r="I128" s="635"/>
      <c r="J128" s="635"/>
      <c r="K128" s="635"/>
      <c r="L128" s="635"/>
      <c r="M128" s="636"/>
      <c r="N128" s="1768"/>
      <c r="O128" s="1768"/>
      <c r="P128" s="1810"/>
      <c r="Q128" s="1769"/>
      <c r="R128" s="1770"/>
      <c r="S128" s="1770"/>
      <c r="T128" s="1770"/>
      <c r="U128" s="1770"/>
      <c r="V128" s="1770"/>
      <c r="W128" s="1770"/>
      <c r="X128" s="1770"/>
      <c r="Y128" s="1770"/>
      <c r="Z128" s="1770"/>
      <c r="AA128" s="1770"/>
      <c r="AB128" s="1770"/>
      <c r="AC128" s="1770"/>
    </row>
    <row r="129" spans="1:29" ht="15" thickTop="1">
      <c r="A129" s="543"/>
      <c r="B129" s="615">
        <f>B46</f>
        <v>111</v>
      </c>
      <c r="C129" s="630"/>
      <c r="D129" s="630"/>
      <c r="E129" s="630"/>
      <c r="F129" s="630"/>
      <c r="G129" s="658"/>
      <c r="H129" s="658"/>
      <c r="I129" s="658"/>
      <c r="J129" s="658"/>
      <c r="K129" s="659"/>
      <c r="L129" s="660"/>
      <c r="M129" s="661"/>
      <c r="N129" s="1766"/>
      <c r="O129" s="1766"/>
      <c r="P129" s="1809"/>
      <c r="Q129" s="1762"/>
      <c r="R129" s="1741"/>
      <c r="S129" s="1741"/>
      <c r="T129" s="1741"/>
      <c r="U129" s="1741"/>
      <c r="V129" s="1741"/>
      <c r="W129" s="1741"/>
      <c r="X129" s="1741"/>
      <c r="Y129" s="1741"/>
      <c r="Z129" s="1741"/>
      <c r="AA129" s="1741"/>
      <c r="AB129" s="1741"/>
      <c r="AC129" s="1741"/>
    </row>
    <row r="130" spans="1:29" ht="15.75" thickBot="1">
      <c r="A130" s="482"/>
      <c r="B130" s="620"/>
      <c r="C130" s="634"/>
      <c r="D130" s="634"/>
      <c r="E130" s="634"/>
      <c r="F130" s="634"/>
      <c r="G130" s="613"/>
      <c r="H130" s="613"/>
      <c r="I130" s="613"/>
      <c r="J130" s="613"/>
      <c r="K130" s="613"/>
      <c r="L130" s="613"/>
      <c r="M130" s="614"/>
      <c r="N130" s="1767"/>
      <c r="O130" s="1767"/>
      <c r="P130" s="1809"/>
      <c r="Q130" s="1762"/>
      <c r="R130" s="1741"/>
      <c r="S130" s="1741"/>
      <c r="T130" s="1741"/>
      <c r="U130" s="1741"/>
      <c r="V130" s="1741"/>
      <c r="W130" s="1741"/>
      <c r="X130" s="1741"/>
      <c r="Y130" s="1741"/>
      <c r="Z130" s="1741"/>
      <c r="AA130" s="1741"/>
      <c r="AB130" s="1741"/>
      <c r="AC130" s="1741"/>
    </row>
    <row r="131" spans="1:29" ht="15" thickTop="1">
      <c r="A131" s="543"/>
      <c r="B131" s="623">
        <f>B47</f>
        <v>111</v>
      </c>
      <c r="C131" s="80"/>
      <c r="D131" s="80"/>
      <c r="E131" s="80"/>
      <c r="F131" s="80"/>
      <c r="G131" s="662"/>
      <c r="H131" s="662"/>
      <c r="I131" s="662"/>
      <c r="J131" s="662"/>
      <c r="K131" s="80"/>
      <c r="L131" s="605"/>
      <c r="M131" s="665"/>
      <c r="N131" s="1766"/>
      <c r="O131" s="1766"/>
      <c r="P131" s="1809"/>
      <c r="Q131" s="1762"/>
      <c r="R131" s="1741"/>
      <c r="S131" s="1741"/>
      <c r="T131" s="1741"/>
      <c r="U131" s="1741"/>
      <c r="V131" s="1741"/>
      <c r="W131" s="1741"/>
      <c r="X131" s="1741"/>
      <c r="Y131" s="1741"/>
      <c r="Z131" s="1741"/>
      <c r="AA131" s="1741"/>
      <c r="AB131" s="1741"/>
      <c r="AC131" s="1741"/>
    </row>
    <row r="132" spans="1:29" ht="15.75" thickBot="1">
      <c r="A132" s="493"/>
      <c r="B132" s="641"/>
      <c r="C132" s="642"/>
      <c r="D132" s="642"/>
      <c r="E132" s="642"/>
      <c r="F132" s="642"/>
      <c r="G132" s="666"/>
      <c r="H132" s="666"/>
      <c r="I132" s="666"/>
      <c r="J132" s="666"/>
      <c r="K132" s="666"/>
      <c r="L132" s="666"/>
      <c r="M132" s="667"/>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454" t="s">
        <v>728</v>
      </c>
      <c r="C1" s="455" t="s">
        <v>667</v>
      </c>
      <c r="D1" s="781"/>
      <c r="E1" s="457"/>
      <c r="F1" s="2117"/>
      <c r="G1" s="1327" t="s">
        <v>668</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782"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468</v>
      </c>
      <c r="B3" s="461" t="e">
        <f>C43</f>
        <v>#DIV/0!</v>
      </c>
      <c r="C3" s="784" t="s">
        <v>669</v>
      </c>
      <c r="D3" s="783">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5">
      <c r="A4" s="463" t="s">
        <v>470</v>
      </c>
      <c r="B4" s="464"/>
      <c r="C4" s="3732" t="s">
        <v>471</v>
      </c>
      <c r="D4" s="3733"/>
      <c r="E4" s="3769" t="s">
        <v>472</v>
      </c>
      <c r="F4" s="3770"/>
      <c r="G4" s="3732" t="s">
        <v>473</v>
      </c>
      <c r="H4" s="3733"/>
      <c r="I4" s="3732" t="s">
        <v>474</v>
      </c>
      <c r="J4" s="3733"/>
      <c r="K4" s="465" t="s">
        <v>475</v>
      </c>
      <c r="L4" s="1740"/>
      <c r="M4" s="1741"/>
      <c r="N4" s="1741"/>
      <c r="O4" s="1741"/>
      <c r="P4" s="3734" t="s">
        <v>476</v>
      </c>
      <c r="Q4" s="3735"/>
      <c r="R4" s="3718" t="s">
        <v>472</v>
      </c>
      <c r="S4" s="3719"/>
      <c r="T4" s="3718" t="s">
        <v>473</v>
      </c>
      <c r="U4" s="3719"/>
      <c r="V4" s="3740" t="s">
        <v>474</v>
      </c>
      <c r="W4" s="3740"/>
      <c r="X4" s="1301"/>
      <c r="Y4" s="3718" t="s">
        <v>476</v>
      </c>
      <c r="Z4" s="3719"/>
      <c r="AA4" s="3713" t="s">
        <v>472</v>
      </c>
      <c r="AB4" s="3714" t="s">
        <v>473</v>
      </c>
      <c r="AC4" s="3713" t="s">
        <v>474</v>
      </c>
    </row>
    <row r="5" spans="1:29" ht="15">
      <c r="A5" s="466"/>
      <c r="B5" s="467"/>
      <c r="C5" s="3743" t="s">
        <v>2186</v>
      </c>
      <c r="D5" s="3744"/>
      <c r="E5" s="3771" t="s">
        <v>2187</v>
      </c>
      <c r="F5" s="3772"/>
      <c r="G5" s="3743" t="s">
        <v>2188</v>
      </c>
      <c r="H5" s="3744"/>
      <c r="I5" s="3743" t="s">
        <v>2189</v>
      </c>
      <c r="J5" s="3744"/>
      <c r="K5" s="465"/>
      <c r="L5" s="1740"/>
      <c r="M5" s="1741"/>
      <c r="N5" s="1741"/>
      <c r="O5" s="1741"/>
      <c r="P5" s="3736"/>
      <c r="Q5" s="3737"/>
      <c r="R5" s="3720"/>
      <c r="S5" s="3721"/>
      <c r="T5" s="3720"/>
      <c r="U5" s="3721"/>
      <c r="V5" s="3740"/>
      <c r="W5" s="3740"/>
      <c r="X5" s="1301"/>
      <c r="Y5" s="3720"/>
      <c r="Z5" s="3721"/>
      <c r="AA5" s="3714"/>
      <c r="AB5" s="3714"/>
      <c r="AC5" s="3714"/>
    </row>
    <row r="6" spans="1:29" ht="15.75" thickBot="1">
      <c r="A6" s="468"/>
      <c r="B6" s="469"/>
      <c r="C6" s="3741" t="s">
        <v>2190</v>
      </c>
      <c r="D6" s="3742"/>
      <c r="E6" s="3773" t="s">
        <v>2190</v>
      </c>
      <c r="F6" s="3774"/>
      <c r="G6" s="3741" t="s">
        <v>2190</v>
      </c>
      <c r="H6" s="3742"/>
      <c r="I6" s="3741" t="s">
        <v>2190</v>
      </c>
      <c r="J6" s="3742"/>
      <c r="K6" s="465" t="s">
        <v>477</v>
      </c>
      <c r="L6" s="1740"/>
      <c r="M6" s="1741"/>
      <c r="N6" s="1741"/>
      <c r="O6" s="1741"/>
      <c r="P6" s="3738"/>
      <c r="Q6" s="3739"/>
      <c r="R6" s="3720"/>
      <c r="S6" s="3721"/>
      <c r="T6" s="3722"/>
      <c r="U6" s="3723"/>
      <c r="V6" s="3740"/>
      <c r="W6" s="3740"/>
      <c r="X6" s="1301"/>
      <c r="Y6" s="3722"/>
      <c r="Z6" s="3723"/>
      <c r="AA6" s="3715"/>
      <c r="AB6" s="3715"/>
      <c r="AC6" s="3715"/>
    </row>
    <row r="7" spans="1:29" s="1058" customFormat="1" ht="15.75" thickBot="1">
      <c r="A7" s="2208"/>
      <c r="B7" s="2215" t="s">
        <v>478</v>
      </c>
      <c r="C7" s="470">
        <f>'数据-取费表'!B2</f>
        <v>45196</v>
      </c>
      <c r="D7" s="471">
        <v>100</v>
      </c>
      <c r="E7" s="472"/>
      <c r="F7" s="473">
        <f>SUMIF(52:52,YEAR(E7)&amp;"-"&amp;MONTH(E7),53:53)</f>
        <v>0</v>
      </c>
      <c r="G7" s="472"/>
      <c r="H7" s="471">
        <f>SUMIF(52:52,YEAR(G7)&amp;"-"&amp;MONTH(G7),53:53)</f>
        <v>0</v>
      </c>
      <c r="I7" s="472"/>
      <c r="J7" s="471">
        <f>SUMIF(52:52,YEAR(I7)&amp;"-"&amp;MONTH(I7),53:53)</f>
        <v>0</v>
      </c>
      <c r="K7" s="88"/>
      <c r="L7" s="1742"/>
      <c r="M7" s="1639"/>
      <c r="N7" s="1639"/>
      <c r="O7" s="1639"/>
      <c r="P7" s="3716" t="s">
        <v>479</v>
      </c>
      <c r="Q7" s="3725"/>
      <c r="R7" s="1302" t="s">
        <v>5</v>
      </c>
      <c r="S7" s="1303">
        <f t="shared" ref="S7:S15" si="0">F7</f>
        <v>0</v>
      </c>
      <c r="T7" s="1302" t="s">
        <v>5</v>
      </c>
      <c r="U7" s="1303">
        <f t="shared" ref="U7:U15" si="1">H7</f>
        <v>0</v>
      </c>
      <c r="V7" s="1302" t="s">
        <v>5</v>
      </c>
      <c r="W7" s="1303">
        <f t="shared" ref="W7:W15" si="2">J7</f>
        <v>0</v>
      </c>
      <c r="X7" s="1304"/>
      <c r="Y7" s="3716" t="s">
        <v>479</v>
      </c>
      <c r="Z7" s="3717"/>
      <c r="AA7" s="995" t="e">
        <f>D7/F7</f>
        <v>#DIV/0!</v>
      </c>
      <c r="AB7" s="995" t="e">
        <f>D7/H7</f>
        <v>#DIV/0!</v>
      </c>
      <c r="AC7" s="995" t="e">
        <f>D7/J7</f>
        <v>#DIV/0!</v>
      </c>
    </row>
    <row r="8" spans="1:29" s="1058" customFormat="1" ht="15.7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2"/>
      <c r="M8" s="1639"/>
      <c r="N8" s="1639"/>
      <c r="O8" s="1639"/>
      <c r="P8" s="3716" t="s">
        <v>482</v>
      </c>
      <c r="Q8" s="3717"/>
      <c r="R8" s="1302" t="s">
        <v>5</v>
      </c>
      <c r="S8" s="1303">
        <f t="shared" si="0"/>
        <v>0</v>
      </c>
      <c r="T8" s="1302" t="s">
        <v>5</v>
      </c>
      <c r="U8" s="1303">
        <f t="shared" si="1"/>
        <v>0</v>
      </c>
      <c r="V8" s="1302" t="s">
        <v>5</v>
      </c>
      <c r="W8" s="1303">
        <f t="shared" si="2"/>
        <v>0</v>
      </c>
      <c r="X8" s="1304"/>
      <c r="Y8" s="3716" t="s">
        <v>482</v>
      </c>
      <c r="Z8" s="3717"/>
      <c r="AA8" s="995" t="e">
        <f t="shared" ref="AA8:AA40" si="3">D8/F8</f>
        <v>#DIV/0!</v>
      </c>
      <c r="AB8" s="995" t="e">
        <f t="shared" ref="AB8:AB40" si="4">D8/H8</f>
        <v>#DIV/0!</v>
      </c>
      <c r="AC8" s="995" t="e">
        <f t="shared" ref="AC8:AC40" si="5">D8/J8</f>
        <v>#DIV/0!</v>
      </c>
    </row>
    <row r="9" spans="1:29" s="1058" customFormat="1" ht="15">
      <c r="A9" s="2210"/>
      <c r="B9" s="2217" t="s">
        <v>2035</v>
      </c>
      <c r="C9" s="789"/>
      <c r="D9" s="154">
        <v>100</v>
      </c>
      <c r="E9" s="791"/>
      <c r="F9" s="154">
        <f>SUMIF(57:57,E9,58:58)-SUMIF(57:57,C9,58:58)+100</f>
        <v>100</v>
      </c>
      <c r="G9" s="790"/>
      <c r="H9" s="154">
        <f>SUMIF(57:57,G9,58:58)-SUMIF(57:57,C9,58:58)+100</f>
        <v>100</v>
      </c>
      <c r="I9" s="790"/>
      <c r="J9" s="154">
        <f>SUMIF(57:57,I9,58:58)-SUMIF(57:57,C9,58:58)+100</f>
        <v>100</v>
      </c>
      <c r="K9" s="88"/>
      <c r="L9" s="1742"/>
      <c r="M9" s="1639"/>
      <c r="N9" s="1639"/>
      <c r="O9" s="1743"/>
      <c r="P9" s="3724" t="s">
        <v>484</v>
      </c>
      <c r="Q9" s="816" t="str">
        <f t="shared" ref="Q9:Q15" si="6">B9</f>
        <v>用途</v>
      </c>
      <c r="R9" s="1302" t="s">
        <v>5</v>
      </c>
      <c r="S9" s="1303">
        <f t="shared" si="0"/>
        <v>100</v>
      </c>
      <c r="T9" s="1302" t="s">
        <v>5</v>
      </c>
      <c r="U9" s="1303">
        <f t="shared" si="1"/>
        <v>100</v>
      </c>
      <c r="V9" s="1302" t="s">
        <v>5</v>
      </c>
      <c r="W9" s="1303">
        <f t="shared" si="2"/>
        <v>100</v>
      </c>
      <c r="X9" s="1304"/>
      <c r="Y9" s="3672" t="s">
        <v>485</v>
      </c>
      <c r="Z9" s="995" t="str">
        <f t="shared" ref="Z9:Z15" si="7">Q9</f>
        <v>用途</v>
      </c>
      <c r="AA9" s="995">
        <f t="shared" si="3"/>
        <v>1</v>
      </c>
      <c r="AB9" s="995">
        <f t="shared" si="4"/>
        <v>1</v>
      </c>
      <c r="AC9" s="995">
        <f t="shared" si="5"/>
        <v>1</v>
      </c>
    </row>
    <row r="10" spans="1:29" s="1131" customFormat="1" ht="27">
      <c r="A10" s="2211"/>
      <c r="B10" s="2216" t="s">
        <v>2036</v>
      </c>
      <c r="C10" s="3386"/>
      <c r="D10" s="235">
        <v>100</v>
      </c>
      <c r="E10" s="3386"/>
      <c r="F10" s="235">
        <f>SUMIF(59:59,E10,60:60)-SUMIF(59:59,C10,60:60)+100</f>
        <v>100</v>
      </c>
      <c r="G10" s="3387"/>
      <c r="H10" s="235">
        <f>SUMIF(59:59,G10,60:60)-SUMIF(59:59,C10,60:60)+100</f>
        <v>100</v>
      </c>
      <c r="I10" s="3386"/>
      <c r="J10" s="235">
        <f>SUMIF(59:59,I10,60:60)-SUMIF(59:59,C10,60:60)+100</f>
        <v>100</v>
      </c>
      <c r="K10" s="88"/>
      <c r="L10" s="1744"/>
      <c r="M10" s="1777"/>
      <c r="N10" s="1777"/>
      <c r="O10" s="1745"/>
      <c r="P10" s="3724"/>
      <c r="Q10" s="816" t="str">
        <f t="shared" si="6"/>
        <v>土地使用年限（年）</v>
      </c>
      <c r="R10" s="1302" t="s">
        <v>5</v>
      </c>
      <c r="S10" s="1303">
        <f t="shared" si="0"/>
        <v>100</v>
      </c>
      <c r="T10" s="1302" t="s">
        <v>5</v>
      </c>
      <c r="U10" s="1303">
        <f t="shared" si="1"/>
        <v>100</v>
      </c>
      <c r="V10" s="1302" t="s">
        <v>5</v>
      </c>
      <c r="W10" s="1303">
        <f t="shared" si="2"/>
        <v>100</v>
      </c>
      <c r="X10" s="1304"/>
      <c r="Y10" s="3672"/>
      <c r="Z10" s="995" t="str">
        <f t="shared" si="7"/>
        <v>土地使用年限（年）</v>
      </c>
      <c r="AA10" s="995">
        <f t="shared" si="3"/>
        <v>1</v>
      </c>
      <c r="AB10" s="995">
        <f t="shared" si="4"/>
        <v>1</v>
      </c>
      <c r="AC10" s="995">
        <f t="shared" si="5"/>
        <v>1</v>
      </c>
    </row>
    <row r="11" spans="1:29" ht="15">
      <c r="A11" s="2212"/>
      <c r="B11" s="2216" t="s">
        <v>2037</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6"/>
      <c r="M11" s="1741"/>
      <c r="N11" s="1741"/>
      <c r="O11" s="1747"/>
      <c r="P11" s="3724"/>
      <c r="Q11" s="816" t="str">
        <f t="shared" si="6"/>
        <v>容积率</v>
      </c>
      <c r="R11" s="1302" t="s">
        <v>5</v>
      </c>
      <c r="S11" s="1303" t="e">
        <f t="shared" si="0"/>
        <v>#N/A</v>
      </c>
      <c r="T11" s="1302" t="s">
        <v>5</v>
      </c>
      <c r="U11" s="1303" t="e">
        <f t="shared" si="1"/>
        <v>#N/A</v>
      </c>
      <c r="V11" s="1302" t="s">
        <v>5</v>
      </c>
      <c r="W11" s="1303" t="e">
        <f t="shared" si="2"/>
        <v>#N/A</v>
      </c>
      <c r="X11" s="1304"/>
      <c r="Y11" s="3672"/>
      <c r="Z11" s="995" t="str">
        <f t="shared" si="7"/>
        <v>容积率</v>
      </c>
      <c r="AA11" s="995" t="e">
        <f t="shared" si="3"/>
        <v>#N/A</v>
      </c>
      <c r="AB11" s="995" t="e">
        <f t="shared" si="4"/>
        <v>#N/A</v>
      </c>
      <c r="AC11" s="995" t="e">
        <f t="shared" si="5"/>
        <v>#N/A</v>
      </c>
    </row>
    <row r="12" spans="1:29" s="1058" customFormat="1" ht="15">
      <c r="A12" s="2213"/>
      <c r="B12" s="2219">
        <v>111</v>
      </c>
      <c r="C12" s="478"/>
      <c r="D12" s="488">
        <v>100</v>
      </c>
      <c r="E12" s="489"/>
      <c r="F12" s="235">
        <f>SUMIF(64:64,E12,65:65)-SUMIF(64:64,C12,65:65)+100</f>
        <v>100</v>
      </c>
      <c r="G12" s="840"/>
      <c r="H12" s="235">
        <f>SUMIF(64:64,G12,65:65)-SUMIF(64:64,C12,65:65)+100</f>
        <v>100</v>
      </c>
      <c r="I12" s="804"/>
      <c r="J12" s="235">
        <f>SUMIF(64:64,I12,65:65)-SUMIF(64:64,C12,65:65)+100</f>
        <v>100</v>
      </c>
      <c r="K12" s="531"/>
      <c r="L12" s="1742"/>
      <c r="M12" s="1639"/>
      <c r="N12" s="1639"/>
      <c r="O12" s="1743"/>
      <c r="P12" s="3724"/>
      <c r="Q12" s="816">
        <f t="shared" si="6"/>
        <v>111</v>
      </c>
      <c r="R12" s="1302" t="s">
        <v>5</v>
      </c>
      <c r="S12" s="1303">
        <f t="shared" si="0"/>
        <v>100</v>
      </c>
      <c r="T12" s="1302" t="s">
        <v>5</v>
      </c>
      <c r="U12" s="1303">
        <f t="shared" si="1"/>
        <v>100</v>
      </c>
      <c r="V12" s="1302" t="s">
        <v>5</v>
      </c>
      <c r="W12" s="1303">
        <f t="shared" si="2"/>
        <v>100</v>
      </c>
      <c r="X12" s="1304"/>
      <c r="Y12" s="3672"/>
      <c r="Z12" s="995">
        <f t="shared" si="7"/>
        <v>111</v>
      </c>
      <c r="AA12" s="995">
        <f>D12/F12</f>
        <v>1</v>
      </c>
      <c r="AB12" s="995">
        <f>D12/H12</f>
        <v>1</v>
      </c>
      <c r="AC12" s="995">
        <f>D12/J12</f>
        <v>1</v>
      </c>
    </row>
    <row r="13" spans="1:29" ht="15">
      <c r="A13" s="2213"/>
      <c r="B13" s="2219">
        <v>111</v>
      </c>
      <c r="C13" s="489"/>
      <c r="D13" s="490">
        <v>100</v>
      </c>
      <c r="E13" s="489"/>
      <c r="F13" s="235">
        <f>SUMIF(66:66,E13,67:67)-SUMIF(66:66,C13,67:67)+100</f>
        <v>100</v>
      </c>
      <c r="G13" s="840"/>
      <c r="H13" s="490">
        <f>SUMIF(66:66,G13,67:67)-SUMIF(66:66,C13,67:67)+100</f>
        <v>100</v>
      </c>
      <c r="I13" s="804"/>
      <c r="J13" s="490">
        <f>SUMIF(66:66,I13,67:67)-SUMIF(66:66,C13,67:67)+100</f>
        <v>100</v>
      </c>
      <c r="K13" s="531"/>
      <c r="L13" s="1748"/>
      <c r="M13" s="1741"/>
      <c r="N13" s="1741"/>
      <c r="O13" s="1747"/>
      <c r="P13" s="3724"/>
      <c r="Q13" s="816">
        <f t="shared" si="6"/>
        <v>111</v>
      </c>
      <c r="R13" s="1302" t="s">
        <v>5</v>
      </c>
      <c r="S13" s="1303">
        <f t="shared" si="0"/>
        <v>100</v>
      </c>
      <c r="T13" s="1302" t="s">
        <v>5</v>
      </c>
      <c r="U13" s="1303">
        <f t="shared" si="1"/>
        <v>100</v>
      </c>
      <c r="V13" s="1302" t="s">
        <v>5</v>
      </c>
      <c r="W13" s="1303">
        <f t="shared" si="2"/>
        <v>100</v>
      </c>
      <c r="X13" s="1304"/>
      <c r="Y13" s="3672"/>
      <c r="Z13" s="995">
        <f t="shared" si="7"/>
        <v>111</v>
      </c>
      <c r="AA13" s="995">
        <f t="shared" si="3"/>
        <v>1</v>
      </c>
      <c r="AB13" s="995">
        <f t="shared" si="4"/>
        <v>1</v>
      </c>
      <c r="AC13" s="995">
        <f t="shared" si="5"/>
        <v>1</v>
      </c>
    </row>
    <row r="14" spans="1:29" ht="15.75" thickBot="1">
      <c r="A14" s="2214"/>
      <c r="B14" s="2220">
        <v>111</v>
      </c>
      <c r="C14" s="495"/>
      <c r="D14" s="496">
        <v>100</v>
      </c>
      <c r="E14" s="495"/>
      <c r="F14" s="496">
        <f>SUMIF(68:68,E14,69:69)-SUMIF(68:68,C14,69:69)+100</f>
        <v>100</v>
      </c>
      <c r="G14" s="840"/>
      <c r="H14" s="496">
        <f>SUMIF(68:68,G14,69:69)-SUMIF(68:68,C14,69:69)+100</f>
        <v>100</v>
      </c>
      <c r="I14" s="804"/>
      <c r="J14" s="496">
        <f>SUMIF(68:68,I14,69:69)-SUMIF(68:68,C14,69:69)+100</f>
        <v>100</v>
      </c>
      <c r="K14" s="531"/>
      <c r="L14" s="1748"/>
      <c r="M14" s="1741"/>
      <c r="N14" s="1741"/>
      <c r="O14" s="1747"/>
      <c r="P14" s="3724"/>
      <c r="Q14" s="816">
        <f t="shared" si="6"/>
        <v>111</v>
      </c>
      <c r="R14" s="1302" t="s">
        <v>5</v>
      </c>
      <c r="S14" s="1303">
        <f t="shared" si="0"/>
        <v>100</v>
      </c>
      <c r="T14" s="1302" t="s">
        <v>5</v>
      </c>
      <c r="U14" s="1303">
        <f t="shared" si="1"/>
        <v>100</v>
      </c>
      <c r="V14" s="1302" t="s">
        <v>5</v>
      </c>
      <c r="W14" s="1303">
        <f t="shared" si="2"/>
        <v>100</v>
      </c>
      <c r="X14" s="1304"/>
      <c r="Y14" s="3672"/>
      <c r="Z14" s="995">
        <f t="shared" si="7"/>
        <v>111</v>
      </c>
      <c r="AA14" s="995">
        <f t="shared" si="3"/>
        <v>1</v>
      </c>
      <c r="AB14" s="995">
        <f t="shared" si="4"/>
        <v>1</v>
      </c>
      <c r="AC14" s="995">
        <f t="shared" si="5"/>
        <v>1</v>
      </c>
    </row>
    <row r="15" spans="1:29" ht="57">
      <c r="A15" s="2206" t="s">
        <v>2033</v>
      </c>
      <c r="B15" s="150" t="s">
        <v>729</v>
      </c>
      <c r="C15" s="841"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0"/>
      <c r="L15" s="1748"/>
      <c r="M15" s="1741"/>
      <c r="N15" s="1741"/>
      <c r="O15" s="1747"/>
      <c r="P15" s="3726" t="s">
        <v>489</v>
      </c>
      <c r="Q15" s="1305" t="str">
        <f t="shared" si="6"/>
        <v>产业集聚程度</v>
      </c>
      <c r="R15" s="1306" t="s">
        <v>5</v>
      </c>
      <c r="S15" s="1307">
        <f t="shared" si="0"/>
        <v>100</v>
      </c>
      <c r="T15" s="1306" t="s">
        <v>5</v>
      </c>
      <c r="U15" s="1307">
        <f t="shared" si="1"/>
        <v>100</v>
      </c>
      <c r="V15" s="1306" t="s">
        <v>5</v>
      </c>
      <c r="W15" s="1307">
        <f t="shared" si="2"/>
        <v>100</v>
      </c>
      <c r="X15" s="1301"/>
      <c r="Y15" s="3726" t="s">
        <v>489</v>
      </c>
      <c r="Z15" s="1308" t="str">
        <f t="shared" si="7"/>
        <v>产业集聚程度</v>
      </c>
      <c r="AA15" s="1308">
        <f t="shared" si="3"/>
        <v>1</v>
      </c>
      <c r="AB15" s="1308">
        <f t="shared" si="4"/>
        <v>1</v>
      </c>
      <c r="AC15" s="1308">
        <f t="shared" si="5"/>
        <v>1</v>
      </c>
    </row>
    <row r="16" spans="1:29" ht="15">
      <c r="A16" s="482"/>
      <c r="B16" s="797"/>
      <c r="C16" s="526"/>
      <c r="D16" s="505"/>
      <c r="E16" s="526"/>
      <c r="F16" s="507"/>
      <c r="G16" s="526"/>
      <c r="H16" s="509"/>
      <c r="I16" s="526"/>
      <c r="J16" s="505"/>
      <c r="K16" s="821"/>
      <c r="L16" s="1748"/>
      <c r="M16" s="1741"/>
      <c r="N16" s="1741"/>
      <c r="O16" s="1747"/>
      <c r="P16" s="3727"/>
      <c r="Q16" s="1305"/>
      <c r="R16" s="1306"/>
      <c r="S16" s="1307"/>
      <c r="T16" s="1306"/>
      <c r="U16" s="1307"/>
      <c r="V16" s="1306"/>
      <c r="W16" s="1307"/>
      <c r="X16" s="1301"/>
      <c r="Y16" s="3727"/>
      <c r="Z16" s="1308"/>
      <c r="AA16" s="1308">
        <v>1</v>
      </c>
      <c r="AB16" s="1308">
        <v>1</v>
      </c>
      <c r="AC16" s="1308">
        <v>1</v>
      </c>
    </row>
    <row r="17" spans="1:29" ht="85.5">
      <c r="A17" s="482"/>
      <c r="B17" s="677" t="s">
        <v>262</v>
      </c>
      <c r="C17" s="799"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0"/>
      <c r="L17" s="1748"/>
      <c r="M17" s="1741"/>
      <c r="N17" s="1741"/>
      <c r="O17" s="1747"/>
      <c r="P17" s="3727"/>
      <c r="Q17" s="1305" t="str">
        <f>B17</f>
        <v>交通便捷度</v>
      </c>
      <c r="R17" s="1306" t="s">
        <v>5</v>
      </c>
      <c r="S17" s="1307">
        <f>F17</f>
        <v>100</v>
      </c>
      <c r="T17" s="1306" t="s">
        <v>5</v>
      </c>
      <c r="U17" s="1307">
        <f>H17</f>
        <v>100</v>
      </c>
      <c r="V17" s="1306" t="s">
        <v>5</v>
      </c>
      <c r="W17" s="1307">
        <f>J17</f>
        <v>100</v>
      </c>
      <c r="X17" s="1301"/>
      <c r="Y17" s="3727"/>
      <c r="Z17" s="1308" t="str">
        <f>Q17</f>
        <v>交通便捷度</v>
      </c>
      <c r="AA17" s="1308">
        <f t="shared" si="3"/>
        <v>1</v>
      </c>
      <c r="AB17" s="1308">
        <f t="shared" si="4"/>
        <v>1</v>
      </c>
      <c r="AC17" s="1308">
        <f t="shared" si="5"/>
        <v>1</v>
      </c>
    </row>
    <row r="18" spans="1:29" ht="15">
      <c r="A18" s="482"/>
      <c r="B18" s="544"/>
      <c r="C18" s="800"/>
      <c r="D18" s="509"/>
      <c r="E18" s="518"/>
      <c r="F18" s="513"/>
      <c r="G18" s="519"/>
      <c r="H18" s="505"/>
      <c r="I18" s="518"/>
      <c r="J18" s="505"/>
      <c r="K18" s="821"/>
      <c r="L18" s="1748"/>
      <c r="M18" s="1741"/>
      <c r="N18" s="1741"/>
      <c r="O18" s="1747"/>
      <c r="P18" s="3727"/>
      <c r="Q18" s="1305"/>
      <c r="R18" s="1306"/>
      <c r="S18" s="1307"/>
      <c r="T18" s="1306"/>
      <c r="U18" s="1307"/>
      <c r="V18" s="1306"/>
      <c r="W18" s="1307"/>
      <c r="X18" s="1301"/>
      <c r="Y18" s="3727"/>
      <c r="Z18" s="1308"/>
      <c r="AA18" s="1308">
        <v>1</v>
      </c>
      <c r="AB18" s="1308">
        <v>1</v>
      </c>
      <c r="AC18" s="1308">
        <v>1</v>
      </c>
    </row>
    <row r="19" spans="1:29" ht="42.75">
      <c r="A19" s="482"/>
      <c r="B19" s="2061" t="s">
        <v>1826</v>
      </c>
      <c r="C19" s="799"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0"/>
      <c r="L19" s="1748"/>
      <c r="M19" s="1741"/>
      <c r="N19" s="1741"/>
      <c r="O19" s="1747"/>
      <c r="P19" s="3727"/>
      <c r="Q19" s="1305" t="str">
        <f>B19</f>
        <v>公共配套设施</v>
      </c>
      <c r="R19" s="1306" t="s">
        <v>5</v>
      </c>
      <c r="S19" s="1307">
        <f>F19</f>
        <v>100</v>
      </c>
      <c r="T19" s="1306" t="s">
        <v>5</v>
      </c>
      <c r="U19" s="1307">
        <f>H19</f>
        <v>100</v>
      </c>
      <c r="V19" s="1306" t="s">
        <v>5</v>
      </c>
      <c r="W19" s="1307">
        <f>J19</f>
        <v>100</v>
      </c>
      <c r="X19" s="1301"/>
      <c r="Y19" s="3727"/>
      <c r="Z19" s="1308" t="str">
        <f>Q19</f>
        <v>公共配套设施</v>
      </c>
      <c r="AA19" s="1308">
        <f t="shared" si="3"/>
        <v>1</v>
      </c>
      <c r="AB19" s="1308">
        <f t="shared" si="4"/>
        <v>1</v>
      </c>
      <c r="AC19" s="1308">
        <f t="shared" si="5"/>
        <v>1</v>
      </c>
    </row>
    <row r="20" spans="1:29" ht="15">
      <c r="A20" s="482"/>
      <c r="B20" s="516"/>
      <c r="C20" s="526"/>
      <c r="D20" s="505"/>
      <c r="E20" s="506"/>
      <c r="F20" s="507"/>
      <c r="G20" s="508"/>
      <c r="H20" s="505"/>
      <c r="I20" s="506"/>
      <c r="J20" s="505"/>
      <c r="K20" s="821"/>
      <c r="L20" s="1748"/>
      <c r="M20" s="1741"/>
      <c r="N20" s="1741"/>
      <c r="O20" s="1747"/>
      <c r="P20" s="3727"/>
      <c r="Q20" s="1305"/>
      <c r="R20" s="1306"/>
      <c r="S20" s="1307"/>
      <c r="T20" s="1306"/>
      <c r="U20" s="1307"/>
      <c r="V20" s="1306"/>
      <c r="W20" s="1307"/>
      <c r="X20" s="1301"/>
      <c r="Y20" s="3727"/>
      <c r="Z20" s="1308"/>
      <c r="AA20" s="1308">
        <v>1</v>
      </c>
      <c r="AB20" s="1308">
        <v>1</v>
      </c>
      <c r="AC20" s="1308">
        <v>1</v>
      </c>
    </row>
    <row r="21" spans="1:29" ht="28.5">
      <c r="A21" s="482"/>
      <c r="B21" s="2049" t="s">
        <v>1838</v>
      </c>
      <c r="C21" s="799"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0"/>
      <c r="L21" s="1748"/>
      <c r="M21" s="1741"/>
      <c r="N21" s="1741"/>
      <c r="O21" s="1747"/>
      <c r="P21" s="3727"/>
      <c r="Q21" s="1305" t="str">
        <f>B21</f>
        <v>基础设施水平</v>
      </c>
      <c r="R21" s="1306" t="s">
        <v>5</v>
      </c>
      <c r="S21" s="1307">
        <f>F21</f>
        <v>100</v>
      </c>
      <c r="T21" s="1306" t="s">
        <v>5</v>
      </c>
      <c r="U21" s="1307">
        <f>H21</f>
        <v>100</v>
      </c>
      <c r="V21" s="1306" t="s">
        <v>5</v>
      </c>
      <c r="W21" s="1307">
        <f>J21</f>
        <v>100</v>
      </c>
      <c r="X21" s="1301"/>
      <c r="Y21" s="3727"/>
      <c r="Z21" s="1308" t="str">
        <f>Q21</f>
        <v>基础设施水平</v>
      </c>
      <c r="AA21" s="1308">
        <f>D21/F21</f>
        <v>1</v>
      </c>
      <c r="AB21" s="1308">
        <f>D21/H21</f>
        <v>1</v>
      </c>
      <c r="AC21" s="1308">
        <f>D21/J21</f>
        <v>1</v>
      </c>
    </row>
    <row r="22" spans="1:29" ht="15">
      <c r="A22" s="482"/>
      <c r="B22" s="528"/>
      <c r="C22" s="800"/>
      <c r="D22" s="505"/>
      <c r="E22" s="526"/>
      <c r="F22" s="507"/>
      <c r="G22" s="526"/>
      <c r="H22" s="505"/>
      <c r="I22" s="526"/>
      <c r="J22" s="505"/>
      <c r="K22" s="2060"/>
      <c r="L22" s="1748"/>
      <c r="M22" s="1741"/>
      <c r="N22" s="1741"/>
      <c r="O22" s="1747"/>
      <c r="P22" s="3727"/>
      <c r="Q22" s="1305"/>
      <c r="R22" s="1306"/>
      <c r="S22" s="1307"/>
      <c r="T22" s="1306"/>
      <c r="U22" s="1307"/>
      <c r="V22" s="1306"/>
      <c r="W22" s="1307"/>
      <c r="X22" s="1301"/>
      <c r="Y22" s="3727"/>
      <c r="Z22" s="1308"/>
      <c r="AA22" s="1308">
        <v>1</v>
      </c>
      <c r="AB22" s="1308">
        <v>1</v>
      </c>
      <c r="AC22" s="1308">
        <v>1</v>
      </c>
    </row>
    <row r="23" spans="1:29" ht="71.25">
      <c r="A23" s="482"/>
      <c r="B23" s="677" t="s">
        <v>718</v>
      </c>
      <c r="C23" s="799"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0"/>
      <c r="L23" s="1748"/>
      <c r="M23" s="1741"/>
      <c r="N23" s="1741"/>
      <c r="O23" s="1747"/>
      <c r="P23" s="3727"/>
      <c r="Q23" s="1305" t="str">
        <f>B23</f>
        <v>环境质量</v>
      </c>
      <c r="R23" s="1306" t="s">
        <v>5</v>
      </c>
      <c r="S23" s="1307">
        <f>F23</f>
        <v>100</v>
      </c>
      <c r="T23" s="1306" t="s">
        <v>5</v>
      </c>
      <c r="U23" s="1307">
        <f>H23</f>
        <v>100</v>
      </c>
      <c r="V23" s="1306" t="s">
        <v>5</v>
      </c>
      <c r="W23" s="1307">
        <f>J23</f>
        <v>100</v>
      </c>
      <c r="X23" s="1301"/>
      <c r="Y23" s="3727"/>
      <c r="Z23" s="1308" t="str">
        <f>Q23</f>
        <v>环境质量</v>
      </c>
      <c r="AA23" s="1308">
        <f t="shared" si="3"/>
        <v>1</v>
      </c>
      <c r="AB23" s="1308">
        <f t="shared" si="4"/>
        <v>1</v>
      </c>
      <c r="AC23" s="1308">
        <f t="shared" si="5"/>
        <v>1</v>
      </c>
    </row>
    <row r="24" spans="1:29" ht="15">
      <c r="A24" s="482"/>
      <c r="B24" s="842"/>
      <c r="C24" s="526"/>
      <c r="D24" s="505"/>
      <c r="E24" s="506"/>
      <c r="F24" s="507"/>
      <c r="G24" s="508"/>
      <c r="H24" s="505"/>
      <c r="I24" s="506"/>
      <c r="J24" s="505"/>
      <c r="K24" s="821"/>
      <c r="L24" s="1748"/>
      <c r="M24" s="1741"/>
      <c r="N24" s="1741"/>
      <c r="O24" s="1747"/>
      <c r="P24" s="3727"/>
      <c r="Q24" s="1305"/>
      <c r="R24" s="1306"/>
      <c r="S24" s="1307"/>
      <c r="T24" s="1306"/>
      <c r="U24" s="1307"/>
      <c r="V24" s="1306"/>
      <c r="W24" s="1307"/>
      <c r="X24" s="1301"/>
      <c r="Y24" s="3727"/>
      <c r="Z24" s="1308"/>
      <c r="AA24" s="1308">
        <v>1</v>
      </c>
      <c r="AB24" s="1308">
        <v>1</v>
      </c>
      <c r="AC24" s="1308">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8"/>
      <c r="M25" s="1741"/>
      <c r="N25" s="1741"/>
      <c r="O25" s="1747"/>
      <c r="P25" s="3727"/>
      <c r="Q25" s="1305">
        <f>B25</f>
        <v>111</v>
      </c>
      <c r="R25" s="1306" t="s">
        <v>5</v>
      </c>
      <c r="S25" s="1307">
        <f>F25</f>
        <v>100</v>
      </c>
      <c r="T25" s="1306" t="s">
        <v>5</v>
      </c>
      <c r="U25" s="1307">
        <f>H25</f>
        <v>100</v>
      </c>
      <c r="V25" s="1306" t="s">
        <v>5</v>
      </c>
      <c r="W25" s="1307">
        <f>J25</f>
        <v>100</v>
      </c>
      <c r="X25" s="1301"/>
      <c r="Y25" s="3727"/>
      <c r="Z25" s="1308">
        <f>Q25</f>
        <v>111</v>
      </c>
      <c r="AA25" s="1308">
        <f t="shared" si="3"/>
        <v>1</v>
      </c>
      <c r="AB25" s="1308">
        <f t="shared" si="4"/>
        <v>1</v>
      </c>
      <c r="AC25" s="1308">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8"/>
      <c r="M26" s="1741"/>
      <c r="N26" s="1741"/>
      <c r="O26" s="1747"/>
      <c r="P26" s="3727"/>
      <c r="Q26" s="1305">
        <f t="shared" ref="Q26:Q40" si="8">B26</f>
        <v>111</v>
      </c>
      <c r="R26" s="1306" t="s">
        <v>5</v>
      </c>
      <c r="S26" s="1307">
        <f>F26</f>
        <v>100</v>
      </c>
      <c r="T26" s="1306" t="s">
        <v>5</v>
      </c>
      <c r="U26" s="1307">
        <f>H26</f>
        <v>100</v>
      </c>
      <c r="V26" s="1306" t="s">
        <v>5</v>
      </c>
      <c r="W26" s="1307">
        <f>J26</f>
        <v>100</v>
      </c>
      <c r="X26" s="1301"/>
      <c r="Y26" s="3727"/>
      <c r="Z26" s="1308">
        <f>Q26</f>
        <v>111</v>
      </c>
      <c r="AA26" s="1308">
        <f t="shared" si="3"/>
        <v>1</v>
      </c>
      <c r="AB26" s="1308">
        <f t="shared" si="4"/>
        <v>1</v>
      </c>
      <c r="AC26" s="1308">
        <f t="shared" si="5"/>
        <v>1</v>
      </c>
    </row>
    <row r="27" spans="1:29" s="1058"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2"/>
      <c r="M27" s="1639"/>
      <c r="N27" s="1639"/>
      <c r="O27" s="1743"/>
      <c r="P27" s="3727"/>
      <c r="Q27" s="816">
        <f t="shared" si="8"/>
        <v>111</v>
      </c>
      <c r="R27" s="1302" t="s">
        <v>5</v>
      </c>
      <c r="S27" s="1303">
        <f>F27</f>
        <v>100</v>
      </c>
      <c r="T27" s="1302" t="s">
        <v>5</v>
      </c>
      <c r="U27" s="1303">
        <f>H27</f>
        <v>100</v>
      </c>
      <c r="V27" s="1302" t="s">
        <v>5</v>
      </c>
      <c r="W27" s="1303">
        <f>J27</f>
        <v>100</v>
      </c>
      <c r="X27" s="1304"/>
      <c r="Y27" s="3727"/>
      <c r="Z27" s="995">
        <f>Q27</f>
        <v>111</v>
      </c>
      <c r="AA27" s="1308">
        <f>D27/F27</f>
        <v>1</v>
      </c>
      <c r="AB27" s="1308">
        <f>D27/H27</f>
        <v>1</v>
      </c>
      <c r="AC27" s="1308">
        <f>D27/J27</f>
        <v>1</v>
      </c>
    </row>
    <row r="28" spans="1:29" ht="15.75" thickBot="1">
      <c r="A28" s="493"/>
      <c r="B28" s="91">
        <v>111</v>
      </c>
      <c r="C28" s="495"/>
      <c r="D28" s="496">
        <v>100</v>
      </c>
      <c r="E28" s="489"/>
      <c r="F28" s="794">
        <f>SUMIF(86:86,E28,87:87)-SUMIF(86:86,C28,87:87)+100</f>
        <v>100</v>
      </c>
      <c r="G28" s="804"/>
      <c r="H28" s="496">
        <f>SUMIF(86:86,G28,87:87)-SUMIF(86:86,C28,87:87)+100</f>
        <v>100</v>
      </c>
      <c r="I28" s="804"/>
      <c r="J28" s="496">
        <f>SUMIF(86:86,I28,87:87)-SUMIF(86:86,C28,87:87)+100</f>
        <v>100</v>
      </c>
      <c r="K28" s="531"/>
      <c r="L28" s="1748"/>
      <c r="M28" s="1741"/>
      <c r="N28" s="1741"/>
      <c r="O28" s="1747"/>
      <c r="P28" s="3727"/>
      <c r="Q28" s="1305">
        <f t="shared" si="8"/>
        <v>111</v>
      </c>
      <c r="R28" s="1306" t="s">
        <v>5</v>
      </c>
      <c r="S28" s="1307">
        <f t="shared" ref="S28:S40" si="9">F28</f>
        <v>100</v>
      </c>
      <c r="T28" s="1306" t="s">
        <v>5</v>
      </c>
      <c r="U28" s="1307">
        <f t="shared" ref="U28:U40" si="10">H28</f>
        <v>100</v>
      </c>
      <c r="V28" s="1306" t="s">
        <v>5</v>
      </c>
      <c r="W28" s="1307">
        <f t="shared" ref="W28:W40" si="11">J28</f>
        <v>100</v>
      </c>
      <c r="X28" s="1301"/>
      <c r="Y28" s="3727"/>
      <c r="Z28" s="1308">
        <f t="shared" ref="Z28:Z40" si="12">Q28</f>
        <v>111</v>
      </c>
      <c r="AA28" s="1308">
        <f t="shared" si="3"/>
        <v>1</v>
      </c>
      <c r="AB28" s="1308">
        <f t="shared" si="4"/>
        <v>1</v>
      </c>
      <c r="AC28" s="1308">
        <f t="shared" si="5"/>
        <v>1</v>
      </c>
    </row>
    <row r="29" spans="1:29" ht="15">
      <c r="A29" s="2203" t="s">
        <v>2034</v>
      </c>
      <c r="B29" s="156" t="s">
        <v>720</v>
      </c>
      <c r="C29" s="802"/>
      <c r="D29" s="546">
        <v>100</v>
      </c>
      <c r="E29" s="802"/>
      <c r="F29" s="525">
        <f>SUMIF(88:88,E29,89:89)-SUMIF(88:88,C29,89:89)+100</f>
        <v>100</v>
      </c>
      <c r="G29" s="802"/>
      <c r="H29" s="490">
        <f>SUMIF(88:88,G29,89:89)-SUMIF(88:88,C29,89:89)+100</f>
        <v>100</v>
      </c>
      <c r="I29" s="802"/>
      <c r="J29" s="546">
        <f>SUMIF(88:88,I29,89:89)-SUMIF(88:88,C29,89:89)+100</f>
        <v>100</v>
      </c>
      <c r="K29" s="533"/>
      <c r="L29" s="1748"/>
      <c r="M29" s="1741"/>
      <c r="N29" s="1741"/>
      <c r="O29" s="1747"/>
      <c r="P29" s="3728" t="s">
        <v>499</v>
      </c>
      <c r="Q29" s="1305" t="str">
        <f t="shared" si="8"/>
        <v>建筑类型</v>
      </c>
      <c r="R29" s="1306" t="s">
        <v>5</v>
      </c>
      <c r="S29" s="1307">
        <f t="shared" si="9"/>
        <v>100</v>
      </c>
      <c r="T29" s="1306" t="s">
        <v>5</v>
      </c>
      <c r="U29" s="1307">
        <f t="shared" si="10"/>
        <v>100</v>
      </c>
      <c r="V29" s="1306" t="s">
        <v>5</v>
      </c>
      <c r="W29" s="1307">
        <f t="shared" si="11"/>
        <v>100</v>
      </c>
      <c r="X29" s="1301"/>
      <c r="Y29" s="3729" t="s">
        <v>499</v>
      </c>
      <c r="Z29" s="1308" t="str">
        <f t="shared" si="12"/>
        <v>建筑类型</v>
      </c>
      <c r="AA29" s="1308">
        <f t="shared" si="3"/>
        <v>1</v>
      </c>
      <c r="AB29" s="1308">
        <f t="shared" si="4"/>
        <v>1</v>
      </c>
      <c r="AC29" s="1308">
        <f t="shared" si="5"/>
        <v>1</v>
      </c>
    </row>
    <row r="30" spans="1:29" s="1132" customFormat="1" ht="15">
      <c r="A30" s="552"/>
      <c r="B30" s="477" t="s">
        <v>673</v>
      </c>
      <c r="C30" s="804"/>
      <c r="D30" s="235">
        <v>100</v>
      </c>
      <c r="E30" s="484"/>
      <c r="F30" s="477" t="e">
        <f>LOOKUP(E30,91:91,92:92)-LOOKUP(C30,91:91,92:92)+100</f>
        <v>#N/A</v>
      </c>
      <c r="G30" s="483"/>
      <c r="H30" s="235" t="e">
        <f>LOOKUP(G30,91:91,92:92)-LOOKUP(C30,91:91,92:92)+100</f>
        <v>#N/A</v>
      </c>
      <c r="I30" s="483"/>
      <c r="J30" s="235" t="e">
        <f>LOOKUP(I30,91:91,92:92)-LOOKUP(C30,91:91,92:92)+100</f>
        <v>#N/A</v>
      </c>
      <c r="K30" s="531"/>
      <c r="L30" s="1746"/>
      <c r="M30" s="1770"/>
      <c r="N30" s="1770"/>
      <c r="O30" s="1749"/>
      <c r="P30" s="3729"/>
      <c r="Q30" s="817" t="str">
        <f t="shared" si="8"/>
        <v>项目建筑规模</v>
      </c>
      <c r="R30" s="1309" t="s">
        <v>5</v>
      </c>
      <c r="S30" s="1310" t="e">
        <f t="shared" si="9"/>
        <v>#N/A</v>
      </c>
      <c r="T30" s="1309" t="s">
        <v>5</v>
      </c>
      <c r="U30" s="1310" t="e">
        <f t="shared" si="10"/>
        <v>#N/A</v>
      </c>
      <c r="V30" s="1309" t="s">
        <v>5</v>
      </c>
      <c r="W30" s="1310" t="e">
        <f t="shared" si="11"/>
        <v>#N/A</v>
      </c>
      <c r="X30" s="1311"/>
      <c r="Y30" s="3729"/>
      <c r="Z30" s="1312" t="str">
        <f t="shared" si="12"/>
        <v>项目建筑规模</v>
      </c>
      <c r="AA30" s="1308" t="e">
        <f t="shared" si="3"/>
        <v>#N/A</v>
      </c>
      <c r="AB30" s="1308" t="e">
        <f t="shared" si="4"/>
        <v>#N/A</v>
      </c>
      <c r="AC30" s="1308"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8"/>
      <c r="M31" s="1741"/>
      <c r="N31" s="1741"/>
      <c r="O31" s="1747"/>
      <c r="P31" s="3729"/>
      <c r="Q31" s="1305" t="str">
        <f t="shared" si="8"/>
        <v>建筑结构</v>
      </c>
      <c r="R31" s="1306" t="s">
        <v>5</v>
      </c>
      <c r="S31" s="1307">
        <f t="shared" si="9"/>
        <v>100</v>
      </c>
      <c r="T31" s="1306" t="s">
        <v>5</v>
      </c>
      <c r="U31" s="1307">
        <f t="shared" si="10"/>
        <v>100</v>
      </c>
      <c r="V31" s="1306" t="s">
        <v>5</v>
      </c>
      <c r="W31" s="1307">
        <f t="shared" si="11"/>
        <v>100</v>
      </c>
      <c r="X31" s="1301"/>
      <c r="Y31" s="3729"/>
      <c r="Z31" s="1308" t="str">
        <f t="shared" si="12"/>
        <v>建筑结构</v>
      </c>
      <c r="AA31" s="1308">
        <f t="shared" si="3"/>
        <v>1</v>
      </c>
      <c r="AB31" s="1308">
        <f t="shared" si="4"/>
        <v>1</v>
      </c>
      <c r="AC31" s="1308">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8"/>
      <c r="M32" s="1741"/>
      <c r="N32" s="1741"/>
      <c r="O32" s="1747"/>
      <c r="P32" s="3729"/>
      <c r="Q32" s="1305" t="str">
        <f t="shared" si="8"/>
        <v>公共部分装修</v>
      </c>
      <c r="R32" s="1306" t="s">
        <v>5</v>
      </c>
      <c r="S32" s="1307">
        <f t="shared" si="9"/>
        <v>100</v>
      </c>
      <c r="T32" s="1306" t="s">
        <v>5</v>
      </c>
      <c r="U32" s="1307">
        <f t="shared" si="10"/>
        <v>100</v>
      </c>
      <c r="V32" s="1306" t="s">
        <v>5</v>
      </c>
      <c r="W32" s="1307">
        <f t="shared" si="11"/>
        <v>100</v>
      </c>
      <c r="X32" s="1301"/>
      <c r="Y32" s="3729"/>
      <c r="Z32" s="1308" t="str">
        <f t="shared" si="12"/>
        <v>公共部分装修</v>
      </c>
      <c r="AA32" s="1308">
        <f t="shared" si="3"/>
        <v>1</v>
      </c>
      <c r="AB32" s="1308">
        <f t="shared" si="4"/>
        <v>1</v>
      </c>
      <c r="AC32" s="1308">
        <f t="shared" si="5"/>
        <v>1</v>
      </c>
    </row>
    <row r="33" spans="1:29" ht="15">
      <c r="A33" s="543"/>
      <c r="B33" s="477" t="s">
        <v>704</v>
      </c>
      <c r="C33" s="804"/>
      <c r="D33" s="490">
        <v>100</v>
      </c>
      <c r="E33" s="806"/>
      <c r="F33" s="525" t="e">
        <f>LOOKUP(E33,98:98,99:99)-LOOKUP(C33,98:98,99:99)+100</f>
        <v>#N/A</v>
      </c>
      <c r="G33" s="806"/>
      <c r="H33" s="525" t="e">
        <f>LOOKUP(G33,98:98,99:99)-LOOKUP(C33,98:98,99:99)+100</f>
        <v>#N/A</v>
      </c>
      <c r="I33" s="806"/>
      <c r="J33" s="490" t="e">
        <f>LOOKUP(I33,98:98,99:99)-LOOKUP(C33,98:98,99:99)+100</f>
        <v>#N/A</v>
      </c>
      <c r="K33" s="533"/>
      <c r="L33" s="1748"/>
      <c r="M33" s="1741"/>
      <c r="N33" s="1741"/>
      <c r="O33" s="1747"/>
      <c r="P33" s="3729"/>
      <c r="Q33" s="1305" t="str">
        <f t="shared" si="8"/>
        <v>成新度</v>
      </c>
      <c r="R33" s="1306" t="s">
        <v>5</v>
      </c>
      <c r="S33" s="1307" t="e">
        <f t="shared" si="9"/>
        <v>#N/A</v>
      </c>
      <c r="T33" s="1306" t="s">
        <v>5</v>
      </c>
      <c r="U33" s="1307" t="e">
        <f t="shared" si="10"/>
        <v>#N/A</v>
      </c>
      <c r="V33" s="1306" t="s">
        <v>5</v>
      </c>
      <c r="W33" s="1307" t="e">
        <f t="shared" si="11"/>
        <v>#N/A</v>
      </c>
      <c r="X33" s="1301"/>
      <c r="Y33" s="3729"/>
      <c r="Z33" s="1308" t="str">
        <f t="shared" si="12"/>
        <v>成新度</v>
      </c>
      <c r="AA33" s="1308" t="e">
        <f t="shared" si="3"/>
        <v>#N/A</v>
      </c>
      <c r="AB33" s="1308" t="e">
        <f t="shared" si="4"/>
        <v>#N/A</v>
      </c>
      <c r="AC33" s="1308" t="e">
        <f t="shared" si="5"/>
        <v>#N/A</v>
      </c>
    </row>
    <row r="34" spans="1:29" s="1058"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2"/>
      <c r="M34" s="1639"/>
      <c r="N34" s="1639"/>
      <c r="O34" s="1743"/>
      <c r="P34" s="3729"/>
      <c r="Q34" s="816" t="str">
        <f t="shared" si="8"/>
        <v>物业管理</v>
      </c>
      <c r="R34" s="1302" t="s">
        <v>5</v>
      </c>
      <c r="S34" s="1303">
        <f t="shared" si="9"/>
        <v>100</v>
      </c>
      <c r="T34" s="1302" t="s">
        <v>5</v>
      </c>
      <c r="U34" s="1303">
        <f t="shared" si="10"/>
        <v>100</v>
      </c>
      <c r="V34" s="1302" t="s">
        <v>5</v>
      </c>
      <c r="W34" s="1303">
        <f t="shared" si="11"/>
        <v>100</v>
      </c>
      <c r="X34" s="1304"/>
      <c r="Y34" s="3729"/>
      <c r="Z34" s="995" t="str">
        <f t="shared" si="12"/>
        <v>物业管理</v>
      </c>
      <c r="AA34" s="995">
        <f t="shared" si="3"/>
        <v>1</v>
      </c>
      <c r="AB34" s="995">
        <f t="shared" si="4"/>
        <v>1</v>
      </c>
      <c r="AC34" s="995">
        <f t="shared" si="5"/>
        <v>1</v>
      </c>
    </row>
    <row r="35" spans="1:29" ht="15">
      <c r="A35" s="543"/>
      <c r="B35" s="1553" t="s">
        <v>1845</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8"/>
      <c r="M35" s="1741"/>
      <c r="N35" s="1741"/>
      <c r="O35" s="1747"/>
      <c r="P35" s="3729" t="s">
        <v>499</v>
      </c>
      <c r="Q35" s="1305" t="str">
        <f t="shared" si="8"/>
        <v>市政基础设施</v>
      </c>
      <c r="R35" s="1306" t="s">
        <v>5</v>
      </c>
      <c r="S35" s="1307">
        <f t="shared" si="9"/>
        <v>100</v>
      </c>
      <c r="T35" s="1306" t="s">
        <v>5</v>
      </c>
      <c r="U35" s="1307">
        <f t="shared" si="10"/>
        <v>100</v>
      </c>
      <c r="V35" s="1306" t="s">
        <v>5</v>
      </c>
      <c r="W35" s="1307">
        <f t="shared" si="11"/>
        <v>100</v>
      </c>
      <c r="X35" s="1301"/>
      <c r="Y35" s="3729" t="s">
        <v>499</v>
      </c>
      <c r="Z35" s="1308" t="str">
        <f t="shared" si="12"/>
        <v>市政基础设施</v>
      </c>
      <c r="AA35" s="1308">
        <f t="shared" si="3"/>
        <v>1</v>
      </c>
      <c r="AB35" s="1308">
        <f t="shared" si="4"/>
        <v>1</v>
      </c>
      <c r="AC35" s="1308">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8"/>
      <c r="M36" s="1741"/>
      <c r="N36" s="1741"/>
      <c r="O36" s="1747"/>
      <c r="P36" s="3729"/>
      <c r="Q36" s="1305" t="str">
        <f t="shared" si="8"/>
        <v>内部装修</v>
      </c>
      <c r="R36" s="1306" t="s">
        <v>5</v>
      </c>
      <c r="S36" s="1307">
        <f t="shared" si="9"/>
        <v>100</v>
      </c>
      <c r="T36" s="1306" t="s">
        <v>5</v>
      </c>
      <c r="U36" s="1307">
        <f t="shared" si="10"/>
        <v>100</v>
      </c>
      <c r="V36" s="1306" t="s">
        <v>5</v>
      </c>
      <c r="W36" s="1307">
        <f t="shared" si="11"/>
        <v>100</v>
      </c>
      <c r="X36" s="1301"/>
      <c r="Y36" s="3729"/>
      <c r="Z36" s="1308" t="str">
        <f t="shared" si="12"/>
        <v>内部装修</v>
      </c>
      <c r="AA36" s="1308">
        <f t="shared" si="3"/>
        <v>1</v>
      </c>
      <c r="AB36" s="1308">
        <f t="shared" si="4"/>
        <v>1</v>
      </c>
      <c r="AC36" s="1308">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8"/>
      <c r="M37" s="1741"/>
      <c r="N37" s="1741"/>
      <c r="O37" s="1747"/>
      <c r="P37" s="3729"/>
      <c r="Q37" s="1305" t="str">
        <f t="shared" si="8"/>
        <v>内部装修状况</v>
      </c>
      <c r="R37" s="1306" t="s">
        <v>5</v>
      </c>
      <c r="S37" s="1307">
        <f t="shared" si="9"/>
        <v>100</v>
      </c>
      <c r="T37" s="1306" t="s">
        <v>5</v>
      </c>
      <c r="U37" s="1307">
        <f t="shared" si="10"/>
        <v>100</v>
      </c>
      <c r="V37" s="1306" t="s">
        <v>5</v>
      </c>
      <c r="W37" s="1307">
        <f t="shared" si="11"/>
        <v>100</v>
      </c>
      <c r="X37" s="1301"/>
      <c r="Y37" s="3729"/>
      <c r="Z37" s="1308" t="str">
        <f t="shared" si="12"/>
        <v>内部装修状况</v>
      </c>
      <c r="AA37" s="1308">
        <f t="shared" si="3"/>
        <v>1</v>
      </c>
      <c r="AB37" s="1308">
        <f t="shared" si="4"/>
        <v>1</v>
      </c>
      <c r="AC37" s="1308">
        <f t="shared" si="5"/>
        <v>1</v>
      </c>
    </row>
    <row r="38" spans="1:29" s="1132" customFormat="1" ht="15">
      <c r="A38" s="552"/>
      <c r="B38" s="91">
        <v>111</v>
      </c>
      <c r="C38" s="804"/>
      <c r="D38" s="490">
        <v>100</v>
      </c>
      <c r="E38" s="489"/>
      <c r="F38" s="525">
        <f>SUMIF(108:108,E38,109:109)-SUMIF(108:108,C38,109:109)+100</f>
        <v>100</v>
      </c>
      <c r="G38" s="804"/>
      <c r="H38" s="490">
        <f>SUMIF(108:108,G38,109:109)-SUMIF(108:108,C38,109:109)+100</f>
        <v>100</v>
      </c>
      <c r="I38" s="804"/>
      <c r="J38" s="490">
        <f>SUMIF(108:108,I38,109:1038)-SUMIF(108:108,C38,109:109)+100</f>
        <v>100</v>
      </c>
      <c r="K38" s="531"/>
      <c r="L38" s="1746"/>
      <c r="M38" s="1770"/>
      <c r="N38" s="1770"/>
      <c r="O38" s="1749"/>
      <c r="P38" s="3729"/>
      <c r="Q38" s="817">
        <f t="shared" si="8"/>
        <v>111</v>
      </c>
      <c r="R38" s="1309" t="s">
        <v>5</v>
      </c>
      <c r="S38" s="1310">
        <f t="shared" si="9"/>
        <v>100</v>
      </c>
      <c r="T38" s="1309" t="s">
        <v>5</v>
      </c>
      <c r="U38" s="1310">
        <f t="shared" si="10"/>
        <v>100</v>
      </c>
      <c r="V38" s="1309" t="s">
        <v>5</v>
      </c>
      <c r="W38" s="1310">
        <f t="shared" si="11"/>
        <v>100</v>
      </c>
      <c r="X38" s="1311"/>
      <c r="Y38" s="3729"/>
      <c r="Z38" s="1312">
        <f t="shared" si="12"/>
        <v>111</v>
      </c>
      <c r="AA38" s="1308">
        <f t="shared" si="3"/>
        <v>1</v>
      </c>
      <c r="AB38" s="1308">
        <f t="shared" si="4"/>
        <v>1</v>
      </c>
      <c r="AC38" s="1308">
        <f t="shared" si="5"/>
        <v>1</v>
      </c>
    </row>
    <row r="39" spans="1:29" ht="15">
      <c r="A39" s="543"/>
      <c r="B39" s="91">
        <v>111</v>
      </c>
      <c r="C39" s="804"/>
      <c r="D39" s="490">
        <v>100</v>
      </c>
      <c r="E39" s="489"/>
      <c r="F39" s="525">
        <f>SUMIF(110:110,E39,111:111)-SUMIF(110:110,C39,111:111)+100</f>
        <v>100</v>
      </c>
      <c r="G39" s="804"/>
      <c r="H39" s="490">
        <f>SUMIF(110:110,G39,111:111)-SUMIF(110:110,C39,111:111)+100</f>
        <v>100</v>
      </c>
      <c r="I39" s="804"/>
      <c r="J39" s="490">
        <f>SUMIF(110:110,I39,111:111)-SUMIF(110:110,C39,111:111)+100</f>
        <v>100</v>
      </c>
      <c r="K39" s="531"/>
      <c r="L39" s="1748"/>
      <c r="M39" s="1741"/>
      <c r="N39" s="1741"/>
      <c r="O39" s="1747"/>
      <c r="P39" s="3729"/>
      <c r="Q39" s="1305">
        <f t="shared" si="8"/>
        <v>111</v>
      </c>
      <c r="R39" s="1306" t="s">
        <v>5</v>
      </c>
      <c r="S39" s="1307">
        <f t="shared" si="9"/>
        <v>100</v>
      </c>
      <c r="T39" s="1306" t="s">
        <v>5</v>
      </c>
      <c r="U39" s="1307">
        <f t="shared" si="10"/>
        <v>100</v>
      </c>
      <c r="V39" s="1306" t="s">
        <v>5</v>
      </c>
      <c r="W39" s="1307">
        <f t="shared" si="11"/>
        <v>100</v>
      </c>
      <c r="X39" s="1301"/>
      <c r="Y39" s="3729"/>
      <c r="Z39" s="1308">
        <f t="shared" si="12"/>
        <v>111</v>
      </c>
      <c r="AA39" s="1308">
        <f t="shared" si="3"/>
        <v>1</v>
      </c>
      <c r="AB39" s="1308">
        <f t="shared" si="4"/>
        <v>1</v>
      </c>
      <c r="AC39" s="1308">
        <f t="shared" si="5"/>
        <v>1</v>
      </c>
    </row>
    <row r="40" spans="1:29" ht="15.75" thickBot="1">
      <c r="A40" s="809"/>
      <c r="B40" s="494">
        <v>111</v>
      </c>
      <c r="C40" s="495"/>
      <c r="D40" s="496">
        <v>100</v>
      </c>
      <c r="E40" s="489"/>
      <c r="F40" s="794">
        <f>SUMIF(112:112,E40,113:113)-SUMIF(112:112,C40,113:113)+100</f>
        <v>100</v>
      </c>
      <c r="G40" s="804"/>
      <c r="H40" s="496">
        <f>SUMIF(112:112,G40,113:113)-SUMIF(112:112,C40,113:113)+100</f>
        <v>100</v>
      </c>
      <c r="I40" s="804"/>
      <c r="J40" s="496">
        <f>SUMIF(112:112,I40,113:113)-SUMIF(112:112,C40,113:113)+100</f>
        <v>100</v>
      </c>
      <c r="K40" s="531"/>
      <c r="L40" s="1748"/>
      <c r="M40" s="1741"/>
      <c r="N40" s="1741"/>
      <c r="O40" s="1747"/>
      <c r="P40" s="3836"/>
      <c r="Q40" s="1305">
        <f t="shared" si="8"/>
        <v>111</v>
      </c>
      <c r="R40" s="1306" t="s">
        <v>5</v>
      </c>
      <c r="S40" s="1307">
        <f t="shared" si="9"/>
        <v>100</v>
      </c>
      <c r="T40" s="1306" t="s">
        <v>5</v>
      </c>
      <c r="U40" s="1307">
        <f t="shared" si="10"/>
        <v>100</v>
      </c>
      <c r="V40" s="1306" t="s">
        <v>5</v>
      </c>
      <c r="W40" s="1307">
        <f t="shared" si="11"/>
        <v>100</v>
      </c>
      <c r="X40" s="1301"/>
      <c r="Y40" s="3836"/>
      <c r="Z40" s="1308">
        <f t="shared" si="12"/>
        <v>111</v>
      </c>
      <c r="AA40" s="1308">
        <f t="shared" si="3"/>
        <v>1</v>
      </c>
      <c r="AB40" s="1308">
        <f t="shared" si="4"/>
        <v>1</v>
      </c>
      <c r="AC40" s="1308">
        <f t="shared" si="5"/>
        <v>1</v>
      </c>
    </row>
    <row r="41" spans="1:29" ht="15">
      <c r="A41" s="556" t="s">
        <v>683</v>
      </c>
      <c r="B41" s="810"/>
      <c r="C41" s="2080" t="s">
        <v>0</v>
      </c>
      <c r="D41" s="559"/>
      <c r="E41" s="560"/>
      <c r="F41" s="561"/>
      <c r="G41" s="562"/>
      <c r="H41" s="563"/>
      <c r="I41" s="560"/>
      <c r="J41" s="563"/>
      <c r="K41" s="1334"/>
      <c r="L41" s="1750"/>
      <c r="M41" s="1741"/>
      <c r="N41" s="1741"/>
      <c r="O41" s="1741"/>
      <c r="P41" s="3724" t="str">
        <f>A41</f>
        <v>成交单价（元/平方米）</v>
      </c>
      <c r="Q41" s="3724"/>
      <c r="R41" s="3740">
        <f>E41</f>
        <v>0</v>
      </c>
      <c r="S41" s="3740"/>
      <c r="T41" s="3740">
        <f>G41</f>
        <v>0</v>
      </c>
      <c r="U41" s="3740"/>
      <c r="V41" s="3740">
        <f>I41</f>
        <v>0</v>
      </c>
      <c r="W41" s="3740"/>
      <c r="X41" s="797"/>
      <c r="Y41" s="1313"/>
      <c r="Z41" s="797"/>
      <c r="AA41" s="797"/>
      <c r="AB41" s="797"/>
      <c r="AC41" s="797"/>
    </row>
    <row r="42" spans="1:29" ht="15.75" thickBot="1">
      <c r="A42" s="564" t="s">
        <v>2039</v>
      </c>
      <c r="B42" s="811"/>
      <c r="C42" s="2081" t="e">
        <f>R43</f>
        <v>#DIV/0!</v>
      </c>
      <c r="D42" s="2549" t="s">
        <v>2255</v>
      </c>
      <c r="E42" s="2082" t="e">
        <f>R42</f>
        <v>#DIV/0!</v>
      </c>
      <c r="F42" s="2550"/>
      <c r="G42" s="2081" t="e">
        <f>T42</f>
        <v>#DIV/0!</v>
      </c>
      <c r="H42" s="2550"/>
      <c r="I42" s="2082" t="e">
        <f>V42</f>
        <v>#DIV/0!</v>
      </c>
      <c r="J42" s="2550"/>
      <c r="K42" s="2557">
        <f>F42+H42+J42</f>
        <v>0</v>
      </c>
      <c r="L42" s="1750"/>
      <c r="M42" s="1741"/>
      <c r="N42" s="1741"/>
      <c r="O42" s="1741"/>
      <c r="P42" s="3724" t="str">
        <f>A42</f>
        <v>比较价格（元/平方米）</v>
      </c>
      <c r="Q42" s="3724"/>
      <c r="R42" s="3740" t="e">
        <f>IF(F1="售价",ROUND(PRODUCT(R41,AA7:AA40),0),ROUND(PRODUCT(R41,AA7:AA40),1))</f>
        <v>#DIV/0!</v>
      </c>
      <c r="S42" s="3740"/>
      <c r="T42" s="3740" t="e">
        <f>IF(F1="售价",ROUND(PRODUCT(T41,AB7:AB40),0),ROUND(PRODUCT(T41,AB7:AB40),1))</f>
        <v>#DIV/0!</v>
      </c>
      <c r="U42" s="3740"/>
      <c r="V42" s="3740" t="e">
        <f>IF(F1="售价",ROUND(PRODUCT(V41,AC7:AC40),0),ROUND(PRODUCT(V41,AC7:AC40),1))</f>
        <v>#DIV/0!</v>
      </c>
      <c r="W42" s="3740"/>
      <c r="X42" s="797"/>
      <c r="Y42" s="797"/>
      <c r="Z42" s="797"/>
      <c r="AA42" s="797"/>
      <c r="AB42" s="797"/>
      <c r="AC42" s="797"/>
    </row>
    <row r="43" spans="1:29" ht="15.75" thickBot="1">
      <c r="A43" s="568" t="s">
        <v>2192</v>
      </c>
      <c r="B43" s="569"/>
      <c r="C43" s="469" t="e">
        <f>R43</f>
        <v>#DIV/0!</v>
      </c>
      <c r="D43" s="469"/>
      <c r="E43" s="469"/>
      <c r="F43" s="469"/>
      <c r="G43" s="469"/>
      <c r="H43" s="469"/>
      <c r="I43" s="469"/>
      <c r="J43" s="469"/>
      <c r="K43" s="1335"/>
      <c r="L43" s="1750"/>
      <c r="M43" s="1741"/>
      <c r="N43" s="1741"/>
      <c r="O43" s="1741"/>
      <c r="P43" s="3730" t="str">
        <f>A43</f>
        <v>估价对象XX用房的比较价格（楼面单价，元/平方米）</v>
      </c>
      <c r="Q43" s="3731"/>
      <c r="R43" s="3835" t="e">
        <f>IF(F1="售价",ROUND(IF(D42="简单平均",AVERAGE(R42:V42),R42*F42+T42*H42+V42*J42),0),ROUND(IF(D42="简单平均",AVERAGE(R42:V42),R42*F42+T42*H42+V42*J42),1))</f>
        <v>#DIV/0!</v>
      </c>
      <c r="S43" s="3835"/>
      <c r="T43" s="3835"/>
      <c r="U43" s="3835"/>
      <c r="V43" s="3835"/>
      <c r="W43" s="3835"/>
      <c r="X43" s="797"/>
      <c r="Y43" s="797"/>
      <c r="Z43" s="797"/>
      <c r="AA43" s="797"/>
      <c r="AB43" s="797"/>
      <c r="AC43" s="797"/>
    </row>
    <row r="44" spans="1:29">
      <c r="A44" s="2720"/>
      <c r="B44" s="2720"/>
      <c r="C44" s="2720"/>
      <c r="D44" s="2720"/>
      <c r="E44" s="2720"/>
      <c r="F44" s="2720"/>
      <c r="G44" s="2722"/>
      <c r="H44" s="2720"/>
      <c r="I44" s="2720"/>
      <c r="J44" s="2720"/>
      <c r="K44" s="2723"/>
      <c r="L44" s="1754"/>
      <c r="M44" s="1741"/>
      <c r="N44" s="1741"/>
      <c r="O44" s="1741"/>
      <c r="P44" s="1741"/>
      <c r="Q44" s="1741"/>
      <c r="R44" s="1741"/>
      <c r="S44" s="1741"/>
      <c r="T44" s="1741"/>
      <c r="U44" s="1741"/>
      <c r="V44" s="1741"/>
      <c r="W44" s="1741"/>
      <c r="X44" s="1741"/>
      <c r="Y44" s="1741"/>
      <c r="Z44" s="1741"/>
      <c r="AA44" s="1741"/>
      <c r="AB44" s="1741"/>
      <c r="AC44" s="1741"/>
    </row>
    <row r="45" spans="1:29">
      <c r="A45" s="2720"/>
      <c r="B45" s="2720"/>
      <c r="C45" s="2720"/>
      <c r="D45" s="2720"/>
      <c r="E45" s="2720"/>
      <c r="F45" s="2720"/>
      <c r="G45" s="2720"/>
      <c r="H45" s="2720"/>
      <c r="I45" s="2720"/>
      <c r="J45" s="2720"/>
      <c r="K45" s="2723"/>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20"/>
      <c r="B46" s="2720"/>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3"/>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20"/>
      <c r="B47" s="2720"/>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3"/>
      <c r="L47" s="1754"/>
      <c r="M47" s="1741"/>
      <c r="N47" s="1741"/>
      <c r="O47" s="1741"/>
      <c r="P47" s="1741"/>
      <c r="Q47" s="1741"/>
      <c r="R47" s="1741"/>
      <c r="S47" s="1741"/>
      <c r="T47" s="1741"/>
      <c r="U47" s="1741"/>
      <c r="V47" s="1741"/>
      <c r="W47" s="1741"/>
      <c r="X47" s="1741"/>
      <c r="Y47" s="1741"/>
      <c r="Z47" s="1741"/>
      <c r="AA47" s="1741"/>
      <c r="AB47" s="1741"/>
      <c r="AC47" s="1741"/>
    </row>
    <row r="48" spans="1:29" s="1137" customFormat="1" ht="13.5" customHeight="1">
      <c r="A48" s="2721"/>
      <c r="B48" s="2721"/>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4"/>
      <c r="L48" s="1757"/>
      <c r="M48" s="1751"/>
      <c r="N48" s="1751"/>
      <c r="O48" s="1751"/>
      <c r="P48" s="1751"/>
      <c r="Q48" s="1751"/>
      <c r="R48" s="1751"/>
      <c r="S48" s="1751"/>
      <c r="T48" s="1751"/>
      <c r="U48" s="1751"/>
      <c r="V48" s="1751"/>
      <c r="W48" s="1751"/>
      <c r="X48" s="1751"/>
      <c r="Y48" s="1751"/>
      <c r="Z48" s="1751"/>
      <c r="AA48" s="1751"/>
      <c r="AB48" s="1751"/>
      <c r="AC48" s="1751"/>
    </row>
    <row r="49" spans="1:29" s="1137"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1.75" thickBot="1">
      <c r="A51" s="1316" t="s">
        <v>522</v>
      </c>
      <c r="B51" s="797"/>
      <c r="C51" s="1315"/>
      <c r="D51" s="1315"/>
      <c r="E51" s="1315"/>
      <c r="F51" s="1317"/>
      <c r="G51" s="1317"/>
      <c r="H51" s="1315"/>
      <c r="I51" s="1315"/>
      <c r="J51" s="1315"/>
      <c r="K51" s="1318"/>
      <c r="L51" s="1314"/>
      <c r="M51" s="1315"/>
      <c r="N51" s="1761"/>
      <c r="O51" s="1761"/>
      <c r="P51" s="1761"/>
      <c r="Q51" s="1762"/>
      <c r="R51" s="1741"/>
      <c r="S51" s="1741"/>
      <c r="T51" s="1741"/>
      <c r="U51" s="1741"/>
      <c r="V51" s="1741"/>
      <c r="W51" s="1741"/>
      <c r="X51" s="1741"/>
      <c r="Y51" s="1741"/>
      <c r="Z51" s="1741"/>
      <c r="AA51" s="1741"/>
      <c r="AB51" s="1741"/>
      <c r="AC51" s="1741"/>
    </row>
    <row r="52" spans="1:29" s="1139" customFormat="1" ht="15">
      <c r="A52" s="592" t="s">
        <v>478</v>
      </c>
      <c r="B52" s="593"/>
      <c r="C52" s="2112" t="str">
        <f>YEAR(C7)&amp;"-"&amp;MONTH(C7)</f>
        <v>2023-9</v>
      </c>
      <c r="D52" s="2114">
        <f>EDATE(C52,-1)</f>
        <v>45139</v>
      </c>
      <c r="E52" s="2114">
        <f t="shared" ref="E52:O52" si="13">EDATE(D52,-1)</f>
        <v>45108</v>
      </c>
      <c r="F52" s="2114">
        <f t="shared" si="13"/>
        <v>45078</v>
      </c>
      <c r="G52" s="2114">
        <f t="shared" si="13"/>
        <v>45047</v>
      </c>
      <c r="H52" s="2114">
        <f t="shared" si="13"/>
        <v>45017</v>
      </c>
      <c r="I52" s="2114">
        <f t="shared" si="13"/>
        <v>44986</v>
      </c>
      <c r="J52" s="2114">
        <f t="shared" si="13"/>
        <v>44958</v>
      </c>
      <c r="K52" s="2114">
        <f t="shared" si="13"/>
        <v>44927</v>
      </c>
      <c r="L52" s="2114">
        <f t="shared" si="13"/>
        <v>44896</v>
      </c>
      <c r="M52" s="2114">
        <f t="shared" si="13"/>
        <v>44866</v>
      </c>
      <c r="N52" s="2114">
        <f t="shared" si="13"/>
        <v>44835</v>
      </c>
      <c r="O52" s="2114">
        <f t="shared" si="13"/>
        <v>44805</v>
      </c>
      <c r="P52" s="1764"/>
      <c r="Q52" s="1764"/>
      <c r="R52" s="1764"/>
      <c r="S52" s="1764"/>
      <c r="T52" s="1764"/>
      <c r="U52" s="1764"/>
      <c r="V52" s="1764"/>
      <c r="W52" s="1764"/>
      <c r="X52" s="1764"/>
      <c r="Y52" s="1764"/>
      <c r="Z52" s="1764"/>
      <c r="AA52" s="1764"/>
      <c r="AB52" s="1764"/>
      <c r="AC52" s="1764"/>
    </row>
    <row r="53" spans="1:29" s="1058" customFormat="1" ht="15">
      <c r="A53" s="527"/>
      <c r="B53" s="594"/>
      <c r="C53" s="595">
        <v>100</v>
      </c>
      <c r="D53" s="596"/>
      <c r="E53" s="596"/>
      <c r="F53" s="596"/>
      <c r="G53" s="596"/>
      <c r="H53" s="596"/>
      <c r="I53" s="596"/>
      <c r="J53" s="596"/>
      <c r="K53" s="596"/>
      <c r="L53" s="596"/>
      <c r="M53" s="487"/>
      <c r="N53" s="596"/>
      <c r="O53" s="597"/>
      <c r="P53" s="1762"/>
      <c r="Q53" s="1639"/>
      <c r="R53" s="1639"/>
      <c r="S53" s="1639"/>
      <c r="T53" s="1639"/>
      <c r="U53" s="1639"/>
      <c r="V53" s="1639"/>
      <c r="W53" s="1639"/>
      <c r="X53" s="1639"/>
      <c r="Y53" s="1639"/>
      <c r="Z53" s="1639"/>
      <c r="AA53" s="1639"/>
      <c r="AB53" s="1639"/>
      <c r="AC53" s="1639"/>
    </row>
    <row r="54" spans="1:29" s="1058" customFormat="1" ht="15.75" thickBot="1">
      <c r="A54" s="262" t="s">
        <v>523</v>
      </c>
      <c r="B54" s="598"/>
      <c r="C54" s="599"/>
      <c r="D54" s="600"/>
      <c r="E54" s="600"/>
      <c r="F54" s="600"/>
      <c r="G54" s="600"/>
      <c r="H54" s="600"/>
      <c r="I54" s="600"/>
      <c r="J54" s="600"/>
      <c r="K54" s="600"/>
      <c r="L54" s="600"/>
      <c r="M54" s="601"/>
      <c r="N54" s="600"/>
      <c r="O54" s="602"/>
      <c r="P54" s="1762"/>
      <c r="Q54" s="1762"/>
      <c r="R54" s="1639"/>
      <c r="S54" s="1639"/>
      <c r="T54" s="1639"/>
      <c r="U54" s="1639"/>
      <c r="V54" s="1639"/>
      <c r="W54" s="1639"/>
      <c r="X54" s="1639"/>
      <c r="Y54" s="1639"/>
      <c r="Z54" s="1639"/>
      <c r="AA54" s="1639"/>
      <c r="AB54" s="1639"/>
      <c r="AC54" s="1639"/>
    </row>
    <row r="55" spans="1:29" s="1058" customFormat="1" ht="15">
      <c r="A55" s="603" t="s">
        <v>480</v>
      </c>
      <c r="B55" s="594"/>
      <c r="C55" s="604" t="s">
        <v>524</v>
      </c>
      <c r="D55" s="80"/>
      <c r="E55" s="80"/>
      <c r="F55" s="80"/>
      <c r="G55" s="80"/>
      <c r="H55" s="80"/>
      <c r="I55" s="80"/>
      <c r="J55" s="80"/>
      <c r="K55" s="80"/>
      <c r="L55" s="605"/>
      <c r="M55" s="606"/>
      <c r="N55" s="1765"/>
      <c r="O55" s="1765"/>
      <c r="P55" s="1646"/>
      <c r="Q55" s="1762"/>
      <c r="R55" s="1639"/>
      <c r="S55" s="1639"/>
      <c r="T55" s="1639"/>
      <c r="U55" s="1639"/>
      <c r="V55" s="1639"/>
      <c r="W55" s="1639"/>
      <c r="X55" s="1639"/>
      <c r="Y55" s="1639"/>
      <c r="Z55" s="1639"/>
      <c r="AA55" s="1639"/>
      <c r="AB55" s="1639"/>
      <c r="AC55" s="1639"/>
    </row>
    <row r="56" spans="1:29" s="1058" customFormat="1" ht="15.75" thickBot="1">
      <c r="A56" s="603"/>
      <c r="B56" s="594"/>
      <c r="C56" s="595">
        <v>100</v>
      </c>
      <c r="D56" s="596"/>
      <c r="E56" s="596"/>
      <c r="F56" s="596"/>
      <c r="G56" s="596"/>
      <c r="H56" s="596"/>
      <c r="I56" s="596"/>
      <c r="J56" s="596"/>
      <c r="K56" s="596"/>
      <c r="L56" s="596"/>
      <c r="M56" s="597"/>
      <c r="N56" s="1765"/>
      <c r="O56" s="1765"/>
      <c r="P56" s="1762"/>
      <c r="Q56" s="1762"/>
      <c r="R56" s="1639"/>
      <c r="S56" s="1639"/>
      <c r="T56" s="1639"/>
      <c r="U56" s="1639"/>
      <c r="V56" s="1639"/>
      <c r="W56" s="1639"/>
      <c r="X56" s="1639"/>
      <c r="Y56" s="1639"/>
      <c r="Z56" s="1639"/>
      <c r="AA56" s="1639"/>
      <c r="AB56" s="1639"/>
      <c r="AC56" s="1639"/>
    </row>
    <row r="57" spans="1:29">
      <c r="A57" s="607" t="s">
        <v>525</v>
      </c>
      <c r="B57" s="608" t="s">
        <v>483</v>
      </c>
      <c r="C57" s="645">
        <f>C9</f>
        <v>0</v>
      </c>
      <c r="D57" s="547"/>
      <c r="E57" s="547"/>
      <c r="F57" s="547"/>
      <c r="G57" s="547"/>
      <c r="H57" s="547"/>
      <c r="I57" s="547"/>
      <c r="J57" s="547"/>
      <c r="K57" s="609"/>
      <c r="L57" s="610"/>
      <c r="M57" s="611"/>
      <c r="N57" s="1766"/>
      <c r="O57" s="1766"/>
      <c r="P57" s="1765"/>
      <c r="Q57" s="1762"/>
      <c r="R57" s="1741"/>
      <c r="S57" s="1741"/>
      <c r="T57" s="1741"/>
      <c r="U57" s="1741"/>
      <c r="V57" s="1741"/>
      <c r="W57" s="1741"/>
      <c r="X57" s="1741"/>
      <c r="Y57" s="1741"/>
      <c r="Z57" s="1741"/>
      <c r="AA57" s="1741"/>
      <c r="AB57" s="1741"/>
      <c r="AC57" s="1741"/>
    </row>
    <row r="58" spans="1:29" ht="15.75" thickBot="1">
      <c r="A58" s="482"/>
      <c r="B58" s="612"/>
      <c r="C58" s="613"/>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ht="27.75" thickTop="1">
      <c r="A59" s="482"/>
      <c r="B59" s="615" t="s">
        <v>486</v>
      </c>
      <c r="C59" s="658"/>
      <c r="D59" s="658"/>
      <c r="E59" s="658"/>
      <c r="F59" s="658"/>
      <c r="G59" s="658"/>
      <c r="H59" s="658"/>
      <c r="I59" s="658"/>
      <c r="J59" s="658"/>
      <c r="K59" s="659"/>
      <c r="L59" s="660"/>
      <c r="M59" s="661"/>
      <c r="N59" s="1766"/>
      <c r="O59" s="1766"/>
      <c r="P59" s="1765"/>
      <c r="Q59" s="1762"/>
      <c r="R59" s="1741"/>
      <c r="S59" s="1741"/>
      <c r="T59" s="1741"/>
      <c r="U59" s="1741"/>
      <c r="V59" s="1741"/>
      <c r="W59" s="1741"/>
      <c r="X59" s="1741"/>
      <c r="Y59" s="1741"/>
      <c r="Z59" s="1741"/>
      <c r="AA59" s="1741"/>
      <c r="AB59" s="1741"/>
      <c r="AC59" s="1741"/>
    </row>
    <row r="60" spans="1:29" ht="15.75" thickBot="1">
      <c r="A60" s="482"/>
      <c r="B60" s="620"/>
      <c r="C60" s="613"/>
      <c r="D60" s="613"/>
      <c r="E60" s="613"/>
      <c r="F60" s="613"/>
      <c r="G60" s="613"/>
      <c r="H60" s="613"/>
      <c r="I60" s="613"/>
      <c r="J60" s="613"/>
      <c r="K60" s="613"/>
      <c r="L60" s="613"/>
      <c r="M60" s="614"/>
      <c r="N60" s="1767"/>
      <c r="O60" s="1767"/>
      <c r="P60" s="1765"/>
      <c r="Q60" s="1762"/>
      <c r="R60" s="1741"/>
      <c r="S60" s="1741"/>
      <c r="T60" s="1741"/>
      <c r="U60" s="1741"/>
      <c r="V60" s="1741"/>
      <c r="W60" s="1741"/>
      <c r="X60" s="1741"/>
      <c r="Y60" s="1741"/>
      <c r="Z60" s="1741"/>
      <c r="AA60" s="1741"/>
      <c r="AB60" s="1741"/>
      <c r="AC60" s="1741"/>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7"/>
      <c r="O61" s="1767"/>
      <c r="P61" s="1765"/>
      <c r="Q61" s="1762"/>
      <c r="R61" s="1741"/>
      <c r="S61" s="1741"/>
      <c r="T61" s="1741"/>
      <c r="U61" s="1741"/>
      <c r="V61" s="1741"/>
      <c r="W61" s="1741"/>
      <c r="X61" s="1741"/>
      <c r="Y61" s="1741"/>
      <c r="Z61" s="1741"/>
      <c r="AA61" s="1741"/>
      <c r="AB61" s="1741"/>
      <c r="AC61" s="1741"/>
    </row>
    <row r="62" spans="1:29" ht="15">
      <c r="A62" s="482"/>
      <c r="B62" s="625"/>
      <c r="C62" s="491"/>
      <c r="D62" s="491"/>
      <c r="E62" s="491"/>
      <c r="F62" s="491"/>
      <c r="G62" s="491"/>
      <c r="H62" s="491"/>
      <c r="I62" s="491"/>
      <c r="J62" s="491"/>
      <c r="K62" s="626"/>
      <c r="L62" s="627"/>
      <c r="M62" s="628"/>
      <c r="N62" s="1766"/>
      <c r="O62" s="1766"/>
      <c r="P62" s="1765"/>
      <c r="Q62" s="1762"/>
      <c r="R62" s="1741"/>
      <c r="S62" s="1741"/>
      <c r="T62" s="1741"/>
      <c r="U62" s="1741"/>
      <c r="V62" s="1741"/>
      <c r="W62" s="1741"/>
      <c r="X62" s="1741"/>
      <c r="Y62" s="1741"/>
      <c r="Z62" s="1741"/>
      <c r="AA62" s="1741"/>
      <c r="AB62" s="1741"/>
      <c r="AC62" s="1741"/>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7"/>
      <c r="O63" s="1767"/>
      <c r="P63" s="1765"/>
      <c r="Q63" s="1762"/>
      <c r="R63" s="1741"/>
      <c r="S63" s="1741"/>
      <c r="T63" s="1741"/>
      <c r="U63" s="1741"/>
      <c r="V63" s="1741"/>
      <c r="W63" s="1741"/>
      <c r="X63" s="1741"/>
      <c r="Y63" s="1741"/>
      <c r="Z63" s="1741"/>
      <c r="AA63" s="1741"/>
      <c r="AB63" s="1741"/>
      <c r="AC63" s="1741"/>
    </row>
    <row r="64" spans="1:29" s="1132" customFormat="1" ht="15.75" thickTop="1">
      <c r="A64" s="629"/>
      <c r="B64" s="615">
        <f>B12</f>
        <v>111</v>
      </c>
      <c r="C64" s="630"/>
      <c r="D64" s="630"/>
      <c r="E64" s="630"/>
      <c r="F64" s="630"/>
      <c r="G64" s="630"/>
      <c r="H64" s="631"/>
      <c r="I64" s="631"/>
      <c r="J64" s="631"/>
      <c r="K64" s="631"/>
      <c r="L64" s="632"/>
      <c r="M64" s="633"/>
      <c r="N64" s="1768"/>
      <c r="O64" s="1768"/>
      <c r="P64" s="1768"/>
      <c r="Q64" s="1769"/>
      <c r="R64" s="1770"/>
      <c r="S64" s="1770"/>
      <c r="T64" s="1770"/>
      <c r="U64" s="1770"/>
      <c r="V64" s="1770"/>
      <c r="W64" s="1770"/>
      <c r="X64" s="1770"/>
      <c r="Y64" s="1770"/>
      <c r="Z64" s="1770"/>
      <c r="AA64" s="1770"/>
      <c r="AB64" s="1770"/>
      <c r="AC64" s="1770"/>
    </row>
    <row r="65" spans="1:29" s="1132" customFormat="1" ht="15.75" thickBot="1">
      <c r="A65" s="629"/>
      <c r="B65" s="620"/>
      <c r="C65" s="634"/>
      <c r="D65" s="613"/>
      <c r="E65" s="613"/>
      <c r="F65" s="613"/>
      <c r="G65" s="613"/>
      <c r="H65" s="613"/>
      <c r="I65" s="613"/>
      <c r="J65" s="613"/>
      <c r="K65" s="613"/>
      <c r="L65" s="613"/>
      <c r="M65" s="614"/>
      <c r="N65" s="1767"/>
      <c r="O65" s="1767"/>
      <c r="P65" s="1768"/>
      <c r="Q65" s="1769"/>
      <c r="R65" s="1770"/>
      <c r="S65" s="1770"/>
      <c r="T65" s="1770"/>
      <c r="U65" s="1770"/>
      <c r="V65" s="1770"/>
      <c r="W65" s="1770"/>
      <c r="X65" s="1770"/>
      <c r="Y65" s="1770"/>
      <c r="Z65" s="1770"/>
      <c r="AA65" s="1770"/>
      <c r="AB65" s="1770"/>
      <c r="AC65" s="1770"/>
    </row>
    <row r="66" spans="1:29" s="1132" customFormat="1" ht="15.75" thickTop="1">
      <c r="A66" s="629"/>
      <c r="B66" s="615">
        <f>B13</f>
        <v>111</v>
      </c>
      <c r="C66" s="630"/>
      <c r="D66" s="630"/>
      <c r="E66" s="630"/>
      <c r="F66" s="630"/>
      <c r="G66" s="630"/>
      <c r="H66" s="631"/>
      <c r="I66" s="631"/>
      <c r="J66" s="631"/>
      <c r="K66" s="631"/>
      <c r="L66" s="632"/>
      <c r="M66" s="633"/>
      <c r="N66" s="1768"/>
      <c r="O66" s="1768"/>
      <c r="P66" s="1770"/>
      <c r="Q66" s="1771"/>
      <c r="R66" s="1770"/>
      <c r="S66" s="1770"/>
      <c r="T66" s="1770"/>
      <c r="U66" s="1770"/>
      <c r="V66" s="1770"/>
      <c r="W66" s="1770"/>
      <c r="X66" s="1770"/>
      <c r="Y66" s="1770"/>
      <c r="Z66" s="1770"/>
      <c r="AA66" s="1770"/>
      <c r="AB66" s="1770"/>
      <c r="AC66" s="1770"/>
    </row>
    <row r="67" spans="1:29" s="1132" customFormat="1" ht="15.75" thickBot="1">
      <c r="A67" s="629"/>
      <c r="B67" s="620"/>
      <c r="C67" s="634"/>
      <c r="D67" s="613"/>
      <c r="E67" s="613"/>
      <c r="F67" s="613"/>
      <c r="G67" s="634"/>
      <c r="H67" s="635"/>
      <c r="I67" s="635"/>
      <c r="J67" s="635"/>
      <c r="K67" s="635"/>
      <c r="L67" s="635"/>
      <c r="M67" s="636"/>
      <c r="N67" s="1768"/>
      <c r="O67" s="1768"/>
      <c r="P67" s="1768"/>
      <c r="Q67" s="1769"/>
      <c r="R67" s="1770"/>
      <c r="S67" s="1770"/>
      <c r="T67" s="1770"/>
      <c r="U67" s="1770"/>
      <c r="V67" s="1770"/>
      <c r="W67" s="1770"/>
      <c r="X67" s="1770"/>
      <c r="Y67" s="1770"/>
      <c r="Z67" s="1770"/>
      <c r="AA67" s="1770"/>
      <c r="AB67" s="1770"/>
      <c r="AC67" s="1770"/>
    </row>
    <row r="68" spans="1:29" s="1132" customFormat="1" ht="15.75" thickTop="1">
      <c r="A68" s="629"/>
      <c r="B68" s="623">
        <f>B14</f>
        <v>111</v>
      </c>
      <c r="C68" s="80"/>
      <c r="D68" s="80"/>
      <c r="E68" s="80"/>
      <c r="F68" s="80"/>
      <c r="G68" s="80"/>
      <c r="H68" s="637"/>
      <c r="I68" s="637"/>
      <c r="J68" s="637"/>
      <c r="K68" s="637"/>
      <c r="L68" s="638"/>
      <c r="M68" s="639"/>
      <c r="N68" s="1768"/>
      <c r="O68" s="1768"/>
      <c r="P68" s="1772"/>
      <c r="Q68" s="1769"/>
      <c r="R68" s="1770"/>
      <c r="S68" s="1770"/>
      <c r="T68" s="1770"/>
      <c r="U68" s="1770"/>
      <c r="V68" s="1770"/>
      <c r="W68" s="1770"/>
      <c r="X68" s="1770"/>
      <c r="Y68" s="1770"/>
      <c r="Z68" s="1770"/>
      <c r="AA68" s="1770"/>
      <c r="AB68" s="1770"/>
      <c r="AC68" s="1770"/>
    </row>
    <row r="69" spans="1:29" s="1132" customFormat="1" ht="15.75" thickBot="1">
      <c r="A69" s="640"/>
      <c r="B69" s="641"/>
      <c r="C69" s="642"/>
      <c r="D69" s="642"/>
      <c r="E69" s="642"/>
      <c r="F69" s="642"/>
      <c r="G69" s="642"/>
      <c r="H69" s="643"/>
      <c r="I69" s="643"/>
      <c r="J69" s="643"/>
      <c r="K69" s="643"/>
      <c r="L69" s="643"/>
      <c r="M69" s="644"/>
      <c r="N69" s="1768"/>
      <c r="O69" s="1768"/>
      <c r="P69" s="1768"/>
      <c r="Q69" s="1769"/>
      <c r="R69" s="1770"/>
      <c r="S69" s="1770"/>
      <c r="T69" s="1770"/>
      <c r="U69" s="1770"/>
      <c r="V69" s="1770"/>
      <c r="W69" s="1770"/>
      <c r="X69" s="1770"/>
      <c r="Y69" s="1770"/>
      <c r="Z69" s="1770"/>
      <c r="AA69" s="1770"/>
      <c r="AB69" s="1770"/>
      <c r="AC69" s="1770"/>
    </row>
    <row r="70" spans="1:29">
      <c r="A70" s="607" t="s">
        <v>488</v>
      </c>
      <c r="B70" s="608" t="s">
        <v>533</v>
      </c>
      <c r="C70" s="143" t="s">
        <v>527</v>
      </c>
      <c r="D70" s="143" t="s">
        <v>528</v>
      </c>
      <c r="E70" s="143" t="s">
        <v>529</v>
      </c>
      <c r="F70" s="143" t="s">
        <v>530</v>
      </c>
      <c r="G70" s="143" t="s">
        <v>531</v>
      </c>
      <c r="H70" s="645"/>
      <c r="I70" s="645"/>
      <c r="J70" s="645"/>
      <c r="K70" s="646"/>
      <c r="L70" s="647"/>
      <c r="M70" s="648"/>
      <c r="N70" s="1766"/>
      <c r="O70" s="1766"/>
      <c r="P70" s="1773"/>
      <c r="Q70" s="1762"/>
      <c r="R70" s="1741"/>
      <c r="S70" s="1741"/>
      <c r="T70" s="1741"/>
      <c r="U70" s="1741"/>
      <c r="V70" s="1741"/>
      <c r="W70" s="1741"/>
      <c r="X70" s="1741"/>
      <c r="Y70" s="1741"/>
      <c r="Z70" s="1741"/>
      <c r="AA70" s="1741"/>
      <c r="AB70" s="1741"/>
      <c r="AC70" s="1741"/>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7"/>
      <c r="O71" s="1767"/>
      <c r="P71" s="1765"/>
      <c r="Q71" s="1762"/>
      <c r="R71" s="1741"/>
      <c r="S71" s="1741"/>
      <c r="T71" s="1741"/>
      <c r="U71" s="1741"/>
      <c r="V71" s="1741"/>
      <c r="W71" s="1741"/>
      <c r="X71" s="1741"/>
      <c r="Y71" s="1741"/>
      <c r="Z71" s="1741"/>
      <c r="AA71" s="1741"/>
      <c r="AB71" s="1741"/>
      <c r="AC71" s="1741"/>
    </row>
    <row r="72" spans="1:29" ht="15.75" thickTop="1">
      <c r="A72" s="482"/>
      <c r="B72" s="615" t="s">
        <v>534</v>
      </c>
      <c r="C72" s="649" t="s">
        <v>527</v>
      </c>
      <c r="D72" s="649" t="s">
        <v>528</v>
      </c>
      <c r="E72" s="649" t="s">
        <v>529</v>
      </c>
      <c r="F72" s="649" t="s">
        <v>530</v>
      </c>
      <c r="G72" s="649" t="s">
        <v>531</v>
      </c>
      <c r="H72" s="616"/>
      <c r="I72" s="616"/>
      <c r="J72" s="616"/>
      <c r="K72" s="617"/>
      <c r="L72" s="618"/>
      <c r="M72" s="619"/>
      <c r="N72" s="1766"/>
      <c r="O72" s="1766"/>
      <c r="P72" s="1765"/>
      <c r="Q72" s="1762"/>
      <c r="R72" s="1741"/>
      <c r="S72" s="1741"/>
      <c r="T72" s="1741"/>
      <c r="U72" s="1741"/>
      <c r="V72" s="1741"/>
      <c r="W72" s="1741"/>
      <c r="X72" s="1741"/>
      <c r="Y72" s="1741"/>
      <c r="Z72" s="1741"/>
      <c r="AA72" s="1741"/>
      <c r="AB72" s="1741"/>
      <c r="AC72" s="1741"/>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7"/>
      <c r="O73" s="1767"/>
      <c r="P73" s="1765"/>
      <c r="Q73" s="1762"/>
      <c r="R73" s="1741"/>
      <c r="S73" s="1741"/>
      <c r="T73" s="1741"/>
      <c r="U73" s="1741"/>
      <c r="V73" s="1741"/>
      <c r="W73" s="1741"/>
      <c r="X73" s="1741"/>
      <c r="Y73" s="1741"/>
      <c r="Z73" s="1741"/>
      <c r="AA73" s="1741"/>
      <c r="AB73" s="1741"/>
      <c r="AC73" s="1741"/>
    </row>
    <row r="74" spans="1:29" ht="15.75" thickTop="1">
      <c r="A74" s="482"/>
      <c r="B74" s="1554" t="s">
        <v>1837</v>
      </c>
      <c r="C74" s="649" t="s">
        <v>527</v>
      </c>
      <c r="D74" s="649" t="s">
        <v>528</v>
      </c>
      <c r="E74" s="649" t="s">
        <v>529</v>
      </c>
      <c r="F74" s="649" t="s">
        <v>530</v>
      </c>
      <c r="G74" s="649" t="s">
        <v>531</v>
      </c>
      <c r="H74" s="616"/>
      <c r="I74" s="616"/>
      <c r="J74" s="616"/>
      <c r="K74" s="617"/>
      <c r="L74" s="618"/>
      <c r="M74" s="619"/>
      <c r="N74" s="1766"/>
      <c r="O74" s="1766"/>
      <c r="P74" s="1765"/>
      <c r="Q74" s="1762"/>
      <c r="R74" s="1741"/>
      <c r="S74" s="1741"/>
      <c r="T74" s="1741"/>
      <c r="U74" s="1741"/>
      <c r="V74" s="1741"/>
      <c r="W74" s="1741"/>
      <c r="X74" s="1741"/>
      <c r="Y74" s="1741"/>
      <c r="Z74" s="1741"/>
      <c r="AA74" s="1741"/>
      <c r="AB74" s="1741"/>
      <c r="AC74" s="1741"/>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7"/>
      <c r="O75" s="1767"/>
      <c r="P75" s="1765"/>
      <c r="Q75" s="1762"/>
      <c r="R75" s="1741"/>
      <c r="S75" s="1741"/>
      <c r="T75" s="1741"/>
      <c r="U75" s="1741"/>
      <c r="V75" s="1741"/>
      <c r="W75" s="1741"/>
      <c r="X75" s="1741"/>
      <c r="Y75" s="1741"/>
      <c r="Z75" s="1741"/>
      <c r="AA75" s="1741"/>
      <c r="AB75" s="1741"/>
      <c r="AC75" s="1741"/>
    </row>
    <row r="76" spans="1:29" ht="15.75" thickTop="1">
      <c r="A76" s="482"/>
      <c r="B76" s="2055" t="s">
        <v>1838</v>
      </c>
      <c r="C76" s="2056" t="s">
        <v>1839</v>
      </c>
      <c r="D76" s="2056" t="s">
        <v>1840</v>
      </c>
      <c r="E76" s="2056" t="s">
        <v>1841</v>
      </c>
      <c r="F76" s="2056" t="s">
        <v>1842</v>
      </c>
      <c r="G76" s="2056" t="s">
        <v>1843</v>
      </c>
      <c r="H76" s="854"/>
      <c r="I76" s="854"/>
      <c r="J76" s="854"/>
      <c r="K76" s="854"/>
      <c r="L76" s="854"/>
      <c r="M76" s="509"/>
      <c r="N76" s="1767"/>
      <c r="O76" s="1767"/>
      <c r="P76" s="1765"/>
      <c r="Q76" s="1762"/>
      <c r="R76" s="1741"/>
      <c r="S76" s="1741"/>
      <c r="T76" s="1741"/>
      <c r="U76" s="1741"/>
      <c r="V76" s="1741"/>
      <c r="W76" s="1741"/>
      <c r="X76" s="1741"/>
      <c r="Y76" s="1741"/>
      <c r="Z76" s="1741"/>
      <c r="AA76" s="1741"/>
      <c r="AB76" s="1741"/>
      <c r="AC76" s="1741"/>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75" thickTop="1">
      <c r="A78" s="482"/>
      <c r="B78" s="615" t="s">
        <v>724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s="1058" customFormat="1" ht="15.75" thickTop="1">
      <c r="A80" s="486"/>
      <c r="B80" s="615">
        <f>B25</f>
        <v>111</v>
      </c>
      <c r="C80" s="630"/>
      <c r="D80" s="630"/>
      <c r="E80" s="630"/>
      <c r="F80" s="630"/>
      <c r="G80" s="630"/>
      <c r="H80" s="630"/>
      <c r="I80" s="630"/>
      <c r="J80" s="630"/>
      <c r="K80" s="630"/>
      <c r="L80" s="813"/>
      <c r="M80" s="814"/>
      <c r="N80" s="1765"/>
      <c r="O80" s="1765"/>
      <c r="P80" s="1765"/>
      <c r="Q80" s="1762"/>
      <c r="R80" s="1639"/>
      <c r="S80" s="1639"/>
      <c r="T80" s="1639"/>
      <c r="U80" s="1639"/>
      <c r="V80" s="1639"/>
      <c r="W80" s="1639"/>
      <c r="X80" s="1639"/>
      <c r="Y80" s="1639"/>
      <c r="Z80" s="1639"/>
      <c r="AA80" s="1639"/>
      <c r="AB80" s="1639"/>
      <c r="AC80" s="1639"/>
    </row>
    <row r="81" spans="1:29" s="1058" customFormat="1" ht="15.75" thickBot="1">
      <c r="A81" s="486"/>
      <c r="B81" s="620"/>
      <c r="C81" s="634"/>
      <c r="D81" s="613"/>
      <c r="E81" s="613"/>
      <c r="F81" s="613"/>
      <c r="G81" s="613"/>
      <c r="H81" s="613"/>
      <c r="I81" s="613"/>
      <c r="J81" s="613"/>
      <c r="K81" s="613"/>
      <c r="L81" s="613"/>
      <c r="M81" s="614"/>
      <c r="N81" s="1767"/>
      <c r="O81" s="1767"/>
      <c r="P81" s="1765"/>
      <c r="Q81" s="1762"/>
      <c r="R81" s="1639"/>
      <c r="S81" s="1639"/>
      <c r="T81" s="1639"/>
      <c r="U81" s="1639"/>
      <c r="V81" s="1639"/>
      <c r="W81" s="1639"/>
      <c r="X81" s="1639"/>
      <c r="Y81" s="1639"/>
      <c r="Z81" s="1639"/>
      <c r="AA81" s="1639"/>
      <c r="AB81" s="1639"/>
      <c r="AC81" s="1639"/>
    </row>
    <row r="82" spans="1:29" s="1058" customFormat="1" ht="15.75" thickTop="1">
      <c r="A82" s="486"/>
      <c r="B82" s="615">
        <f>B26</f>
        <v>111</v>
      </c>
      <c r="C82" s="630"/>
      <c r="D82" s="630"/>
      <c r="E82" s="630"/>
      <c r="F82" s="630"/>
      <c r="G82" s="630"/>
      <c r="H82" s="630"/>
      <c r="I82" s="630"/>
      <c r="J82" s="630"/>
      <c r="K82" s="630"/>
      <c r="L82" s="813"/>
      <c r="M82" s="814"/>
      <c r="N82" s="1765"/>
      <c r="O82" s="1765"/>
      <c r="P82" s="1765"/>
      <c r="Q82" s="1762"/>
      <c r="R82" s="1639"/>
      <c r="S82" s="1639"/>
      <c r="T82" s="1639"/>
      <c r="U82" s="1639"/>
      <c r="V82" s="1639"/>
      <c r="W82" s="1639"/>
      <c r="X82" s="1639"/>
      <c r="Y82" s="1639"/>
      <c r="Z82" s="1639"/>
      <c r="AA82" s="1639"/>
      <c r="AB82" s="1639"/>
      <c r="AC82" s="1639"/>
    </row>
    <row r="83" spans="1:29" s="1058" customFormat="1" ht="15.75" thickBot="1">
      <c r="A83" s="486"/>
      <c r="B83" s="620"/>
      <c r="C83" s="634"/>
      <c r="D83" s="613"/>
      <c r="E83" s="613"/>
      <c r="F83" s="613"/>
      <c r="G83" s="613"/>
      <c r="H83" s="613"/>
      <c r="I83" s="613"/>
      <c r="J83" s="613"/>
      <c r="K83" s="613"/>
      <c r="L83" s="613"/>
      <c r="M83" s="614"/>
      <c r="N83" s="1767"/>
      <c r="O83" s="1767"/>
      <c r="P83" s="1765"/>
      <c r="Q83" s="1762"/>
      <c r="R83" s="1639"/>
      <c r="S83" s="1639"/>
      <c r="T83" s="1639"/>
      <c r="U83" s="1639"/>
      <c r="V83" s="1639"/>
      <c r="W83" s="1639"/>
      <c r="X83" s="1639"/>
      <c r="Y83" s="1639"/>
      <c r="Z83" s="1639"/>
      <c r="AA83" s="1639"/>
      <c r="AB83" s="1639"/>
      <c r="AC83" s="1639"/>
    </row>
    <row r="84" spans="1:29" s="1132" customFormat="1" ht="15.75" thickTop="1">
      <c r="A84" s="629"/>
      <c r="B84" s="615">
        <f>B27</f>
        <v>111</v>
      </c>
      <c r="C84" s="630"/>
      <c r="D84" s="630"/>
      <c r="E84" s="630"/>
      <c r="F84" s="630"/>
      <c r="G84" s="630"/>
      <c r="H84" s="630"/>
      <c r="I84" s="630"/>
      <c r="J84" s="630"/>
      <c r="K84" s="630"/>
      <c r="L84" s="813"/>
      <c r="M84" s="814"/>
      <c r="N84" s="1768"/>
      <c r="O84" s="1768"/>
      <c r="P84" s="1768"/>
      <c r="Q84" s="1769"/>
      <c r="R84" s="1770"/>
      <c r="S84" s="1770"/>
      <c r="T84" s="1770"/>
      <c r="U84" s="1770"/>
      <c r="V84" s="1770"/>
      <c r="W84" s="1770"/>
      <c r="X84" s="1770"/>
      <c r="Y84" s="1770"/>
      <c r="Z84" s="1770"/>
      <c r="AA84" s="1770"/>
      <c r="AB84" s="1770"/>
      <c r="AC84" s="1770"/>
    </row>
    <row r="85" spans="1:29" s="1132" customFormat="1" ht="15.75" thickBot="1">
      <c r="A85" s="629"/>
      <c r="B85" s="620"/>
      <c r="C85" s="634"/>
      <c r="D85" s="613"/>
      <c r="E85" s="613"/>
      <c r="F85" s="613"/>
      <c r="G85" s="613"/>
      <c r="H85" s="613"/>
      <c r="I85" s="613"/>
      <c r="J85" s="613"/>
      <c r="K85" s="613"/>
      <c r="L85" s="613"/>
      <c r="M85" s="614"/>
      <c r="N85" s="1768"/>
      <c r="O85" s="1768"/>
      <c r="P85" s="1768"/>
      <c r="Q85" s="1769"/>
      <c r="R85" s="1770"/>
      <c r="S85" s="1770"/>
      <c r="T85" s="1770"/>
      <c r="U85" s="1770"/>
      <c r="V85" s="1770"/>
      <c r="W85" s="1770"/>
      <c r="X85" s="1770"/>
      <c r="Y85" s="1770"/>
      <c r="Z85" s="1770"/>
      <c r="AA85" s="1770"/>
      <c r="AB85" s="1770"/>
      <c r="AC85" s="1770"/>
    </row>
    <row r="86" spans="1:29" ht="15.75" thickTop="1">
      <c r="A86" s="482"/>
      <c r="B86" s="623">
        <f>B28</f>
        <v>111</v>
      </c>
      <c r="C86" s="80"/>
      <c r="D86" s="80"/>
      <c r="E86" s="80"/>
      <c r="F86" s="80"/>
      <c r="G86" s="662"/>
      <c r="H86" s="662"/>
      <c r="I86" s="662"/>
      <c r="J86" s="662"/>
      <c r="K86" s="663"/>
      <c r="L86" s="664"/>
      <c r="M86" s="665"/>
      <c r="N86" s="1766"/>
      <c r="O86" s="1766"/>
      <c r="P86" s="1765"/>
      <c r="Q86" s="1762"/>
      <c r="R86" s="1741"/>
      <c r="S86" s="1741"/>
      <c r="T86" s="1741"/>
      <c r="U86" s="1741"/>
      <c r="V86" s="1741"/>
      <c r="W86" s="1741"/>
      <c r="X86" s="1741"/>
      <c r="Y86" s="1741"/>
      <c r="Z86" s="1741"/>
      <c r="AA86" s="1741"/>
      <c r="AB86" s="1741"/>
      <c r="AC86" s="1741"/>
    </row>
    <row r="87" spans="1:29" ht="15.75" thickBot="1">
      <c r="A87" s="493"/>
      <c r="B87" s="641"/>
      <c r="C87" s="642"/>
      <c r="D87" s="642"/>
      <c r="E87" s="642"/>
      <c r="F87" s="642"/>
      <c r="G87" s="666"/>
      <c r="H87" s="666"/>
      <c r="I87" s="666"/>
      <c r="J87" s="666"/>
      <c r="K87" s="666"/>
      <c r="L87" s="666"/>
      <c r="M87" s="667"/>
      <c r="N87" s="1767"/>
      <c r="O87" s="1767"/>
      <c r="P87" s="1765"/>
      <c r="Q87" s="1762"/>
      <c r="R87" s="1741"/>
      <c r="S87" s="1741"/>
      <c r="T87" s="1741"/>
      <c r="U87" s="1741"/>
      <c r="V87" s="1741"/>
      <c r="W87" s="1741"/>
      <c r="X87" s="1741"/>
      <c r="Y87" s="1741"/>
      <c r="Z87" s="1741"/>
      <c r="AA87" s="1741"/>
      <c r="AB87" s="1741"/>
      <c r="AC87" s="1741"/>
    </row>
    <row r="88" spans="1:29">
      <c r="A88" s="607" t="s">
        <v>500</v>
      </c>
      <c r="B88" s="608" t="s">
        <v>687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7"/>
      <c r="O89" s="1767"/>
      <c r="P89" s="1765"/>
      <c r="Q89" s="1762"/>
      <c r="R89" s="1741"/>
      <c r="S89" s="1741"/>
      <c r="T89" s="1741"/>
      <c r="U89" s="1741"/>
      <c r="V89" s="1741"/>
      <c r="W89" s="1741"/>
      <c r="X89" s="1741"/>
      <c r="Y89" s="1741"/>
      <c r="Z89" s="1741"/>
      <c r="AA89" s="1741"/>
      <c r="AB89" s="1741"/>
      <c r="AC89" s="1741"/>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5"/>
      <c r="O90" s="1765"/>
      <c r="P90" s="1765"/>
      <c r="Q90" s="1762"/>
      <c r="R90" s="1741"/>
      <c r="S90" s="1741"/>
      <c r="T90" s="1741"/>
      <c r="U90" s="1741"/>
      <c r="V90" s="1741"/>
      <c r="W90" s="1741"/>
      <c r="X90" s="1741"/>
      <c r="Y90" s="1741"/>
      <c r="Z90" s="1741"/>
      <c r="AA90" s="1741"/>
      <c r="AB90" s="1741"/>
      <c r="AC90" s="1741"/>
    </row>
    <row r="91" spans="1:29" s="1132" customFormat="1">
      <c r="A91" s="552"/>
      <c r="B91" s="668"/>
      <c r="C91" s="79"/>
      <c r="D91" s="79"/>
      <c r="E91" s="79"/>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2" customFormat="1" ht="15.75" thickBot="1">
      <c r="A92" s="629"/>
      <c r="B92" s="620"/>
      <c r="C92" s="634"/>
      <c r="D92" s="613"/>
      <c r="E92" s="613"/>
      <c r="F92" s="613"/>
      <c r="G92" s="613"/>
      <c r="H92" s="613"/>
      <c r="I92" s="613"/>
      <c r="J92" s="613"/>
      <c r="K92" s="613"/>
      <c r="L92" s="613"/>
      <c r="M92" s="614"/>
      <c r="N92" s="1767"/>
      <c r="O92" s="1767"/>
      <c r="P92" s="1768"/>
      <c r="Q92" s="1769"/>
      <c r="R92" s="1770"/>
      <c r="S92" s="1770"/>
      <c r="T92" s="1770"/>
      <c r="U92" s="1770"/>
      <c r="V92" s="1770"/>
      <c r="W92" s="1770"/>
      <c r="X92" s="1770"/>
      <c r="Y92" s="1770"/>
      <c r="Z92" s="1770"/>
      <c r="AA92" s="1770"/>
      <c r="AB92" s="1770"/>
      <c r="AC92" s="1770"/>
    </row>
    <row r="93" spans="1:29" ht="15" thickTop="1">
      <c r="A93" s="543"/>
      <c r="B93" s="615" t="s">
        <v>689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691</v>
      </c>
      <c r="C95" s="630"/>
      <c r="D95" s="630"/>
      <c r="E95" s="630"/>
      <c r="F95" s="658"/>
      <c r="G95" s="658"/>
      <c r="H95" s="658"/>
      <c r="I95" s="658"/>
      <c r="J95" s="658"/>
      <c r="K95" s="659"/>
      <c r="L95" s="660"/>
      <c r="M95" s="661"/>
      <c r="N95" s="1766"/>
      <c r="O95" s="1766"/>
      <c r="P95" s="1765"/>
      <c r="Q95" s="1762"/>
      <c r="R95" s="1741"/>
      <c r="S95" s="1741"/>
      <c r="T95" s="1741"/>
      <c r="U95" s="1741"/>
      <c r="V95" s="1741"/>
      <c r="W95" s="1741"/>
      <c r="X95" s="1741"/>
      <c r="Y95" s="1741"/>
      <c r="Z95" s="1741"/>
      <c r="AA95" s="1741"/>
      <c r="AB95" s="1741"/>
      <c r="AC95" s="1741"/>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6"/>
      <c r="O97" s="1766"/>
      <c r="P97" s="1765"/>
      <c r="Q97" s="1762"/>
      <c r="R97" s="1741"/>
      <c r="S97" s="1741"/>
      <c r="T97" s="1741"/>
      <c r="U97" s="1741"/>
      <c r="V97" s="1741"/>
      <c r="W97" s="1741"/>
      <c r="X97" s="1741"/>
      <c r="Y97" s="1741"/>
      <c r="Z97" s="1741"/>
      <c r="AA97" s="1741"/>
      <c r="AB97" s="1741"/>
      <c r="AC97" s="1741"/>
    </row>
    <row r="98" spans="1:29">
      <c r="A98" s="543"/>
      <c r="B98" s="623"/>
      <c r="C98" s="816">
        <v>0.5</v>
      </c>
      <c r="D98" s="816">
        <v>0.6</v>
      </c>
      <c r="E98" s="816">
        <v>0.7</v>
      </c>
      <c r="F98" s="816">
        <v>0.8</v>
      </c>
      <c r="G98" s="816">
        <v>0.9</v>
      </c>
      <c r="H98" s="816">
        <v>1.0001</v>
      </c>
      <c r="I98" s="826"/>
      <c r="J98" s="826"/>
      <c r="K98" s="827"/>
      <c r="L98" s="828"/>
      <c r="M98" s="829"/>
      <c r="N98" s="1766"/>
      <c r="O98" s="1766"/>
      <c r="P98" s="1765"/>
      <c r="Q98" s="1762"/>
      <c r="R98" s="1741"/>
      <c r="S98" s="1741"/>
      <c r="T98" s="1741"/>
      <c r="U98" s="1741"/>
      <c r="V98" s="1741"/>
      <c r="W98" s="1741"/>
      <c r="X98" s="1741"/>
      <c r="Y98" s="1741"/>
      <c r="Z98" s="1741"/>
      <c r="AA98" s="1741"/>
      <c r="AB98" s="1741"/>
      <c r="AC98" s="1741"/>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7"/>
      <c r="O99" s="1767"/>
      <c r="P99" s="1765"/>
      <c r="Q99" s="1762"/>
      <c r="R99" s="1741"/>
      <c r="S99" s="1741"/>
      <c r="T99" s="1741"/>
      <c r="U99" s="1741"/>
      <c r="V99" s="1741"/>
      <c r="W99" s="1741"/>
      <c r="X99" s="1741"/>
      <c r="Y99" s="1741"/>
      <c r="Z99" s="1741"/>
      <c r="AA99" s="1741"/>
      <c r="AB99" s="1741"/>
      <c r="AC99" s="1741"/>
    </row>
    <row r="100" spans="1:29" s="1132" customFormat="1" ht="15" thickTop="1">
      <c r="A100" s="552"/>
      <c r="B100" s="615" t="s">
        <v>693</v>
      </c>
      <c r="C100" s="630"/>
      <c r="D100" s="630"/>
      <c r="E100" s="630"/>
      <c r="F100" s="630"/>
      <c r="G100" s="630"/>
      <c r="H100" s="658"/>
      <c r="I100" s="658"/>
      <c r="J100" s="658"/>
      <c r="K100" s="659"/>
      <c r="L100" s="660"/>
      <c r="M100" s="661"/>
      <c r="N100" s="1768"/>
      <c r="O100" s="1768"/>
      <c r="P100" s="1768"/>
      <c r="Q100" s="1769"/>
      <c r="R100" s="1770"/>
      <c r="S100" s="1770"/>
      <c r="T100" s="1770"/>
      <c r="U100" s="1770"/>
      <c r="V100" s="1770"/>
      <c r="W100" s="1770"/>
      <c r="X100" s="1770"/>
      <c r="Y100" s="1770"/>
      <c r="Z100" s="1770"/>
      <c r="AA100" s="1770"/>
      <c r="AB100" s="1770"/>
      <c r="AC100" s="1770"/>
    </row>
    <row r="101" spans="1:29" s="1132"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3"/>
      <c r="B102" s="1554" t="s">
        <v>1836</v>
      </c>
      <c r="C102" s="630"/>
      <c r="D102" s="630"/>
      <c r="E102" s="630"/>
      <c r="F102" s="630"/>
      <c r="G102" s="630"/>
      <c r="H102" s="658"/>
      <c r="I102" s="658"/>
      <c r="J102" s="658"/>
      <c r="K102" s="659"/>
      <c r="L102" s="660"/>
      <c r="M102" s="661"/>
      <c r="N102" s="1766"/>
      <c r="O102" s="1766"/>
      <c r="P102" s="1765"/>
      <c r="Q102" s="1762"/>
      <c r="R102" s="1741"/>
      <c r="S102" s="1741"/>
      <c r="T102" s="1741"/>
      <c r="U102" s="1741"/>
      <c r="V102" s="1741"/>
      <c r="W102" s="1741"/>
      <c r="X102" s="1741"/>
      <c r="Y102" s="1741"/>
      <c r="Z102" s="1741"/>
      <c r="AA102" s="1741"/>
      <c r="AB102" s="1741"/>
      <c r="AC102" s="1741"/>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3"/>
      <c r="B104" s="615" t="s">
        <v>695</v>
      </c>
      <c r="C104" s="630"/>
      <c r="D104" s="630"/>
      <c r="E104" s="630"/>
      <c r="F104" s="630"/>
      <c r="G104" s="630"/>
      <c r="H104" s="658"/>
      <c r="I104" s="658"/>
      <c r="J104" s="658"/>
      <c r="K104" s="659"/>
      <c r="L104" s="660"/>
      <c r="M104" s="661"/>
      <c r="N104" s="1766"/>
      <c r="O104" s="1766"/>
      <c r="P104" s="1765"/>
      <c r="Q104" s="1762"/>
      <c r="R104" s="1741"/>
      <c r="S104" s="1741"/>
      <c r="T104" s="1741"/>
      <c r="U104" s="1741"/>
      <c r="V104" s="1741"/>
      <c r="W104" s="1741"/>
      <c r="X104" s="1741"/>
      <c r="Y104" s="1741"/>
      <c r="Z104" s="1741"/>
      <c r="AA104" s="1741"/>
      <c r="AB104" s="1741"/>
      <c r="AC104" s="1741"/>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7"/>
      <c r="O105" s="1767"/>
      <c r="P105" s="1765"/>
      <c r="Q105" s="1762"/>
      <c r="R105" s="1741"/>
      <c r="S105" s="1741"/>
      <c r="T105" s="1741"/>
      <c r="U105" s="1741"/>
      <c r="V105" s="1741"/>
      <c r="W105" s="1741"/>
      <c r="X105" s="1741"/>
      <c r="Y105" s="1741"/>
      <c r="Z105" s="1741"/>
      <c r="AA105" s="1741"/>
      <c r="AB105" s="1741"/>
      <c r="AC105" s="1741"/>
    </row>
    <row r="106" spans="1:29" ht="27.75" thickTop="1">
      <c r="A106" s="543"/>
      <c r="B106" s="837" t="s">
        <v>731</v>
      </c>
      <c r="C106" s="649" t="s">
        <v>527</v>
      </c>
      <c r="D106" s="649" t="s">
        <v>528</v>
      </c>
      <c r="E106" s="649" t="s">
        <v>529</v>
      </c>
      <c r="F106" s="649" t="s">
        <v>530</v>
      </c>
      <c r="G106" s="649" t="s">
        <v>531</v>
      </c>
      <c r="H106" s="616"/>
      <c r="I106" s="616"/>
      <c r="J106" s="616"/>
      <c r="K106" s="617"/>
      <c r="L106" s="618"/>
      <c r="M106" s="619"/>
      <c r="N106" s="1767"/>
      <c r="O106" s="1767"/>
      <c r="P106" s="1767"/>
      <c r="Q106" s="1802"/>
      <c r="R106" s="1741"/>
      <c r="S106" s="1741"/>
      <c r="T106" s="1741"/>
      <c r="U106" s="1741"/>
      <c r="V106" s="1741"/>
      <c r="W106" s="1741"/>
      <c r="X106" s="1741"/>
      <c r="Y106" s="1741"/>
      <c r="Z106" s="1741"/>
      <c r="AA106" s="1741"/>
      <c r="AB106" s="1741"/>
      <c r="AC106" s="1741"/>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7"/>
      <c r="O107" s="1767"/>
      <c r="P107" s="1765"/>
      <c r="Q107" s="1762"/>
      <c r="R107" s="1741"/>
      <c r="S107" s="1741"/>
      <c r="T107" s="1741"/>
      <c r="U107" s="1741"/>
      <c r="V107" s="1741"/>
      <c r="W107" s="1741"/>
      <c r="X107" s="1741"/>
      <c r="Y107" s="1741"/>
      <c r="Z107" s="1741"/>
      <c r="AA107" s="1741"/>
      <c r="AB107" s="1741"/>
      <c r="AC107" s="1741"/>
    </row>
    <row r="108" spans="1:29" s="1132" customFormat="1" ht="15" thickTop="1">
      <c r="A108" s="552"/>
      <c r="B108" s="615">
        <f>B38</f>
        <v>111</v>
      </c>
      <c r="C108" s="630"/>
      <c r="D108" s="630"/>
      <c r="E108" s="630"/>
      <c r="F108" s="630"/>
      <c r="G108" s="630"/>
      <c r="H108" s="631"/>
      <c r="I108" s="631"/>
      <c r="J108" s="631"/>
      <c r="K108" s="631"/>
      <c r="L108" s="632"/>
      <c r="M108" s="633"/>
      <c r="N108" s="1768"/>
      <c r="O108" s="1768"/>
      <c r="P108" s="1768"/>
      <c r="Q108" s="1769"/>
      <c r="R108" s="1770"/>
      <c r="S108" s="1770"/>
      <c r="T108" s="1770"/>
      <c r="U108" s="1770"/>
      <c r="V108" s="1770"/>
      <c r="W108" s="1770"/>
      <c r="X108" s="1770"/>
      <c r="Y108" s="1770"/>
      <c r="Z108" s="1770"/>
      <c r="AA108" s="1770"/>
      <c r="AB108" s="1770"/>
      <c r="AC108" s="1770"/>
    </row>
    <row r="109" spans="1:29" s="1132" customFormat="1" ht="15.75" thickBot="1">
      <c r="A109" s="629"/>
      <c r="B109" s="612"/>
      <c r="C109" s="634"/>
      <c r="D109" s="613"/>
      <c r="E109" s="613"/>
      <c r="F109" s="613"/>
      <c r="G109" s="634"/>
      <c r="H109" s="635"/>
      <c r="I109" s="635"/>
      <c r="J109" s="635"/>
      <c r="K109" s="635"/>
      <c r="L109" s="635"/>
      <c r="M109" s="636"/>
      <c r="N109" s="1768"/>
      <c r="O109" s="1768"/>
      <c r="P109" s="1768"/>
      <c r="Q109" s="1769"/>
      <c r="R109" s="1770"/>
      <c r="S109" s="1770"/>
      <c r="T109" s="1770"/>
      <c r="U109" s="1770"/>
      <c r="V109" s="1770"/>
      <c r="W109" s="1770"/>
      <c r="X109" s="1770"/>
      <c r="Y109" s="1770"/>
      <c r="Z109" s="1770"/>
      <c r="AA109" s="1770"/>
      <c r="AB109" s="1770"/>
      <c r="AC109" s="1770"/>
    </row>
    <row r="110" spans="1:29" ht="15" thickTop="1">
      <c r="A110" s="543"/>
      <c r="B110" s="615">
        <f>B39</f>
        <v>111</v>
      </c>
      <c r="C110" s="630"/>
      <c r="D110" s="630"/>
      <c r="E110" s="630"/>
      <c r="F110" s="630"/>
      <c r="G110" s="630"/>
      <c r="H110" s="631"/>
      <c r="I110" s="631"/>
      <c r="J110" s="631"/>
      <c r="K110" s="631"/>
      <c r="L110" s="632"/>
      <c r="M110" s="633"/>
      <c r="N110" s="1766"/>
      <c r="O110" s="1766"/>
      <c r="P110" s="1765"/>
      <c r="Q110" s="1762"/>
      <c r="R110" s="1741"/>
      <c r="S110" s="1741"/>
      <c r="T110" s="1741"/>
      <c r="U110" s="1741"/>
      <c r="V110" s="1741"/>
      <c r="W110" s="1741"/>
      <c r="X110" s="1741"/>
      <c r="Y110" s="1741"/>
      <c r="Z110" s="1741"/>
      <c r="AA110" s="1741"/>
      <c r="AB110" s="1741"/>
      <c r="AC110" s="1741"/>
    </row>
    <row r="111" spans="1:29" ht="15.75" thickBot="1">
      <c r="A111" s="482"/>
      <c r="B111" s="620"/>
      <c r="C111" s="634"/>
      <c r="D111" s="613"/>
      <c r="E111" s="613"/>
      <c r="F111" s="613"/>
      <c r="G111" s="634"/>
      <c r="H111" s="635"/>
      <c r="I111" s="635"/>
      <c r="J111" s="635"/>
      <c r="K111" s="635"/>
      <c r="L111" s="635"/>
      <c r="M111" s="636"/>
      <c r="N111" s="1767"/>
      <c r="O111" s="1767"/>
      <c r="P111" s="1765"/>
      <c r="Q111" s="1762"/>
      <c r="R111" s="1741"/>
      <c r="S111" s="1741"/>
      <c r="T111" s="1741"/>
      <c r="U111" s="1741"/>
      <c r="V111" s="1741"/>
      <c r="W111" s="1741"/>
      <c r="X111" s="1741"/>
      <c r="Y111" s="1741"/>
      <c r="Z111" s="1741"/>
      <c r="AA111" s="1741"/>
      <c r="AB111" s="1741"/>
      <c r="AC111" s="1741"/>
    </row>
    <row r="112" spans="1:29" ht="15" thickTop="1">
      <c r="A112" s="543"/>
      <c r="B112" s="623">
        <f>B40</f>
        <v>111</v>
      </c>
      <c r="C112" s="80"/>
      <c r="D112" s="80"/>
      <c r="E112" s="80"/>
      <c r="F112" s="80"/>
      <c r="G112" s="662"/>
      <c r="H112" s="662"/>
      <c r="I112" s="662"/>
      <c r="J112" s="662"/>
      <c r="K112" s="80"/>
      <c r="L112" s="605"/>
      <c r="M112" s="665"/>
      <c r="N112" s="1766"/>
      <c r="O112" s="1766"/>
      <c r="P112" s="1765"/>
      <c r="Q112" s="1762"/>
      <c r="R112" s="1741"/>
      <c r="S112" s="1741"/>
      <c r="T112" s="1741"/>
      <c r="U112" s="1741"/>
      <c r="V112" s="1741"/>
      <c r="W112" s="1741"/>
      <c r="X112" s="1741"/>
      <c r="Y112" s="1741"/>
      <c r="Z112" s="1741"/>
      <c r="AA112" s="1741"/>
      <c r="AB112" s="1741"/>
      <c r="AC112" s="1741"/>
    </row>
    <row r="113" spans="1:29" ht="15.75" thickBot="1">
      <c r="A113" s="493"/>
      <c r="B113" s="641"/>
      <c r="C113" s="642"/>
      <c r="D113" s="642"/>
      <c r="E113" s="642"/>
      <c r="F113" s="642"/>
      <c r="G113" s="666"/>
      <c r="H113" s="666"/>
      <c r="I113" s="666"/>
      <c r="J113" s="666"/>
      <c r="K113" s="666"/>
      <c r="L113" s="666"/>
      <c r="M113" s="667"/>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843"/>
      <c r="C1" s="455" t="s">
        <v>732</v>
      </c>
      <c r="D1" s="781"/>
      <c r="E1" s="457"/>
      <c r="F1" s="2117"/>
      <c r="G1" s="1327" t="s">
        <v>733</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734</v>
      </c>
      <c r="B2" s="782" t="e">
        <f>IF(B37="元/平方米",ROUND(B3*D3/10000,0),ROUND(F3*C39/10000,0))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735</v>
      </c>
      <c r="B3" s="461" t="e">
        <f>IF(B37="元/平方米",C39,ROUND(B2*10000/D3,0))</f>
        <v>#DIV/0!</v>
      </c>
      <c r="C3" s="784" t="s">
        <v>736</v>
      </c>
      <c r="D3" s="783">
        <f>SUMIF('数据-汇总表'!$C19:$C33,D1,'数据-汇总表'!$E19:$E33)</f>
        <v>0</v>
      </c>
      <c r="E3" s="1536" t="s">
        <v>1592</v>
      </c>
      <c r="F3" s="783">
        <f>SUMIF('数据-取费表'!A5:A15,D1,'数据-取费表'!AH5:AH15)</f>
        <v>0</v>
      </c>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5">
      <c r="A4" s="463" t="s">
        <v>737</v>
      </c>
      <c r="B4" s="464"/>
      <c r="C4" s="3732" t="s">
        <v>738</v>
      </c>
      <c r="D4" s="3733"/>
      <c r="E4" s="3732" t="s">
        <v>739</v>
      </c>
      <c r="F4" s="3733"/>
      <c r="G4" s="3732" t="s">
        <v>740</v>
      </c>
      <c r="H4" s="3733"/>
      <c r="I4" s="3732" t="s">
        <v>741</v>
      </c>
      <c r="J4" s="3733"/>
      <c r="K4" s="465" t="s">
        <v>742</v>
      </c>
      <c r="L4" s="1740"/>
      <c r="M4" s="1741"/>
      <c r="N4" s="1741"/>
      <c r="O4" s="1741"/>
      <c r="P4" s="3734" t="s">
        <v>743</v>
      </c>
      <c r="Q4" s="3735"/>
      <c r="R4" s="3718" t="s">
        <v>739</v>
      </c>
      <c r="S4" s="3719"/>
      <c r="T4" s="3718" t="s">
        <v>740</v>
      </c>
      <c r="U4" s="3719"/>
      <c r="V4" s="3740" t="s">
        <v>741</v>
      </c>
      <c r="W4" s="3740"/>
      <c r="X4" s="1301"/>
      <c r="Y4" s="3718" t="s">
        <v>743</v>
      </c>
      <c r="Z4" s="3719"/>
      <c r="AA4" s="3713" t="s">
        <v>739</v>
      </c>
      <c r="AB4" s="3714" t="s">
        <v>740</v>
      </c>
      <c r="AC4" s="3713" t="s">
        <v>741</v>
      </c>
    </row>
    <row r="5" spans="1:29" ht="15">
      <c r="A5" s="466"/>
      <c r="B5" s="467"/>
      <c r="C5" s="3743" t="s">
        <v>2186</v>
      </c>
      <c r="D5" s="3744"/>
      <c r="E5" s="3743" t="s">
        <v>2187</v>
      </c>
      <c r="F5" s="3744"/>
      <c r="G5" s="3743" t="s">
        <v>2188</v>
      </c>
      <c r="H5" s="3744"/>
      <c r="I5" s="3743" t="s">
        <v>2189</v>
      </c>
      <c r="J5" s="3744"/>
      <c r="K5" s="465"/>
      <c r="L5" s="1740"/>
      <c r="M5" s="1741"/>
      <c r="N5" s="1741"/>
      <c r="O5" s="1741"/>
      <c r="P5" s="3736"/>
      <c r="Q5" s="3737"/>
      <c r="R5" s="3720"/>
      <c r="S5" s="3721"/>
      <c r="T5" s="3720"/>
      <c r="U5" s="3721"/>
      <c r="V5" s="3740"/>
      <c r="W5" s="3740"/>
      <c r="X5" s="1301"/>
      <c r="Y5" s="3720"/>
      <c r="Z5" s="3721"/>
      <c r="AA5" s="3714"/>
      <c r="AB5" s="3714"/>
      <c r="AC5" s="3714"/>
    </row>
    <row r="6" spans="1:29" ht="15.75" thickBot="1">
      <c r="A6" s="468"/>
      <c r="B6" s="469"/>
      <c r="C6" s="3741" t="s">
        <v>2190</v>
      </c>
      <c r="D6" s="3742"/>
      <c r="E6" s="3745" t="s">
        <v>2190</v>
      </c>
      <c r="F6" s="3746"/>
      <c r="G6" s="3741" t="s">
        <v>2190</v>
      </c>
      <c r="H6" s="3742"/>
      <c r="I6" s="3741" t="s">
        <v>2190</v>
      </c>
      <c r="J6" s="3742"/>
      <c r="K6" s="465" t="s">
        <v>477</v>
      </c>
      <c r="L6" s="1740"/>
      <c r="M6" s="1741"/>
      <c r="N6" s="1741"/>
      <c r="O6" s="1741"/>
      <c r="P6" s="3738"/>
      <c r="Q6" s="3739"/>
      <c r="R6" s="3720"/>
      <c r="S6" s="3721"/>
      <c r="T6" s="3722"/>
      <c r="U6" s="3723"/>
      <c r="V6" s="3740"/>
      <c r="W6" s="3740"/>
      <c r="X6" s="1301"/>
      <c r="Y6" s="3722"/>
      <c r="Z6" s="3723"/>
      <c r="AA6" s="3715"/>
      <c r="AB6" s="3715"/>
      <c r="AC6" s="3715"/>
    </row>
    <row r="7" spans="1:29" s="1058" customFormat="1" ht="15.75" thickBot="1">
      <c r="A7" s="2208"/>
      <c r="B7" s="2215" t="s">
        <v>478</v>
      </c>
      <c r="C7" s="470">
        <f>'数据-取费表'!B2</f>
        <v>45196</v>
      </c>
      <c r="D7" s="471">
        <v>100</v>
      </c>
      <c r="E7" s="472"/>
      <c r="F7" s="473">
        <f>SUMIF(48:48,YEAR(E7)&amp;"-"&amp;MONTH(E7),49:49)</f>
        <v>0</v>
      </c>
      <c r="G7" s="474"/>
      <c r="H7" s="471">
        <f>SUMIF(48:48,YEAR(G7)&amp;"-"&amp;MONTH(G7),49:49)</f>
        <v>0</v>
      </c>
      <c r="I7" s="474"/>
      <c r="J7" s="471">
        <f>SUMIF(48:48,YEAR(I7)&amp;"-"&amp;MONTH(I7),49:49)</f>
        <v>0</v>
      </c>
      <c r="K7" s="88"/>
      <c r="L7" s="1742"/>
      <c r="M7" s="1639"/>
      <c r="N7" s="1639"/>
      <c r="O7" s="1639"/>
      <c r="P7" s="3716" t="s">
        <v>479</v>
      </c>
      <c r="Q7" s="3725"/>
      <c r="R7" s="1302" t="s">
        <v>5</v>
      </c>
      <c r="S7" s="1303">
        <f t="shared" ref="S7:S14" si="0">F7</f>
        <v>0</v>
      </c>
      <c r="T7" s="1302" t="s">
        <v>5</v>
      </c>
      <c r="U7" s="1303">
        <f t="shared" ref="U7:U14" si="1">H7</f>
        <v>0</v>
      </c>
      <c r="V7" s="1302" t="s">
        <v>5</v>
      </c>
      <c r="W7" s="1303">
        <f t="shared" ref="W7:W14" si="2">J7</f>
        <v>0</v>
      </c>
      <c r="X7" s="1304"/>
      <c r="Y7" s="3716" t="s">
        <v>479</v>
      </c>
      <c r="Z7" s="3717"/>
      <c r="AA7" s="995" t="e">
        <f>D7/F7</f>
        <v>#DIV/0!</v>
      </c>
      <c r="AB7" s="995" t="e">
        <f>D7/H7</f>
        <v>#DIV/0!</v>
      </c>
      <c r="AC7" s="995" t="e">
        <f>D7/J7</f>
        <v>#DIV/0!</v>
      </c>
    </row>
    <row r="8" spans="1:29" s="1058" customFormat="1" ht="15.75" thickBot="1">
      <c r="A8" s="2209"/>
      <c r="B8" s="2216" t="s">
        <v>480</v>
      </c>
      <c r="C8" s="475" t="s">
        <v>524</v>
      </c>
      <c r="D8" s="471">
        <v>100</v>
      </c>
      <c r="E8" s="475"/>
      <c r="F8" s="473">
        <f>SUMIF(51:51,E8,52:52)-SUMIF(51:51,C8,52:52)+100</f>
        <v>0</v>
      </c>
      <c r="G8" s="475"/>
      <c r="H8" s="471">
        <f>SUMIF(51:51,G8,52:52)-SUMIF(51:51,C8,52:52)+100</f>
        <v>0</v>
      </c>
      <c r="I8" s="475"/>
      <c r="J8" s="471">
        <f>SUMIF(51:51,I8,52:52)-SUMIF(51:51,C8,52:52)+100</f>
        <v>0</v>
      </c>
      <c r="K8" s="88"/>
      <c r="L8" s="1742"/>
      <c r="M8" s="1639"/>
      <c r="N8" s="1639"/>
      <c r="O8" s="1639"/>
      <c r="P8" s="3716" t="s">
        <v>482</v>
      </c>
      <c r="Q8" s="3717"/>
      <c r="R8" s="1302" t="s">
        <v>5</v>
      </c>
      <c r="S8" s="1303">
        <f t="shared" si="0"/>
        <v>0</v>
      </c>
      <c r="T8" s="1302" t="s">
        <v>5</v>
      </c>
      <c r="U8" s="1303">
        <f t="shared" si="1"/>
        <v>0</v>
      </c>
      <c r="V8" s="1302" t="s">
        <v>5</v>
      </c>
      <c r="W8" s="1303">
        <f t="shared" si="2"/>
        <v>0</v>
      </c>
      <c r="X8" s="1304"/>
      <c r="Y8" s="3716" t="s">
        <v>482</v>
      </c>
      <c r="Z8" s="3717"/>
      <c r="AA8" s="995" t="e">
        <f t="shared" ref="AA8:AA36" si="3">D8/F8</f>
        <v>#DIV/0!</v>
      </c>
      <c r="AB8" s="995" t="e">
        <f t="shared" ref="AB8:AB36" si="4">D8/H8</f>
        <v>#DIV/0!</v>
      </c>
      <c r="AC8" s="995" t="e">
        <f t="shared" ref="AC8:AC36" si="5">D8/J8</f>
        <v>#DIV/0!</v>
      </c>
    </row>
    <row r="9" spans="1:29" s="1058" customFormat="1" ht="15">
      <c r="A9" s="2210"/>
      <c r="B9" s="2217" t="s">
        <v>2035</v>
      </c>
      <c r="C9" s="789"/>
      <c r="D9" s="154">
        <v>100</v>
      </c>
      <c r="E9" s="791"/>
      <c r="F9" s="154">
        <f>SUMIF(53:53,E9,54:54)-SUMIF(53:53,C9,54:54)+100</f>
        <v>100</v>
      </c>
      <c r="G9" s="790"/>
      <c r="H9" s="154">
        <f>SUMIF(53:53,G9,54:54)-SUMIF(53:53,C9,54:54)+100</f>
        <v>100</v>
      </c>
      <c r="I9" s="790"/>
      <c r="J9" s="154">
        <f>SUMIF(53:53,I9,54:54)-SUMIF(53:53,C9,54:54)+100</f>
        <v>100</v>
      </c>
      <c r="K9" s="88"/>
      <c r="L9" s="1742"/>
      <c r="M9" s="1639"/>
      <c r="N9" s="1639"/>
      <c r="O9" s="1743"/>
      <c r="P9" s="3724" t="s">
        <v>484</v>
      </c>
      <c r="Q9" s="816" t="str">
        <f t="shared" ref="Q9:Q14" si="6">B9</f>
        <v>用途</v>
      </c>
      <c r="R9" s="1302" t="s">
        <v>5</v>
      </c>
      <c r="S9" s="1303">
        <f t="shared" si="0"/>
        <v>100</v>
      </c>
      <c r="T9" s="1302" t="s">
        <v>5</v>
      </c>
      <c r="U9" s="1303">
        <f t="shared" si="1"/>
        <v>100</v>
      </c>
      <c r="V9" s="1302" t="s">
        <v>5</v>
      </c>
      <c r="W9" s="1303">
        <f t="shared" si="2"/>
        <v>100</v>
      </c>
      <c r="X9" s="1304"/>
      <c r="Y9" s="3672" t="s">
        <v>485</v>
      </c>
      <c r="Z9" s="995" t="str">
        <f t="shared" ref="Z9:Z14" si="7">Q9</f>
        <v>用途</v>
      </c>
      <c r="AA9" s="995">
        <f t="shared" si="3"/>
        <v>1</v>
      </c>
      <c r="AB9" s="995">
        <f t="shared" si="4"/>
        <v>1</v>
      </c>
      <c r="AC9" s="995">
        <f t="shared" si="5"/>
        <v>1</v>
      </c>
    </row>
    <row r="10" spans="1:29" s="1131" customFormat="1" ht="27">
      <c r="A10" s="2211"/>
      <c r="B10" s="2216" t="s">
        <v>2036</v>
      </c>
      <c r="C10" s="3386"/>
      <c r="D10" s="235">
        <v>100</v>
      </c>
      <c r="E10" s="3386"/>
      <c r="F10" s="235">
        <f>SUMIF(55:55,E10,56:56)-SUMIF(55:55,C10,56:56)+100</f>
        <v>100</v>
      </c>
      <c r="G10" s="3387"/>
      <c r="H10" s="235">
        <f>SUMIF(55:55,G10,56:56)-SUMIF(55:55,C10,56:56)+100</f>
        <v>100</v>
      </c>
      <c r="I10" s="3386"/>
      <c r="J10" s="235">
        <f>SUMIF(55:55,I10,56:56)-SUMIF(55:55,C10,56:56)+100</f>
        <v>100</v>
      </c>
      <c r="K10" s="88"/>
      <c r="L10" s="1744"/>
      <c r="M10" s="1777"/>
      <c r="N10" s="1777"/>
      <c r="O10" s="1745"/>
      <c r="P10" s="3724"/>
      <c r="Q10" s="816" t="str">
        <f t="shared" si="6"/>
        <v>土地使用年限（年）</v>
      </c>
      <c r="R10" s="1302" t="s">
        <v>5</v>
      </c>
      <c r="S10" s="1303">
        <f t="shared" si="0"/>
        <v>100</v>
      </c>
      <c r="T10" s="1302" t="s">
        <v>5</v>
      </c>
      <c r="U10" s="1303">
        <f t="shared" si="1"/>
        <v>100</v>
      </c>
      <c r="V10" s="1302" t="s">
        <v>5</v>
      </c>
      <c r="W10" s="1303">
        <f t="shared" si="2"/>
        <v>100</v>
      </c>
      <c r="X10" s="1304"/>
      <c r="Y10" s="3672"/>
      <c r="Z10" s="995" t="str">
        <f t="shared" si="7"/>
        <v>土地使用年限（年）</v>
      </c>
      <c r="AA10" s="995">
        <f t="shared" si="3"/>
        <v>1</v>
      </c>
      <c r="AB10" s="995">
        <f t="shared" si="4"/>
        <v>1</v>
      </c>
      <c r="AC10" s="995">
        <f t="shared" si="5"/>
        <v>1</v>
      </c>
    </row>
    <row r="11" spans="1:29" ht="15">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6"/>
      <c r="M11" s="1741"/>
      <c r="N11" s="1741"/>
      <c r="O11" s="1747"/>
      <c r="P11" s="3724"/>
      <c r="Q11" s="816">
        <f t="shared" si="6"/>
        <v>111</v>
      </c>
      <c r="R11" s="1302" t="s">
        <v>5</v>
      </c>
      <c r="S11" s="1303">
        <f t="shared" si="0"/>
        <v>100</v>
      </c>
      <c r="T11" s="1302" t="s">
        <v>5</v>
      </c>
      <c r="U11" s="1303">
        <f t="shared" si="1"/>
        <v>100</v>
      </c>
      <c r="V11" s="1302" t="s">
        <v>5</v>
      </c>
      <c r="W11" s="1303">
        <f t="shared" si="2"/>
        <v>100</v>
      </c>
      <c r="X11" s="1304"/>
      <c r="Y11" s="3672"/>
      <c r="Z11" s="995">
        <f t="shared" si="7"/>
        <v>111</v>
      </c>
      <c r="AA11" s="995">
        <f t="shared" si="3"/>
        <v>1</v>
      </c>
      <c r="AB11" s="995">
        <f t="shared" si="4"/>
        <v>1</v>
      </c>
      <c r="AC11" s="995">
        <f t="shared" si="5"/>
        <v>1</v>
      </c>
    </row>
    <row r="12" spans="1:29" s="1058" customFormat="1" ht="15">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2"/>
      <c r="M12" s="1639"/>
      <c r="N12" s="1639"/>
      <c r="O12" s="1743"/>
      <c r="P12" s="3724"/>
      <c r="Q12" s="816">
        <f t="shared" si="6"/>
        <v>111</v>
      </c>
      <c r="R12" s="1302" t="s">
        <v>5</v>
      </c>
      <c r="S12" s="1303">
        <f t="shared" si="0"/>
        <v>100</v>
      </c>
      <c r="T12" s="1302" t="s">
        <v>5</v>
      </c>
      <c r="U12" s="1303">
        <f t="shared" si="1"/>
        <v>100</v>
      </c>
      <c r="V12" s="1302" t="s">
        <v>5</v>
      </c>
      <c r="W12" s="1303">
        <f t="shared" si="2"/>
        <v>100</v>
      </c>
      <c r="X12" s="1304"/>
      <c r="Y12" s="3672"/>
      <c r="Z12" s="995">
        <f t="shared" si="7"/>
        <v>111</v>
      </c>
      <c r="AA12" s="995">
        <f>D12/F12</f>
        <v>1</v>
      </c>
      <c r="AB12" s="995">
        <f>D12/H12</f>
        <v>1</v>
      </c>
      <c r="AC12" s="995">
        <f>D12/J12</f>
        <v>1</v>
      </c>
    </row>
    <row r="13" spans="1:29" ht="15.75"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8"/>
      <c r="M13" s="1741"/>
      <c r="N13" s="1741"/>
      <c r="O13" s="1747"/>
      <c r="P13" s="3724"/>
      <c r="Q13" s="816">
        <f t="shared" si="6"/>
        <v>111</v>
      </c>
      <c r="R13" s="1302" t="s">
        <v>5</v>
      </c>
      <c r="S13" s="1303">
        <f t="shared" si="0"/>
        <v>100</v>
      </c>
      <c r="T13" s="1302" t="s">
        <v>5</v>
      </c>
      <c r="U13" s="1303">
        <f t="shared" si="1"/>
        <v>100</v>
      </c>
      <c r="V13" s="1302" t="s">
        <v>5</v>
      </c>
      <c r="W13" s="1303">
        <f t="shared" si="2"/>
        <v>100</v>
      </c>
      <c r="X13" s="1304"/>
      <c r="Y13" s="3672"/>
      <c r="Z13" s="995">
        <f t="shared" si="7"/>
        <v>111</v>
      </c>
      <c r="AA13" s="995">
        <f t="shared" si="3"/>
        <v>1</v>
      </c>
      <c r="AB13" s="995">
        <f t="shared" si="4"/>
        <v>1</v>
      </c>
      <c r="AC13" s="995">
        <f t="shared" si="5"/>
        <v>1</v>
      </c>
    </row>
    <row r="14" spans="1:29" ht="85.5">
      <c r="A14" s="2206" t="s">
        <v>2033</v>
      </c>
      <c r="B14" s="497" t="s">
        <v>492</v>
      </c>
      <c r="C14" s="841"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0"/>
      <c r="L14" s="1748"/>
      <c r="M14" s="1741"/>
      <c r="N14" s="1741"/>
      <c r="O14" s="1747"/>
      <c r="P14" s="3726" t="s">
        <v>489</v>
      </c>
      <c r="Q14" s="1305" t="str">
        <f t="shared" si="6"/>
        <v>交通便捷度</v>
      </c>
      <c r="R14" s="1306" t="s">
        <v>5</v>
      </c>
      <c r="S14" s="1307">
        <f t="shared" si="0"/>
        <v>100</v>
      </c>
      <c r="T14" s="1306" t="s">
        <v>5</v>
      </c>
      <c r="U14" s="1307">
        <f t="shared" si="1"/>
        <v>100</v>
      </c>
      <c r="V14" s="1306" t="s">
        <v>5</v>
      </c>
      <c r="W14" s="1307">
        <f t="shared" si="2"/>
        <v>100</v>
      </c>
      <c r="X14" s="1301"/>
      <c r="Y14" s="3726" t="s">
        <v>489</v>
      </c>
      <c r="Z14" s="1308" t="str">
        <f t="shared" si="7"/>
        <v>交通便捷度</v>
      </c>
      <c r="AA14" s="1308">
        <f t="shared" si="3"/>
        <v>1</v>
      </c>
      <c r="AB14" s="1308">
        <f t="shared" si="4"/>
        <v>1</v>
      </c>
      <c r="AC14" s="1308">
        <f t="shared" si="5"/>
        <v>1</v>
      </c>
    </row>
    <row r="15" spans="1:29" ht="15">
      <c r="A15" s="466"/>
      <c r="B15" s="844"/>
      <c r="C15" s="526"/>
      <c r="D15" s="505"/>
      <c r="E15" s="526"/>
      <c r="F15" s="507"/>
      <c r="G15" s="526"/>
      <c r="H15" s="509"/>
      <c r="I15" s="526"/>
      <c r="J15" s="505"/>
      <c r="K15" s="821"/>
      <c r="L15" s="1748"/>
      <c r="M15" s="1741"/>
      <c r="N15" s="1741"/>
      <c r="O15" s="1747"/>
      <c r="P15" s="3727"/>
      <c r="Q15" s="1305"/>
      <c r="R15" s="1306"/>
      <c r="S15" s="1307"/>
      <c r="T15" s="1306"/>
      <c r="U15" s="1307"/>
      <c r="V15" s="1306"/>
      <c r="W15" s="1307"/>
      <c r="X15" s="1301"/>
      <c r="Y15" s="3727"/>
      <c r="Z15" s="1308"/>
      <c r="AA15" s="1308">
        <v>1</v>
      </c>
      <c r="AB15" s="1308">
        <v>1</v>
      </c>
      <c r="AC15" s="1308">
        <v>1</v>
      </c>
    </row>
    <row r="16" spans="1:29" ht="42.75">
      <c r="A16" s="466"/>
      <c r="B16" s="2061" t="s">
        <v>1826</v>
      </c>
      <c r="C16" s="799"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0"/>
      <c r="L16" s="1748"/>
      <c r="M16" s="1741"/>
      <c r="N16" s="1741"/>
      <c r="O16" s="1747"/>
      <c r="P16" s="3727"/>
      <c r="Q16" s="1305" t="str">
        <f>B16</f>
        <v>公共配套设施</v>
      </c>
      <c r="R16" s="1306" t="s">
        <v>5</v>
      </c>
      <c r="S16" s="1307">
        <f>F16</f>
        <v>100</v>
      </c>
      <c r="T16" s="1306" t="s">
        <v>5</v>
      </c>
      <c r="U16" s="1307">
        <f>H16</f>
        <v>100</v>
      </c>
      <c r="V16" s="1306" t="s">
        <v>5</v>
      </c>
      <c r="W16" s="1307">
        <f>J16</f>
        <v>100</v>
      </c>
      <c r="X16" s="1301"/>
      <c r="Y16" s="3727"/>
      <c r="Z16" s="1308" t="str">
        <f>Q16</f>
        <v>公共配套设施</v>
      </c>
      <c r="AA16" s="1308">
        <f t="shared" si="3"/>
        <v>1</v>
      </c>
      <c r="AB16" s="1308">
        <f t="shared" si="4"/>
        <v>1</v>
      </c>
      <c r="AC16" s="1308">
        <f t="shared" si="5"/>
        <v>1</v>
      </c>
    </row>
    <row r="17" spans="1:29" ht="15">
      <c r="A17" s="466"/>
      <c r="B17" s="516"/>
      <c r="C17" s="800"/>
      <c r="D17" s="505"/>
      <c r="E17" s="526"/>
      <c r="F17" s="507"/>
      <c r="G17" s="526"/>
      <c r="H17" s="505"/>
      <c r="I17" s="526"/>
      <c r="J17" s="505"/>
      <c r="K17" s="821"/>
      <c r="L17" s="1748"/>
      <c r="M17" s="1741"/>
      <c r="N17" s="1741"/>
      <c r="O17" s="1747"/>
      <c r="P17" s="3727"/>
      <c r="Q17" s="1305"/>
      <c r="R17" s="1306"/>
      <c r="S17" s="1307"/>
      <c r="T17" s="1306"/>
      <c r="U17" s="1307"/>
      <c r="V17" s="1306"/>
      <c r="W17" s="1307"/>
      <c r="X17" s="1301"/>
      <c r="Y17" s="3727"/>
      <c r="Z17" s="1308"/>
      <c r="AA17" s="1308">
        <v>1</v>
      </c>
      <c r="AB17" s="1308">
        <v>1</v>
      </c>
      <c r="AC17" s="1308">
        <v>1</v>
      </c>
    </row>
    <row r="18" spans="1:29" ht="28.5">
      <c r="A18" s="466"/>
      <c r="B18" s="2049" t="s">
        <v>1838</v>
      </c>
      <c r="C18" s="799"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0"/>
      <c r="L18" s="1748"/>
      <c r="M18" s="1741"/>
      <c r="N18" s="1741"/>
      <c r="O18" s="1747"/>
      <c r="P18" s="3727"/>
      <c r="Q18" s="1305" t="str">
        <f>B18</f>
        <v>基础设施水平</v>
      </c>
      <c r="R18" s="1306" t="s">
        <v>5</v>
      </c>
      <c r="S18" s="1307">
        <f>F18</f>
        <v>100</v>
      </c>
      <c r="T18" s="1306" t="s">
        <v>5</v>
      </c>
      <c r="U18" s="1307">
        <f>H18</f>
        <v>100</v>
      </c>
      <c r="V18" s="1306" t="s">
        <v>5</v>
      </c>
      <c r="W18" s="1307">
        <f>J18</f>
        <v>100</v>
      </c>
      <c r="X18" s="1301"/>
      <c r="Y18" s="3727"/>
      <c r="Z18" s="1308" t="str">
        <f>Q18</f>
        <v>基础设施水平</v>
      </c>
      <c r="AA18" s="1308">
        <f>D18/F18</f>
        <v>1</v>
      </c>
      <c r="AB18" s="1308">
        <f>D18/H18</f>
        <v>1</v>
      </c>
      <c r="AC18" s="1308">
        <f>D18/J18</f>
        <v>1</v>
      </c>
    </row>
    <row r="19" spans="1:29" ht="15">
      <c r="A19" s="466"/>
      <c r="B19" s="528"/>
      <c r="C19" s="800"/>
      <c r="D19" s="509"/>
      <c r="E19" s="526"/>
      <c r="F19" s="507"/>
      <c r="G19" s="526"/>
      <c r="H19" s="505"/>
      <c r="I19" s="526"/>
      <c r="J19" s="505"/>
      <c r="K19" s="2060"/>
      <c r="L19" s="1748"/>
      <c r="M19" s="1741"/>
      <c r="N19" s="1741"/>
      <c r="O19" s="1747"/>
      <c r="P19" s="3727"/>
      <c r="Q19" s="1305"/>
      <c r="R19" s="1306"/>
      <c r="S19" s="1307"/>
      <c r="T19" s="1306"/>
      <c r="U19" s="1307"/>
      <c r="V19" s="1306"/>
      <c r="W19" s="1307"/>
      <c r="X19" s="1301"/>
      <c r="Y19" s="3727"/>
      <c r="Z19" s="1308"/>
      <c r="AA19" s="1308">
        <v>1</v>
      </c>
      <c r="AB19" s="1308">
        <v>1</v>
      </c>
      <c r="AC19" s="1308">
        <v>1</v>
      </c>
    </row>
    <row r="20" spans="1:29" ht="57">
      <c r="A20" s="466"/>
      <c r="B20" s="510" t="s">
        <v>744</v>
      </c>
      <c r="C20" s="799"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0"/>
      <c r="L20" s="1748"/>
      <c r="M20" s="1741"/>
      <c r="N20" s="1741"/>
      <c r="O20" s="1747"/>
      <c r="P20" s="3727"/>
      <c r="Q20" s="1305" t="str">
        <f>B20</f>
        <v>自然及人文环境</v>
      </c>
      <c r="R20" s="1306" t="s">
        <v>5</v>
      </c>
      <c r="S20" s="1307">
        <f>F20</f>
        <v>100</v>
      </c>
      <c r="T20" s="1306" t="s">
        <v>5</v>
      </c>
      <c r="U20" s="1307">
        <f>H20</f>
        <v>100</v>
      </c>
      <c r="V20" s="1306" t="s">
        <v>5</v>
      </c>
      <c r="W20" s="1307">
        <f>J20</f>
        <v>100</v>
      </c>
      <c r="X20" s="1301"/>
      <c r="Y20" s="3727"/>
      <c r="Z20" s="1308" t="str">
        <f>Q20</f>
        <v>自然及人文环境</v>
      </c>
      <c r="AA20" s="1308">
        <f t="shared" si="3"/>
        <v>1</v>
      </c>
      <c r="AB20" s="1308">
        <f t="shared" si="4"/>
        <v>1</v>
      </c>
      <c r="AC20" s="1308">
        <f t="shared" si="5"/>
        <v>1</v>
      </c>
    </row>
    <row r="21" spans="1:29" ht="15">
      <c r="A21" s="466"/>
      <c r="B21" s="516"/>
      <c r="C21" s="526"/>
      <c r="D21" s="505"/>
      <c r="E21" s="526"/>
      <c r="F21" s="507"/>
      <c r="G21" s="526"/>
      <c r="H21" s="505"/>
      <c r="I21" s="526"/>
      <c r="J21" s="505"/>
      <c r="K21" s="821"/>
      <c r="L21" s="1748"/>
      <c r="M21" s="1741"/>
      <c r="N21" s="1741"/>
      <c r="O21" s="1747"/>
      <c r="P21" s="3727"/>
      <c r="Q21" s="1305"/>
      <c r="R21" s="1306"/>
      <c r="S21" s="1307"/>
      <c r="T21" s="1306"/>
      <c r="U21" s="1307"/>
      <c r="V21" s="1306"/>
      <c r="W21" s="1307"/>
      <c r="X21" s="1301"/>
      <c r="Y21" s="3727"/>
      <c r="Z21" s="1308"/>
      <c r="AA21" s="1308">
        <v>1</v>
      </c>
      <c r="AB21" s="1308">
        <v>1</v>
      </c>
      <c r="AC21" s="1308">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8"/>
      <c r="M22" s="1741"/>
      <c r="N22" s="1741"/>
      <c r="O22" s="1747"/>
      <c r="P22" s="3727"/>
      <c r="Q22" s="1305" t="str">
        <f>B22</f>
        <v>楼层</v>
      </c>
      <c r="R22" s="1306" t="s">
        <v>5</v>
      </c>
      <c r="S22" s="1307">
        <f>F22</f>
        <v>100</v>
      </c>
      <c r="T22" s="1306" t="s">
        <v>5</v>
      </c>
      <c r="U22" s="1307">
        <f>H22</f>
        <v>100</v>
      </c>
      <c r="V22" s="1306" t="s">
        <v>5</v>
      </c>
      <c r="W22" s="1307">
        <f>J22</f>
        <v>100</v>
      </c>
      <c r="X22" s="1301"/>
      <c r="Y22" s="3727"/>
      <c r="Z22" s="1308" t="str">
        <f>Q22</f>
        <v>楼层</v>
      </c>
      <c r="AA22" s="1308">
        <f t="shared" si="3"/>
        <v>1</v>
      </c>
      <c r="AB22" s="1308">
        <f t="shared" si="4"/>
        <v>1</v>
      </c>
      <c r="AC22" s="1308">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8"/>
      <c r="M23" s="1741"/>
      <c r="N23" s="1741"/>
      <c r="O23" s="1747"/>
      <c r="P23" s="3727"/>
      <c r="Q23" s="1305">
        <f>B23</f>
        <v>111</v>
      </c>
      <c r="R23" s="1306" t="s">
        <v>5</v>
      </c>
      <c r="S23" s="1307">
        <f>F23</f>
        <v>100</v>
      </c>
      <c r="T23" s="1306" t="s">
        <v>5</v>
      </c>
      <c r="U23" s="1307">
        <f>H23</f>
        <v>100</v>
      </c>
      <c r="V23" s="1306" t="s">
        <v>5</v>
      </c>
      <c r="W23" s="1307">
        <f>J23</f>
        <v>100</v>
      </c>
      <c r="X23" s="1301"/>
      <c r="Y23" s="3727"/>
      <c r="Z23" s="1308">
        <f>Q23</f>
        <v>111</v>
      </c>
      <c r="AA23" s="1308">
        <f t="shared" si="3"/>
        <v>1</v>
      </c>
      <c r="AB23" s="1308">
        <f t="shared" si="4"/>
        <v>1</v>
      </c>
      <c r="AC23" s="1308">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8"/>
      <c r="M24" s="1741"/>
      <c r="N24" s="1741"/>
      <c r="O24" s="1747"/>
      <c r="P24" s="3727"/>
      <c r="Q24" s="1305">
        <f t="shared" ref="Q24:Q36" si="8">B24</f>
        <v>111</v>
      </c>
      <c r="R24" s="1306" t="s">
        <v>5</v>
      </c>
      <c r="S24" s="1307">
        <f>F24</f>
        <v>100</v>
      </c>
      <c r="T24" s="1306" t="s">
        <v>5</v>
      </c>
      <c r="U24" s="1307">
        <f>H24</f>
        <v>100</v>
      </c>
      <c r="V24" s="1306" t="s">
        <v>5</v>
      </c>
      <c r="W24" s="1307">
        <f>J24</f>
        <v>100</v>
      </c>
      <c r="X24" s="1301"/>
      <c r="Y24" s="3727"/>
      <c r="Z24" s="1308">
        <f>Q24</f>
        <v>111</v>
      </c>
      <c r="AA24" s="1308">
        <f t="shared" si="3"/>
        <v>1</v>
      </c>
      <c r="AB24" s="1308">
        <f t="shared" si="4"/>
        <v>1</v>
      </c>
      <c r="AC24" s="1308">
        <f t="shared" si="5"/>
        <v>1</v>
      </c>
    </row>
    <row r="25" spans="1:29" s="1058" customFormat="1" ht="15.75" thickBot="1">
      <c r="A25" s="527"/>
      <c r="B25" s="835">
        <v>111</v>
      </c>
      <c r="C25" s="495"/>
      <c r="D25" s="845">
        <v>100</v>
      </c>
      <c r="E25" s="832"/>
      <c r="F25" s="846">
        <f>SUMIF(77:77,E25,78:78)-SUMIF(77:77,C25,78:78)+100</f>
        <v>100</v>
      </c>
      <c r="G25" s="832"/>
      <c r="H25" s="845">
        <f>SUMIF(77:77,G25,78:78)-SUMIF(77:77,C25,78:78)+100</f>
        <v>100</v>
      </c>
      <c r="I25" s="832"/>
      <c r="J25" s="845">
        <f>SUMIF(77:77,I25,78:78)-SUMIF(77:77,C25,78:78)+100</f>
        <v>100</v>
      </c>
      <c r="K25" s="531"/>
      <c r="L25" s="1742"/>
      <c r="M25" s="1639"/>
      <c r="N25" s="1639"/>
      <c r="O25" s="1743"/>
      <c r="P25" s="3727"/>
      <c r="Q25" s="816">
        <f t="shared" si="8"/>
        <v>111</v>
      </c>
      <c r="R25" s="1302" t="s">
        <v>5</v>
      </c>
      <c r="S25" s="1303">
        <f>F25</f>
        <v>100</v>
      </c>
      <c r="T25" s="1302" t="s">
        <v>5</v>
      </c>
      <c r="U25" s="1303">
        <f>H25</f>
        <v>100</v>
      </c>
      <c r="V25" s="1302" t="s">
        <v>5</v>
      </c>
      <c r="W25" s="1303">
        <f>J25</f>
        <v>100</v>
      </c>
      <c r="X25" s="1304"/>
      <c r="Y25" s="3727"/>
      <c r="Z25" s="995">
        <f>Q25</f>
        <v>111</v>
      </c>
      <c r="AA25" s="1308">
        <f>D25/F25</f>
        <v>1</v>
      </c>
      <c r="AB25" s="1308">
        <f>D25/H25</f>
        <v>1</v>
      </c>
      <c r="AC25" s="1308">
        <f>D25/J25</f>
        <v>1</v>
      </c>
    </row>
    <row r="26" spans="1:29" ht="15">
      <c r="A26" s="2203" t="s">
        <v>2034</v>
      </c>
      <c r="B26" s="154" t="s">
        <v>746</v>
      </c>
      <c r="C26" s="847">
        <f>B1</f>
        <v>0</v>
      </c>
      <c r="D26" s="505">
        <v>100</v>
      </c>
      <c r="E26" s="526"/>
      <c r="F26" s="507">
        <f>SUMIF(79:79,E26,80:80)-SUMIF(79:79,C26,80:80)+100</f>
        <v>100</v>
      </c>
      <c r="G26" s="526"/>
      <c r="H26" s="505">
        <f>SUMIF(79:79,G26,80:80)-SUMIF(79:79,C26,80:80)+100</f>
        <v>100</v>
      </c>
      <c r="I26" s="526"/>
      <c r="J26" s="505">
        <f>SUMIF(79:79,I26,80:80)-SUMIF(79:79,C26,80:80)+100</f>
        <v>100</v>
      </c>
      <c r="K26" s="533"/>
      <c r="L26" s="1748"/>
      <c r="M26" s="1741"/>
      <c r="N26" s="1741"/>
      <c r="O26" s="1747"/>
      <c r="P26" s="3728" t="s">
        <v>499</v>
      </c>
      <c r="Q26" s="1305" t="str">
        <f t="shared" si="8"/>
        <v>配套类型</v>
      </c>
      <c r="R26" s="1306" t="s">
        <v>5</v>
      </c>
      <c r="S26" s="1307">
        <f t="shared" ref="S26:S36" si="9">F26</f>
        <v>100</v>
      </c>
      <c r="T26" s="1306" t="s">
        <v>5</v>
      </c>
      <c r="U26" s="1307">
        <f t="shared" ref="U26:U36" si="10">H26</f>
        <v>100</v>
      </c>
      <c r="V26" s="1306" t="s">
        <v>5</v>
      </c>
      <c r="W26" s="1307">
        <f t="shared" ref="W26:W36" si="11">J26</f>
        <v>100</v>
      </c>
      <c r="X26" s="1301"/>
      <c r="Y26" s="3729" t="s">
        <v>499</v>
      </c>
      <c r="Z26" s="1308" t="str">
        <f t="shared" ref="Z26:Z36" si="12">Q26</f>
        <v>配套类型</v>
      </c>
      <c r="AA26" s="1308">
        <f t="shared" si="3"/>
        <v>1</v>
      </c>
      <c r="AB26" s="1308">
        <f t="shared" si="4"/>
        <v>1</v>
      </c>
      <c r="AC26" s="1308">
        <f t="shared" si="5"/>
        <v>1</v>
      </c>
    </row>
    <row r="27" spans="1:29" s="1132" customFormat="1" ht="15">
      <c r="A27" s="848"/>
      <c r="B27" s="235" t="s">
        <v>747</v>
      </c>
      <c r="C27" s="849"/>
      <c r="D27" s="235">
        <v>100</v>
      </c>
      <c r="E27" s="849"/>
      <c r="F27" s="525">
        <f>SUMIF(81:81,E27,82:82)-SUMIF(81:81,C27,82:82)+100</f>
        <v>100</v>
      </c>
      <c r="G27" s="849"/>
      <c r="H27" s="490">
        <f>SUMIF(81:81,G27,82:82)-SUMIF(81:81,C27,82:82)+100</f>
        <v>100</v>
      </c>
      <c r="I27" s="849"/>
      <c r="J27" s="490">
        <f>SUMIF(81:81,I27,82:82)-SUMIF(81:81,C27,82:82)+100</f>
        <v>100</v>
      </c>
      <c r="K27" s="531"/>
      <c r="L27" s="1746"/>
      <c r="M27" s="1770"/>
      <c r="N27" s="1770"/>
      <c r="O27" s="1749"/>
      <c r="P27" s="3729"/>
      <c r="Q27" s="817" t="str">
        <f t="shared" si="8"/>
        <v>项目停车位配比</v>
      </c>
      <c r="R27" s="1309" t="s">
        <v>5</v>
      </c>
      <c r="S27" s="1310">
        <f t="shared" si="9"/>
        <v>100</v>
      </c>
      <c r="T27" s="1309" t="s">
        <v>5</v>
      </c>
      <c r="U27" s="1310">
        <f t="shared" si="10"/>
        <v>100</v>
      </c>
      <c r="V27" s="1309" t="s">
        <v>5</v>
      </c>
      <c r="W27" s="1310">
        <f t="shared" si="11"/>
        <v>100</v>
      </c>
      <c r="X27" s="1311"/>
      <c r="Y27" s="3729"/>
      <c r="Z27" s="1312" t="str">
        <f t="shared" si="12"/>
        <v>项目停车位配比</v>
      </c>
      <c r="AA27" s="1308">
        <f t="shared" si="3"/>
        <v>1</v>
      </c>
      <c r="AB27" s="1308">
        <f t="shared" si="4"/>
        <v>1</v>
      </c>
      <c r="AC27" s="1308">
        <f t="shared" si="5"/>
        <v>1</v>
      </c>
    </row>
    <row r="28" spans="1:29" ht="15">
      <c r="A28" s="850"/>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8"/>
      <c r="M28" s="1741"/>
      <c r="N28" s="1741"/>
      <c r="O28" s="1747"/>
      <c r="P28" s="3729"/>
      <c r="Q28" s="1305" t="str">
        <f t="shared" si="8"/>
        <v>公共部分装修</v>
      </c>
      <c r="R28" s="1306" t="s">
        <v>5</v>
      </c>
      <c r="S28" s="1307">
        <f t="shared" si="9"/>
        <v>100</v>
      </c>
      <c r="T28" s="1306" t="s">
        <v>5</v>
      </c>
      <c r="U28" s="1307">
        <f t="shared" si="10"/>
        <v>100</v>
      </c>
      <c r="V28" s="1306" t="s">
        <v>5</v>
      </c>
      <c r="W28" s="1307">
        <f t="shared" si="11"/>
        <v>100</v>
      </c>
      <c r="X28" s="1301"/>
      <c r="Y28" s="3729"/>
      <c r="Z28" s="1308" t="str">
        <f t="shared" si="12"/>
        <v>公共部分装修</v>
      </c>
      <c r="AA28" s="1308">
        <f t="shared" si="3"/>
        <v>1</v>
      </c>
      <c r="AB28" s="1308">
        <f t="shared" si="4"/>
        <v>1</v>
      </c>
      <c r="AC28" s="1308">
        <f t="shared" si="5"/>
        <v>1</v>
      </c>
    </row>
    <row r="29" spans="1:29" ht="15">
      <c r="A29" s="850"/>
      <c r="B29" s="235" t="s">
        <v>749</v>
      </c>
      <c r="C29" s="804"/>
      <c r="D29" s="490">
        <v>100</v>
      </c>
      <c r="E29" s="806"/>
      <c r="F29" s="525" t="e">
        <f>LOOKUP(E29,86:86,87:87)-LOOKUP(C29,86:86,87:87)+100</f>
        <v>#N/A</v>
      </c>
      <c r="G29" s="806"/>
      <c r="H29" s="525" t="e">
        <f>LOOKUP(G29,86:86,87:87)-LOOKUP(C29,86:86,87:87)+100</f>
        <v>#N/A</v>
      </c>
      <c r="I29" s="806"/>
      <c r="J29" s="490" t="e">
        <f>LOOKUP(I29,86:86,87:87)-LOOKUP(C29,86:86,87:87)+100</f>
        <v>#N/A</v>
      </c>
      <c r="K29" s="533"/>
      <c r="L29" s="1748"/>
      <c r="M29" s="1741"/>
      <c r="N29" s="1741"/>
      <c r="O29" s="1747"/>
      <c r="P29" s="3729"/>
      <c r="Q29" s="1305" t="str">
        <f t="shared" si="8"/>
        <v>成新率</v>
      </c>
      <c r="R29" s="1306" t="s">
        <v>5</v>
      </c>
      <c r="S29" s="1307" t="e">
        <f t="shared" si="9"/>
        <v>#N/A</v>
      </c>
      <c r="T29" s="1306" t="s">
        <v>5</v>
      </c>
      <c r="U29" s="1307" t="e">
        <f t="shared" si="10"/>
        <v>#N/A</v>
      </c>
      <c r="V29" s="1306" t="s">
        <v>5</v>
      </c>
      <c r="W29" s="1307" t="e">
        <f t="shared" si="11"/>
        <v>#N/A</v>
      </c>
      <c r="X29" s="1301"/>
      <c r="Y29" s="3729"/>
      <c r="Z29" s="1308" t="str">
        <f t="shared" si="12"/>
        <v>成新率</v>
      </c>
      <c r="AA29" s="1308" t="e">
        <f t="shared" si="3"/>
        <v>#N/A</v>
      </c>
      <c r="AB29" s="1308" t="e">
        <f t="shared" si="4"/>
        <v>#N/A</v>
      </c>
      <c r="AC29" s="1308" t="e">
        <f t="shared" si="5"/>
        <v>#N/A</v>
      </c>
    </row>
    <row r="30" spans="1:29" ht="15">
      <c r="A30" s="850"/>
      <c r="B30" s="235" t="s">
        <v>750</v>
      </c>
      <c r="C30" s="851"/>
      <c r="D30" s="490">
        <v>100</v>
      </c>
      <c r="E30" s="851"/>
      <c r="F30" s="525">
        <f>SUMIF(88:88,E30,89:89)-SUMIF(88:88,C30,89:89)+100</f>
        <v>100</v>
      </c>
      <c r="G30" s="851"/>
      <c r="H30" s="490">
        <f>SUMIF(88:88,E30,89:89)-SUMIF(88:88,C30,89:89)+100</f>
        <v>100</v>
      </c>
      <c r="I30" s="851"/>
      <c r="J30" s="490">
        <f>SUMIF(88:88,E30,89:89)-SUMIF(88:88,C30,89:89)+100</f>
        <v>100</v>
      </c>
      <c r="K30" s="533"/>
      <c r="L30" s="1748"/>
      <c r="M30" s="1741"/>
      <c r="N30" s="1741"/>
      <c r="O30" s="1747"/>
      <c r="P30" s="3729"/>
      <c r="Q30" s="1305" t="str">
        <f t="shared" si="8"/>
        <v>物业等级</v>
      </c>
      <c r="R30" s="1306" t="s">
        <v>5</v>
      </c>
      <c r="S30" s="1307">
        <f t="shared" si="9"/>
        <v>100</v>
      </c>
      <c r="T30" s="1306" t="s">
        <v>5</v>
      </c>
      <c r="U30" s="1307">
        <f t="shared" si="10"/>
        <v>100</v>
      </c>
      <c r="V30" s="1306" t="s">
        <v>5</v>
      </c>
      <c r="W30" s="1307">
        <f t="shared" si="11"/>
        <v>100</v>
      </c>
      <c r="X30" s="1301"/>
      <c r="Y30" s="3729"/>
      <c r="Z30" s="1308" t="str">
        <f t="shared" si="12"/>
        <v>物业等级</v>
      </c>
      <c r="AA30" s="1308">
        <f t="shared" si="3"/>
        <v>1</v>
      </c>
      <c r="AB30" s="1308">
        <f t="shared" si="4"/>
        <v>1</v>
      </c>
      <c r="AC30" s="1308">
        <f t="shared" si="5"/>
        <v>1</v>
      </c>
    </row>
    <row r="31" spans="1:29" s="1058" customFormat="1" ht="15">
      <c r="A31" s="852"/>
      <c r="B31" s="235" t="s">
        <v>751</v>
      </c>
      <c r="C31" s="804"/>
      <c r="D31" s="235">
        <v>100</v>
      </c>
      <c r="E31" s="804"/>
      <c r="F31" s="525" t="e">
        <f>LOOKUP(E31,91:91,92:92)-LOOKUP(C31,91:91,92:92)+100</f>
        <v>#N/A</v>
      </c>
      <c r="G31" s="804"/>
      <c r="H31" s="490" t="e">
        <f>LOOKUP(G31,91:91,92:92)-LOOKUP(C31,91:91,92:92)+100</f>
        <v>#N/A</v>
      </c>
      <c r="I31" s="804"/>
      <c r="J31" s="490" t="e">
        <f>LOOKUP(I31,91:91,92:92)-LOOKUP(C31,91:91,92:92)+100</f>
        <v>#N/A</v>
      </c>
      <c r="K31" s="533"/>
      <c r="L31" s="1742"/>
      <c r="M31" s="1639"/>
      <c r="N31" s="1639"/>
      <c r="O31" s="1743"/>
      <c r="P31" s="3729"/>
      <c r="Q31" s="816" t="str">
        <f t="shared" si="8"/>
        <v>停车位面积</v>
      </c>
      <c r="R31" s="1302" t="s">
        <v>5</v>
      </c>
      <c r="S31" s="1303" t="e">
        <f t="shared" si="9"/>
        <v>#N/A</v>
      </c>
      <c r="T31" s="1302" t="s">
        <v>5</v>
      </c>
      <c r="U31" s="1303" t="e">
        <f t="shared" si="10"/>
        <v>#N/A</v>
      </c>
      <c r="V31" s="1302" t="s">
        <v>5</v>
      </c>
      <c r="W31" s="1303" t="e">
        <f t="shared" si="11"/>
        <v>#N/A</v>
      </c>
      <c r="X31" s="1304"/>
      <c r="Y31" s="3729"/>
      <c r="Z31" s="995" t="str">
        <f t="shared" si="12"/>
        <v>停车位面积</v>
      </c>
      <c r="AA31" s="995" t="e">
        <f t="shared" si="3"/>
        <v>#N/A</v>
      </c>
      <c r="AB31" s="995" t="e">
        <f t="shared" si="4"/>
        <v>#N/A</v>
      </c>
      <c r="AC31" s="995" t="e">
        <f t="shared" si="5"/>
        <v>#N/A</v>
      </c>
    </row>
    <row r="32" spans="1:29" ht="15">
      <c r="A32" s="850"/>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8"/>
      <c r="M32" s="1741"/>
      <c r="N32" s="1741"/>
      <c r="O32" s="1747"/>
      <c r="P32" s="3729" t="s">
        <v>499</v>
      </c>
      <c r="Q32" s="1305" t="str">
        <f t="shared" si="8"/>
        <v>车位类型</v>
      </c>
      <c r="R32" s="1306" t="s">
        <v>5</v>
      </c>
      <c r="S32" s="1307">
        <f t="shared" si="9"/>
        <v>100</v>
      </c>
      <c r="T32" s="1306" t="s">
        <v>5</v>
      </c>
      <c r="U32" s="1307">
        <f t="shared" si="10"/>
        <v>100</v>
      </c>
      <c r="V32" s="1306" t="s">
        <v>5</v>
      </c>
      <c r="W32" s="1307">
        <f t="shared" si="11"/>
        <v>100</v>
      </c>
      <c r="X32" s="1301"/>
      <c r="Y32" s="3729" t="s">
        <v>499</v>
      </c>
      <c r="Z32" s="1308" t="str">
        <f t="shared" si="12"/>
        <v>车位类型</v>
      </c>
      <c r="AA32" s="1308">
        <f t="shared" si="3"/>
        <v>1</v>
      </c>
      <c r="AB32" s="1308">
        <f t="shared" si="4"/>
        <v>1</v>
      </c>
      <c r="AC32" s="1308">
        <f t="shared" si="5"/>
        <v>1</v>
      </c>
    </row>
    <row r="33" spans="1:29" ht="15">
      <c r="A33" s="850"/>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8"/>
      <c r="M33" s="1741"/>
      <c r="N33" s="1741"/>
      <c r="O33" s="1747"/>
      <c r="P33" s="3729"/>
      <c r="Q33" s="1305" t="str">
        <f t="shared" si="8"/>
        <v>是否直接入户</v>
      </c>
      <c r="R33" s="1306" t="s">
        <v>5</v>
      </c>
      <c r="S33" s="1307">
        <f t="shared" si="9"/>
        <v>100</v>
      </c>
      <c r="T33" s="1306" t="s">
        <v>5</v>
      </c>
      <c r="U33" s="1307">
        <f t="shared" si="10"/>
        <v>100</v>
      </c>
      <c r="V33" s="1306" t="s">
        <v>5</v>
      </c>
      <c r="W33" s="1307">
        <f t="shared" si="11"/>
        <v>100</v>
      </c>
      <c r="X33" s="1301"/>
      <c r="Y33" s="3729"/>
      <c r="Z33" s="1308" t="str">
        <f t="shared" si="12"/>
        <v>是否直接入户</v>
      </c>
      <c r="AA33" s="1308">
        <f t="shared" si="3"/>
        <v>1</v>
      </c>
      <c r="AB33" s="1308">
        <f t="shared" si="4"/>
        <v>1</v>
      </c>
      <c r="AC33" s="1308">
        <f t="shared" si="5"/>
        <v>1</v>
      </c>
    </row>
    <row r="34" spans="1:29" ht="15">
      <c r="A34" s="850"/>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8"/>
      <c r="M34" s="1741"/>
      <c r="N34" s="1741"/>
      <c r="O34" s="1747"/>
      <c r="P34" s="3729"/>
      <c r="Q34" s="1305">
        <f t="shared" si="8"/>
        <v>111</v>
      </c>
      <c r="R34" s="1306" t="s">
        <v>5</v>
      </c>
      <c r="S34" s="1307">
        <f t="shared" si="9"/>
        <v>100</v>
      </c>
      <c r="T34" s="1306" t="s">
        <v>5</v>
      </c>
      <c r="U34" s="1307">
        <f t="shared" si="10"/>
        <v>100</v>
      </c>
      <c r="V34" s="1306" t="s">
        <v>5</v>
      </c>
      <c r="W34" s="1307">
        <f t="shared" si="11"/>
        <v>100</v>
      </c>
      <c r="X34" s="1301"/>
      <c r="Y34" s="3729"/>
      <c r="Z34" s="1308">
        <f t="shared" si="12"/>
        <v>111</v>
      </c>
      <c r="AA34" s="1308">
        <f t="shared" si="3"/>
        <v>1</v>
      </c>
      <c r="AB34" s="1308">
        <f t="shared" si="4"/>
        <v>1</v>
      </c>
      <c r="AC34" s="1308">
        <f t="shared" si="5"/>
        <v>1</v>
      </c>
    </row>
    <row r="35" spans="1:29" s="1132" customFormat="1" ht="15">
      <c r="A35" s="848"/>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6"/>
      <c r="M35" s="1770"/>
      <c r="N35" s="1770"/>
      <c r="O35" s="1749"/>
      <c r="P35" s="3729"/>
      <c r="Q35" s="817">
        <f t="shared" si="8"/>
        <v>111</v>
      </c>
      <c r="R35" s="1309" t="s">
        <v>5</v>
      </c>
      <c r="S35" s="1310">
        <f t="shared" si="9"/>
        <v>100</v>
      </c>
      <c r="T35" s="1309" t="s">
        <v>5</v>
      </c>
      <c r="U35" s="1310">
        <f t="shared" si="10"/>
        <v>100</v>
      </c>
      <c r="V35" s="1309" t="s">
        <v>5</v>
      </c>
      <c r="W35" s="1310">
        <f t="shared" si="11"/>
        <v>100</v>
      </c>
      <c r="X35" s="1311"/>
      <c r="Y35" s="3729"/>
      <c r="Z35" s="1312">
        <f t="shared" si="12"/>
        <v>111</v>
      </c>
      <c r="AA35" s="1308">
        <f t="shared" si="3"/>
        <v>1</v>
      </c>
      <c r="AB35" s="1308">
        <f t="shared" si="4"/>
        <v>1</v>
      </c>
      <c r="AC35" s="1308">
        <f t="shared" si="5"/>
        <v>1</v>
      </c>
    </row>
    <row r="36" spans="1:29" ht="15.75" thickBot="1">
      <c r="A36" s="853"/>
      <c r="B36" s="835">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8"/>
      <c r="M36" s="1741"/>
      <c r="N36" s="1741"/>
      <c r="O36" s="1747"/>
      <c r="P36" s="3729"/>
      <c r="Q36" s="1305">
        <f t="shared" si="8"/>
        <v>111</v>
      </c>
      <c r="R36" s="1306" t="s">
        <v>5</v>
      </c>
      <c r="S36" s="1307">
        <f t="shared" si="9"/>
        <v>100</v>
      </c>
      <c r="T36" s="1306" t="s">
        <v>5</v>
      </c>
      <c r="U36" s="1307">
        <f t="shared" si="10"/>
        <v>100</v>
      </c>
      <c r="V36" s="1306" t="s">
        <v>5</v>
      </c>
      <c r="W36" s="1307">
        <f t="shared" si="11"/>
        <v>100</v>
      </c>
      <c r="X36" s="1301"/>
      <c r="Y36" s="3729"/>
      <c r="Z36" s="1308">
        <f t="shared" si="12"/>
        <v>111</v>
      </c>
      <c r="AA36" s="1308">
        <f t="shared" si="3"/>
        <v>1</v>
      </c>
      <c r="AB36" s="1308">
        <f t="shared" si="4"/>
        <v>1</v>
      </c>
      <c r="AC36" s="1308">
        <f t="shared" si="5"/>
        <v>1</v>
      </c>
    </row>
    <row r="37" spans="1:29" ht="15">
      <c r="A37" s="1534" t="s">
        <v>1593</v>
      </c>
      <c r="B37" s="1535" t="s">
        <v>1594</v>
      </c>
      <c r="C37" s="2080" t="s">
        <v>0</v>
      </c>
      <c r="D37" s="559"/>
      <c r="E37" s="560"/>
      <c r="F37" s="561"/>
      <c r="G37" s="562"/>
      <c r="H37" s="563"/>
      <c r="I37" s="560"/>
      <c r="J37" s="563"/>
      <c r="K37" s="1334"/>
      <c r="L37" s="1750"/>
      <c r="M37" s="1741"/>
      <c r="N37" s="1741"/>
      <c r="O37" s="1741"/>
      <c r="P37" s="3724" t="str">
        <f>A37</f>
        <v>成交单价</v>
      </c>
      <c r="Q37" s="3724"/>
      <c r="R37" s="3740">
        <f>E37</f>
        <v>0</v>
      </c>
      <c r="S37" s="3740"/>
      <c r="T37" s="3740">
        <f>G37</f>
        <v>0</v>
      </c>
      <c r="U37" s="3740"/>
      <c r="V37" s="3740">
        <f>I37</f>
        <v>0</v>
      </c>
      <c r="W37" s="3740"/>
      <c r="X37" s="797"/>
      <c r="Y37" s="1313"/>
      <c r="Z37" s="797"/>
      <c r="AA37" s="797"/>
      <c r="AB37" s="797"/>
      <c r="AC37" s="797"/>
    </row>
    <row r="38" spans="1:29" ht="15.75" thickBot="1">
      <c r="A38" s="564" t="s">
        <v>2039</v>
      </c>
      <c r="B38" s="811"/>
      <c r="C38" s="2081" t="e">
        <f>R39</f>
        <v>#DIV/0!</v>
      </c>
      <c r="D38" s="2549" t="s">
        <v>2255</v>
      </c>
      <c r="E38" s="2082" t="e">
        <f>R38</f>
        <v>#DIV/0!</v>
      </c>
      <c r="F38" s="2550"/>
      <c r="G38" s="2081" t="e">
        <f>T38</f>
        <v>#DIV/0!</v>
      </c>
      <c r="H38" s="2550"/>
      <c r="I38" s="2082" t="e">
        <f>V38</f>
        <v>#DIV/0!</v>
      </c>
      <c r="J38" s="2550"/>
      <c r="K38" s="2557">
        <f>F38+H38+J38</f>
        <v>0</v>
      </c>
      <c r="L38" s="1750"/>
      <c r="M38" s="1741"/>
      <c r="N38" s="1741"/>
      <c r="O38" s="1741"/>
      <c r="P38" s="3724" t="str">
        <f>A38</f>
        <v>比较价格（元/平方米）</v>
      </c>
      <c r="Q38" s="3724"/>
      <c r="R38" s="3740" t="e">
        <f>IF(F1="售价",ROUND(PRODUCT(R37,AA7:AA36),0),ROUND(PRODUCT(R37,AA7:AA36),1))</f>
        <v>#DIV/0!</v>
      </c>
      <c r="S38" s="3740"/>
      <c r="T38" s="3740" t="e">
        <f>IF(F1="售价",ROUND(PRODUCT(T37,AB7:AB36),0),ROUND(PRODUCT(T37,AB7:AB36),1))</f>
        <v>#DIV/0!</v>
      </c>
      <c r="U38" s="3740"/>
      <c r="V38" s="3740" t="e">
        <f>IF(F1="售价",ROUND(PRODUCT(V37,AC7:AC36),0),ROUND(PRODUCT(V37,AC7:AC36),1))</f>
        <v>#DIV/0!</v>
      </c>
      <c r="W38" s="3740"/>
      <c r="X38" s="797"/>
      <c r="Y38" s="797"/>
      <c r="Z38" s="797"/>
      <c r="AA38" s="797"/>
      <c r="AB38" s="797"/>
      <c r="AC38" s="797"/>
    </row>
    <row r="39" spans="1:29" ht="15.75" thickBot="1">
      <c r="A39" s="568" t="s">
        <v>2192</v>
      </c>
      <c r="B39" s="569"/>
      <c r="C39" s="469" t="e">
        <f>R39</f>
        <v>#DIV/0!</v>
      </c>
      <c r="D39" s="469"/>
      <c r="E39" s="469"/>
      <c r="F39" s="469"/>
      <c r="G39" s="469"/>
      <c r="H39" s="469"/>
      <c r="I39" s="469"/>
      <c r="J39" s="469"/>
      <c r="K39" s="1335"/>
      <c r="L39" s="1750"/>
      <c r="M39" s="1741"/>
      <c r="N39" s="1741"/>
      <c r="O39" s="1741"/>
      <c r="P39" s="3730" t="str">
        <f>A39</f>
        <v>估价对象XX用房的比较价格（楼面单价，元/平方米）</v>
      </c>
      <c r="Q39" s="3731"/>
      <c r="R39" s="3835" t="e">
        <f>IF(F1="售价",ROUND(IF(D38="简单平均",AVERAGE(R38:W38),R38*F38+T38*H38+V38*J38),0),ROUND(IF(D38="简单平均",AVERAGE(R38:V38),R38*F38+T38*H38+V38*J38),1))</f>
        <v>#DIV/0!</v>
      </c>
      <c r="S39" s="3835"/>
      <c r="T39" s="3835"/>
      <c r="U39" s="3835"/>
      <c r="V39" s="3835"/>
      <c r="W39" s="3835"/>
      <c r="X39" s="797"/>
      <c r="Y39" s="797"/>
      <c r="Z39" s="797"/>
      <c r="AA39" s="797"/>
      <c r="AB39" s="797"/>
      <c r="AC39" s="797"/>
    </row>
    <row r="40" spans="1:29">
      <c r="A40" s="2720"/>
      <c r="B40" s="2720"/>
      <c r="C40" s="2720"/>
      <c r="D40" s="2720"/>
      <c r="E40" s="2720"/>
      <c r="F40" s="2720"/>
      <c r="G40" s="2722"/>
      <c r="H40" s="2720"/>
      <c r="I40" s="2720"/>
      <c r="J40" s="2720"/>
      <c r="K40" s="2723"/>
      <c r="L40" s="1754"/>
      <c r="M40" s="1741"/>
      <c r="N40" s="1741"/>
      <c r="O40" s="1741"/>
      <c r="P40" s="1741"/>
      <c r="Q40" s="1741"/>
      <c r="R40" s="1741"/>
      <c r="S40" s="1741"/>
      <c r="T40" s="1741"/>
      <c r="U40" s="1741"/>
      <c r="V40" s="1741"/>
      <c r="W40" s="1741"/>
      <c r="X40" s="1741"/>
      <c r="Y40" s="1741"/>
      <c r="Z40" s="1741"/>
      <c r="AA40" s="1741"/>
      <c r="AB40" s="1741"/>
      <c r="AC40" s="1741"/>
    </row>
    <row r="41" spans="1:29">
      <c r="A41" s="2720"/>
      <c r="B41" s="2720"/>
      <c r="C41" s="2720"/>
      <c r="D41" s="2720"/>
      <c r="E41" s="2720"/>
      <c r="F41" s="2720"/>
      <c r="G41" s="2720"/>
      <c r="H41" s="2720"/>
      <c r="I41" s="2720"/>
      <c r="J41" s="2720"/>
      <c r="K41" s="2723"/>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20"/>
      <c r="B42" s="2720"/>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3"/>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20"/>
      <c r="B43" s="2720"/>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3"/>
      <c r="L43" s="1754"/>
      <c r="M43" s="1741"/>
      <c r="N43" s="1741"/>
      <c r="O43" s="1741"/>
      <c r="P43" s="1741"/>
      <c r="Q43" s="1741"/>
      <c r="R43" s="1741"/>
      <c r="S43" s="1741"/>
      <c r="T43" s="1741"/>
      <c r="U43" s="1741"/>
      <c r="V43" s="1741"/>
      <c r="W43" s="1741"/>
      <c r="X43" s="1741"/>
      <c r="Y43" s="1741"/>
      <c r="Z43" s="1741"/>
      <c r="AA43" s="1741"/>
      <c r="AB43" s="1741"/>
      <c r="AC43" s="1741"/>
    </row>
    <row r="44" spans="1:29" s="1137" customFormat="1" ht="13.5" customHeight="1">
      <c r="A44" s="2721"/>
      <c r="B44" s="2721"/>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4"/>
      <c r="L44" s="1757"/>
      <c r="M44" s="1751"/>
      <c r="N44" s="1751"/>
      <c r="O44" s="1751"/>
      <c r="P44" s="1751"/>
      <c r="Q44" s="1751"/>
      <c r="R44" s="1751"/>
      <c r="S44" s="1751"/>
      <c r="T44" s="1751"/>
      <c r="U44" s="1751"/>
      <c r="V44" s="1751"/>
      <c r="W44" s="1751"/>
      <c r="X44" s="1751"/>
      <c r="Y44" s="1751"/>
      <c r="Z44" s="1751"/>
      <c r="AA44" s="1751"/>
      <c r="AB44" s="1751"/>
      <c r="AC44" s="1751"/>
    </row>
    <row r="45" spans="1:29" s="1137"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1.75" thickBot="1">
      <c r="A47" s="1316" t="s">
        <v>522</v>
      </c>
      <c r="B47" s="797"/>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39" customFormat="1" ht="15">
      <c r="A48" s="592" t="s">
        <v>478</v>
      </c>
      <c r="B48" s="593"/>
      <c r="C48" s="2112" t="str">
        <f>YEAR(C7)&amp;"-"&amp;MONTH(C7)</f>
        <v>2023-9</v>
      </c>
      <c r="D48" s="2114">
        <f>EDATE(C48,-1)</f>
        <v>45139</v>
      </c>
      <c r="E48" s="2114">
        <f t="shared" ref="E48:O48" si="13">EDATE(D48,-1)</f>
        <v>45108</v>
      </c>
      <c r="F48" s="2114">
        <f t="shared" si="13"/>
        <v>45078</v>
      </c>
      <c r="G48" s="2114">
        <f t="shared" si="13"/>
        <v>45047</v>
      </c>
      <c r="H48" s="2114">
        <f t="shared" si="13"/>
        <v>45017</v>
      </c>
      <c r="I48" s="2114">
        <f t="shared" si="13"/>
        <v>44986</v>
      </c>
      <c r="J48" s="2114">
        <f t="shared" si="13"/>
        <v>44958</v>
      </c>
      <c r="K48" s="2114">
        <f t="shared" si="13"/>
        <v>44927</v>
      </c>
      <c r="L48" s="2114">
        <f t="shared" si="13"/>
        <v>44896</v>
      </c>
      <c r="M48" s="2114">
        <f t="shared" si="13"/>
        <v>44866</v>
      </c>
      <c r="N48" s="2114">
        <f t="shared" si="13"/>
        <v>44835</v>
      </c>
      <c r="O48" s="2114">
        <f t="shared" si="13"/>
        <v>44805</v>
      </c>
      <c r="P48" s="1764"/>
      <c r="Q48" s="1764"/>
      <c r="R48" s="1764"/>
      <c r="S48" s="1764"/>
      <c r="T48" s="1764"/>
      <c r="U48" s="1764"/>
      <c r="V48" s="1764"/>
      <c r="W48" s="1764"/>
      <c r="X48" s="1764"/>
      <c r="Y48" s="1764"/>
      <c r="Z48" s="1764"/>
      <c r="AA48" s="1764"/>
      <c r="AB48" s="1764"/>
      <c r="AC48" s="1764"/>
    </row>
    <row r="49" spans="1:29" s="1058" customFormat="1" ht="15">
      <c r="A49" s="527"/>
      <c r="B49" s="594"/>
      <c r="C49" s="2113">
        <v>100</v>
      </c>
      <c r="D49" s="596"/>
      <c r="E49" s="596"/>
      <c r="F49" s="596"/>
      <c r="G49" s="596"/>
      <c r="H49" s="596"/>
      <c r="I49" s="596"/>
      <c r="J49" s="596"/>
      <c r="K49" s="596"/>
      <c r="L49" s="596"/>
      <c r="M49" s="487"/>
      <c r="N49" s="596"/>
      <c r="O49" s="597"/>
      <c r="P49" s="1762"/>
      <c r="Q49" s="1639"/>
      <c r="R49" s="1639"/>
      <c r="S49" s="1639"/>
      <c r="T49" s="1639"/>
      <c r="U49" s="1639"/>
      <c r="V49" s="1639"/>
      <c r="W49" s="1639"/>
      <c r="X49" s="1639"/>
      <c r="Y49" s="1639"/>
      <c r="Z49" s="1639"/>
      <c r="AA49" s="1639"/>
      <c r="AB49" s="1639"/>
      <c r="AC49" s="1639"/>
    </row>
    <row r="50" spans="1:29" s="1058" customFormat="1" ht="15.75" thickBot="1">
      <c r="A50" s="262" t="s">
        <v>523</v>
      </c>
      <c r="B50" s="598"/>
      <c r="C50" s="599"/>
      <c r="D50" s="600"/>
      <c r="E50" s="600"/>
      <c r="F50" s="600"/>
      <c r="G50" s="600"/>
      <c r="H50" s="600"/>
      <c r="I50" s="600"/>
      <c r="J50" s="600"/>
      <c r="K50" s="600"/>
      <c r="L50" s="600"/>
      <c r="M50" s="601"/>
      <c r="N50" s="600"/>
      <c r="O50" s="602"/>
      <c r="P50" s="1762"/>
      <c r="Q50" s="1762"/>
      <c r="R50" s="1639"/>
      <c r="S50" s="1639"/>
      <c r="T50" s="1639"/>
      <c r="U50" s="1639"/>
      <c r="V50" s="1639"/>
      <c r="W50" s="1639"/>
      <c r="X50" s="1639"/>
      <c r="Y50" s="1639"/>
      <c r="Z50" s="1639"/>
      <c r="AA50" s="1639"/>
      <c r="AB50" s="1639"/>
      <c r="AC50" s="1639"/>
    </row>
    <row r="51" spans="1:29" s="1058" customFormat="1" ht="15">
      <c r="A51" s="603" t="s">
        <v>480</v>
      </c>
      <c r="B51" s="594"/>
      <c r="C51" s="604" t="s">
        <v>524</v>
      </c>
      <c r="D51" s="80"/>
      <c r="E51" s="80"/>
      <c r="F51" s="80"/>
      <c r="G51" s="80"/>
      <c r="H51" s="80"/>
      <c r="I51" s="80"/>
      <c r="J51" s="80"/>
      <c r="K51" s="80"/>
      <c r="L51" s="605"/>
      <c r="M51" s="606"/>
      <c r="N51" s="1765"/>
      <c r="O51" s="1765"/>
      <c r="P51" s="1646"/>
      <c r="Q51" s="1762"/>
      <c r="R51" s="1639"/>
      <c r="S51" s="1639"/>
      <c r="T51" s="1639"/>
      <c r="U51" s="1639"/>
      <c r="V51" s="1639"/>
      <c r="W51" s="1639"/>
      <c r="X51" s="1639"/>
      <c r="Y51" s="1639"/>
      <c r="Z51" s="1639"/>
      <c r="AA51" s="1639"/>
      <c r="AB51" s="1639"/>
      <c r="AC51" s="1639"/>
    </row>
    <row r="52" spans="1:29" s="1058" customFormat="1" ht="15.75" thickBot="1">
      <c r="A52" s="603"/>
      <c r="B52" s="594"/>
      <c r="C52" s="595">
        <v>100</v>
      </c>
      <c r="D52" s="596"/>
      <c r="E52" s="596"/>
      <c r="F52" s="596"/>
      <c r="G52" s="596"/>
      <c r="H52" s="596"/>
      <c r="I52" s="596"/>
      <c r="J52" s="596"/>
      <c r="K52" s="596"/>
      <c r="L52" s="596"/>
      <c r="M52" s="597"/>
      <c r="N52" s="1765"/>
      <c r="O52" s="1765"/>
      <c r="P52" s="1762"/>
      <c r="Q52" s="1762"/>
      <c r="R52" s="1639"/>
      <c r="S52" s="1639"/>
      <c r="T52" s="1639"/>
      <c r="U52" s="1639"/>
      <c r="V52" s="1639"/>
      <c r="W52" s="1639"/>
      <c r="X52" s="1639"/>
      <c r="Y52" s="1639"/>
      <c r="Z52" s="1639"/>
      <c r="AA52" s="1639"/>
      <c r="AB52" s="1639"/>
      <c r="AC52" s="1639"/>
    </row>
    <row r="53" spans="1:29">
      <c r="A53" s="607" t="s">
        <v>525</v>
      </c>
      <c r="B53" s="608" t="s">
        <v>483</v>
      </c>
      <c r="C53" s="645">
        <f>C9</f>
        <v>0</v>
      </c>
      <c r="D53" s="547"/>
      <c r="E53" s="547"/>
      <c r="F53" s="547"/>
      <c r="G53" s="547"/>
      <c r="H53" s="547"/>
      <c r="I53" s="547"/>
      <c r="J53" s="547"/>
      <c r="K53" s="609"/>
      <c r="L53" s="610"/>
      <c r="M53" s="611"/>
      <c r="N53" s="1766"/>
      <c r="O53" s="1766"/>
      <c r="P53" s="1765"/>
      <c r="Q53" s="1762"/>
      <c r="R53" s="1741"/>
      <c r="S53" s="1741"/>
      <c r="T53" s="1741"/>
      <c r="U53" s="1741"/>
      <c r="V53" s="1741"/>
      <c r="W53" s="1741"/>
      <c r="X53" s="1741"/>
      <c r="Y53" s="1741"/>
      <c r="Z53" s="1741"/>
      <c r="AA53" s="1741"/>
      <c r="AB53" s="1741"/>
      <c r="AC53" s="1741"/>
    </row>
    <row r="54" spans="1:29" ht="15.75" thickBot="1">
      <c r="A54" s="482"/>
      <c r="B54" s="612"/>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27.75" thickTop="1">
      <c r="A55" s="482"/>
      <c r="B55" s="615" t="s">
        <v>486</v>
      </c>
      <c r="C55" s="658"/>
      <c r="D55" s="658"/>
      <c r="E55" s="658"/>
      <c r="F55" s="658"/>
      <c r="G55" s="658"/>
      <c r="H55" s="658"/>
      <c r="I55" s="658"/>
      <c r="J55" s="658"/>
      <c r="K55" s="659"/>
      <c r="L55" s="660"/>
      <c r="M55" s="661"/>
      <c r="N55" s="1766"/>
      <c r="O55" s="1766"/>
      <c r="P55" s="1765"/>
      <c r="Q55" s="1762"/>
      <c r="R55" s="1741"/>
      <c r="S55" s="1741"/>
      <c r="T55" s="1741"/>
      <c r="U55" s="1741"/>
      <c r="V55" s="1741"/>
      <c r="W55" s="1741"/>
      <c r="X55" s="1741"/>
      <c r="Y55" s="1741"/>
      <c r="Z55" s="1741"/>
      <c r="AA55" s="1741"/>
      <c r="AB55" s="1741"/>
      <c r="AC55" s="1741"/>
    </row>
    <row r="56" spans="1:29" ht="15.75" thickBot="1">
      <c r="A56" s="482"/>
      <c r="B56" s="620"/>
      <c r="C56" s="613"/>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ht="15.75" thickTop="1">
      <c r="A57" s="482"/>
      <c r="B57" s="854">
        <f>B11</f>
        <v>111</v>
      </c>
      <c r="C57" s="491"/>
      <c r="D57" s="491"/>
      <c r="E57" s="491"/>
      <c r="F57" s="491"/>
      <c r="G57" s="491"/>
      <c r="H57" s="491"/>
      <c r="I57" s="491"/>
      <c r="J57" s="491"/>
      <c r="K57" s="626"/>
      <c r="L57" s="627"/>
      <c r="M57" s="628"/>
      <c r="N57" s="1766"/>
      <c r="O57" s="1766"/>
      <c r="P57" s="1765"/>
      <c r="Q57" s="1762"/>
      <c r="R57" s="1741"/>
      <c r="S57" s="1741"/>
      <c r="T57" s="1741"/>
      <c r="U57" s="1741"/>
      <c r="V57" s="1741"/>
      <c r="W57" s="1741"/>
      <c r="X57" s="1741"/>
      <c r="Y57" s="1741"/>
      <c r="Z57" s="1741"/>
      <c r="AA57" s="1741"/>
      <c r="AB57" s="1741"/>
      <c r="AC57" s="1741"/>
    </row>
    <row r="58" spans="1:29" ht="15.75" thickBot="1">
      <c r="A58" s="482"/>
      <c r="B58" s="612"/>
      <c r="C58" s="634"/>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s="1132" customFormat="1" ht="15.75" thickTop="1">
      <c r="A59" s="629"/>
      <c r="B59" s="615">
        <f>B12</f>
        <v>111</v>
      </c>
      <c r="C59" s="491"/>
      <c r="D59" s="491"/>
      <c r="E59" s="491"/>
      <c r="F59" s="491"/>
      <c r="G59" s="630"/>
      <c r="H59" s="631"/>
      <c r="I59" s="631"/>
      <c r="J59" s="631"/>
      <c r="K59" s="631"/>
      <c r="L59" s="632"/>
      <c r="M59" s="633"/>
      <c r="N59" s="1768"/>
      <c r="O59" s="1768"/>
      <c r="P59" s="1768"/>
      <c r="Q59" s="1769"/>
      <c r="R59" s="1770"/>
      <c r="S59" s="1770"/>
      <c r="T59" s="1770"/>
      <c r="U59" s="1770"/>
      <c r="V59" s="1770"/>
      <c r="W59" s="1770"/>
      <c r="X59" s="1770"/>
      <c r="Y59" s="1770"/>
      <c r="Z59" s="1770"/>
      <c r="AA59" s="1770"/>
      <c r="AB59" s="1770"/>
      <c r="AC59" s="1770"/>
    </row>
    <row r="60" spans="1:29" s="1132" customFormat="1" ht="15.75" thickBot="1">
      <c r="A60" s="629"/>
      <c r="B60" s="620"/>
      <c r="C60" s="634"/>
      <c r="D60" s="613"/>
      <c r="E60" s="613"/>
      <c r="F60" s="613"/>
      <c r="G60" s="613"/>
      <c r="H60" s="613"/>
      <c r="I60" s="613"/>
      <c r="J60" s="613"/>
      <c r="K60" s="613"/>
      <c r="L60" s="613"/>
      <c r="M60" s="614"/>
      <c r="N60" s="1767"/>
      <c r="O60" s="1767"/>
      <c r="P60" s="1768"/>
      <c r="Q60" s="1769"/>
      <c r="R60" s="1770"/>
      <c r="S60" s="1770"/>
      <c r="T60" s="1770"/>
      <c r="U60" s="1770"/>
      <c r="V60" s="1770"/>
      <c r="W60" s="1770"/>
      <c r="X60" s="1770"/>
      <c r="Y60" s="1770"/>
      <c r="Z60" s="1770"/>
      <c r="AA60" s="1770"/>
      <c r="AB60" s="1770"/>
      <c r="AC60" s="1770"/>
    </row>
    <row r="61" spans="1:29" s="1132" customFormat="1" ht="15.75" thickTop="1">
      <c r="A61" s="629"/>
      <c r="B61" s="615">
        <f>B13</f>
        <v>111</v>
      </c>
      <c r="C61" s="630"/>
      <c r="D61" s="630"/>
      <c r="E61" s="630"/>
      <c r="F61" s="630"/>
      <c r="G61" s="630"/>
      <c r="H61" s="631"/>
      <c r="I61" s="631"/>
      <c r="J61" s="631"/>
      <c r="K61" s="631"/>
      <c r="L61" s="632"/>
      <c r="M61" s="633"/>
      <c r="N61" s="1768"/>
      <c r="O61" s="1768"/>
      <c r="P61" s="1770"/>
      <c r="Q61" s="1771"/>
      <c r="R61" s="1770"/>
      <c r="S61" s="1770"/>
      <c r="T61" s="1770"/>
      <c r="U61" s="1770"/>
      <c r="V61" s="1770"/>
      <c r="W61" s="1770"/>
      <c r="X61" s="1770"/>
      <c r="Y61" s="1770"/>
      <c r="Z61" s="1770"/>
      <c r="AA61" s="1770"/>
      <c r="AB61" s="1770"/>
      <c r="AC61" s="1770"/>
    </row>
    <row r="62" spans="1:29" s="1132" customFormat="1" ht="15.75" thickBot="1">
      <c r="A62" s="629"/>
      <c r="B62" s="620"/>
      <c r="C62" s="634"/>
      <c r="D62" s="634"/>
      <c r="E62" s="634"/>
      <c r="F62" s="634"/>
      <c r="G62" s="634"/>
      <c r="H62" s="635"/>
      <c r="I62" s="635"/>
      <c r="J62" s="635"/>
      <c r="K62" s="635"/>
      <c r="L62" s="635"/>
      <c r="M62" s="636"/>
      <c r="N62" s="1768"/>
      <c r="O62" s="1768"/>
      <c r="P62" s="1768"/>
      <c r="Q62" s="1769"/>
      <c r="R62" s="1770"/>
      <c r="S62" s="1770"/>
      <c r="T62" s="1770"/>
      <c r="U62" s="1770"/>
      <c r="V62" s="1770"/>
      <c r="W62" s="1770"/>
      <c r="X62" s="1770"/>
      <c r="Y62" s="1770"/>
      <c r="Z62" s="1770"/>
      <c r="AA62" s="1770"/>
      <c r="AB62" s="1770"/>
      <c r="AC62" s="1770"/>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6"/>
      <c r="O63" s="1766"/>
      <c r="P63" s="1773"/>
      <c r="Q63" s="1762"/>
      <c r="R63" s="1741"/>
      <c r="S63" s="1741"/>
      <c r="T63" s="1741"/>
      <c r="U63" s="1741"/>
      <c r="V63" s="1741"/>
      <c r="W63" s="1741"/>
      <c r="X63" s="1741"/>
      <c r="Y63" s="1741"/>
      <c r="Z63" s="1741"/>
      <c r="AA63" s="1741"/>
      <c r="AB63" s="1741"/>
      <c r="AC63" s="1741"/>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75" thickTop="1">
      <c r="A65" s="482"/>
      <c r="B65" s="1554" t="s">
        <v>1837</v>
      </c>
      <c r="C65" s="649" t="s">
        <v>527</v>
      </c>
      <c r="D65" s="649" t="s">
        <v>528</v>
      </c>
      <c r="E65" s="649" t="s">
        <v>529</v>
      </c>
      <c r="F65" s="649" t="s">
        <v>530</v>
      </c>
      <c r="G65" s="649" t="s">
        <v>531</v>
      </c>
      <c r="H65" s="616"/>
      <c r="I65" s="616"/>
      <c r="J65" s="616"/>
      <c r="K65" s="617"/>
      <c r="L65" s="618"/>
      <c r="M65" s="619"/>
      <c r="N65" s="1766"/>
      <c r="O65" s="1766"/>
      <c r="P65" s="1765"/>
      <c r="Q65" s="1762"/>
      <c r="R65" s="1741"/>
      <c r="S65" s="1741"/>
      <c r="T65" s="1741"/>
      <c r="U65" s="1741"/>
      <c r="V65" s="1741"/>
      <c r="W65" s="1741"/>
      <c r="X65" s="1741"/>
      <c r="Y65" s="1741"/>
      <c r="Z65" s="1741"/>
      <c r="AA65" s="1741"/>
      <c r="AB65" s="1741"/>
      <c r="AC65" s="1741"/>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7"/>
      <c r="O66" s="1767"/>
      <c r="P66" s="1765"/>
      <c r="Q66" s="1762"/>
      <c r="R66" s="1741"/>
      <c r="S66" s="1741"/>
      <c r="T66" s="1741"/>
      <c r="U66" s="1741"/>
      <c r="V66" s="1741"/>
      <c r="W66" s="1741"/>
      <c r="X66" s="1741"/>
      <c r="Y66" s="1741"/>
      <c r="Z66" s="1741"/>
      <c r="AA66" s="1741"/>
      <c r="AB66" s="1741"/>
      <c r="AC66" s="1741"/>
    </row>
    <row r="67" spans="1:29" ht="15.75" thickTop="1">
      <c r="A67" s="482"/>
      <c r="B67" s="2055" t="s">
        <v>1838</v>
      </c>
      <c r="C67" s="2056" t="s">
        <v>1839</v>
      </c>
      <c r="D67" s="2056" t="s">
        <v>1840</v>
      </c>
      <c r="E67" s="2056" t="s">
        <v>1841</v>
      </c>
      <c r="F67" s="2056" t="s">
        <v>1842</v>
      </c>
      <c r="G67" s="2056" t="s">
        <v>1843</v>
      </c>
      <c r="H67" s="616"/>
      <c r="I67" s="616"/>
      <c r="J67" s="616"/>
      <c r="K67" s="616"/>
      <c r="L67" s="616"/>
      <c r="M67" s="2059"/>
      <c r="N67" s="1767"/>
      <c r="O67" s="1767"/>
      <c r="P67" s="1765"/>
      <c r="Q67" s="1762"/>
      <c r="R67" s="1741"/>
      <c r="S67" s="1741"/>
      <c r="T67" s="1741"/>
      <c r="U67" s="1741"/>
      <c r="V67" s="1741"/>
      <c r="W67" s="1741"/>
      <c r="X67" s="1741"/>
      <c r="Y67" s="1741"/>
      <c r="Z67" s="1741"/>
      <c r="AA67" s="1741"/>
      <c r="AB67" s="1741"/>
      <c r="AC67" s="1741"/>
    </row>
    <row r="68" spans="1:29" ht="15.75" thickBot="1">
      <c r="A68" s="482"/>
      <c r="B68" s="623"/>
      <c r="C68" s="621">
        <v>100</v>
      </c>
      <c r="D68" s="621">
        <f>C68-$K18</f>
        <v>100</v>
      </c>
      <c r="E68" s="621">
        <f>D68-$K18</f>
        <v>100</v>
      </c>
      <c r="F68" s="621">
        <f>E68-$K18</f>
        <v>100</v>
      </c>
      <c r="G68" s="621">
        <f>F68-$K18</f>
        <v>100</v>
      </c>
      <c r="H68" s="854"/>
      <c r="I68" s="854"/>
      <c r="J68" s="854"/>
      <c r="K68" s="854"/>
      <c r="L68" s="854"/>
      <c r="M68" s="509"/>
      <c r="N68" s="1767"/>
      <c r="O68" s="1767"/>
      <c r="P68" s="1765"/>
      <c r="Q68" s="1762"/>
      <c r="R68" s="1741"/>
      <c r="S68" s="1741"/>
      <c r="T68" s="1741"/>
      <c r="U68" s="1741"/>
      <c r="V68" s="1741"/>
      <c r="W68" s="1741"/>
      <c r="X68" s="1741"/>
      <c r="Y68" s="1741"/>
      <c r="Z68" s="1741"/>
      <c r="AA68" s="1741"/>
      <c r="AB68" s="1741"/>
      <c r="AC68" s="1741"/>
    </row>
    <row r="69" spans="1:29" ht="15.75" thickTop="1">
      <c r="A69" s="482"/>
      <c r="B69" s="615" t="s">
        <v>684</v>
      </c>
      <c r="C69" s="649" t="s">
        <v>527</v>
      </c>
      <c r="D69" s="649" t="s">
        <v>528</v>
      </c>
      <c r="E69" s="649" t="s">
        <v>529</v>
      </c>
      <c r="F69" s="649" t="s">
        <v>530</v>
      </c>
      <c r="G69" s="649" t="s">
        <v>531</v>
      </c>
      <c r="H69" s="616"/>
      <c r="I69" s="616"/>
      <c r="J69" s="616"/>
      <c r="K69" s="617"/>
      <c r="L69" s="618"/>
      <c r="M69" s="619"/>
      <c r="N69" s="1766"/>
      <c r="O69" s="1766"/>
      <c r="P69" s="1765"/>
      <c r="Q69" s="1762"/>
      <c r="R69" s="1741"/>
      <c r="S69" s="1741"/>
      <c r="T69" s="1741"/>
      <c r="U69" s="1741"/>
      <c r="V69" s="1741"/>
      <c r="W69" s="1741"/>
      <c r="X69" s="1741"/>
      <c r="Y69" s="1741"/>
      <c r="Z69" s="1741"/>
      <c r="AA69" s="1741"/>
      <c r="AB69" s="1741"/>
      <c r="AC69" s="1741"/>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ht="15.75" thickTop="1">
      <c r="A71" s="482"/>
      <c r="B71" s="615" t="s">
        <v>685</v>
      </c>
      <c r="C71" s="630"/>
      <c r="D71" s="630"/>
      <c r="E71" s="630"/>
      <c r="F71" s="630"/>
      <c r="G71" s="630"/>
      <c r="H71" s="658"/>
      <c r="I71" s="658"/>
      <c r="J71" s="658"/>
      <c r="K71" s="659"/>
      <c r="L71" s="660"/>
      <c r="M71" s="661"/>
      <c r="N71" s="1766"/>
      <c r="O71" s="1766"/>
      <c r="P71" s="1765"/>
      <c r="Q71" s="1762"/>
      <c r="R71" s="1741"/>
      <c r="S71" s="1741"/>
      <c r="T71" s="1741"/>
      <c r="U71" s="1741"/>
      <c r="V71" s="1741"/>
      <c r="W71" s="1741"/>
      <c r="X71" s="1741"/>
      <c r="Y71" s="1741"/>
      <c r="Z71" s="1741"/>
      <c r="AA71" s="1741"/>
      <c r="AB71" s="1741"/>
      <c r="AC71" s="1741"/>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7"/>
      <c r="O72" s="1767"/>
      <c r="P72" s="1765"/>
      <c r="Q72" s="1762"/>
      <c r="R72" s="1741"/>
      <c r="S72" s="1741"/>
      <c r="T72" s="1741"/>
      <c r="U72" s="1741"/>
      <c r="V72" s="1741"/>
      <c r="W72" s="1741"/>
      <c r="X72" s="1741"/>
      <c r="Y72" s="1741"/>
      <c r="Z72" s="1741"/>
      <c r="AA72" s="1741"/>
      <c r="AB72" s="1741"/>
      <c r="AC72" s="1741"/>
    </row>
    <row r="73" spans="1:29" s="1058" customFormat="1" ht="15.75" thickTop="1">
      <c r="A73" s="486"/>
      <c r="B73" s="615">
        <f>B23</f>
        <v>111</v>
      </c>
      <c r="C73" s="491"/>
      <c r="D73" s="491"/>
      <c r="E73" s="491"/>
      <c r="F73" s="491"/>
      <c r="G73" s="630"/>
      <c r="H73" s="630"/>
      <c r="I73" s="630"/>
      <c r="J73" s="630"/>
      <c r="K73" s="630"/>
      <c r="L73" s="813"/>
      <c r="M73" s="814"/>
      <c r="N73" s="1765"/>
      <c r="O73" s="1765"/>
      <c r="P73" s="1765"/>
      <c r="Q73" s="1762"/>
      <c r="R73" s="1639"/>
      <c r="S73" s="1639"/>
      <c r="T73" s="1639"/>
      <c r="U73" s="1639"/>
      <c r="V73" s="1639"/>
      <c r="W73" s="1639"/>
      <c r="X73" s="1639"/>
      <c r="Y73" s="1639"/>
      <c r="Z73" s="1639"/>
      <c r="AA73" s="1639"/>
      <c r="AB73" s="1639"/>
      <c r="AC73" s="1639"/>
    </row>
    <row r="74" spans="1:29" s="1058" customFormat="1" ht="15.75"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058" customFormat="1" ht="15.75" thickTop="1">
      <c r="A75" s="486"/>
      <c r="B75" s="615">
        <f>B24</f>
        <v>111</v>
      </c>
      <c r="C75" s="491"/>
      <c r="D75" s="491"/>
      <c r="E75" s="491"/>
      <c r="F75" s="491"/>
      <c r="G75" s="630"/>
      <c r="H75" s="630"/>
      <c r="I75" s="630"/>
      <c r="J75" s="630"/>
      <c r="K75" s="630"/>
      <c r="L75" s="630"/>
      <c r="M75" s="814"/>
      <c r="N75" s="1765"/>
      <c r="O75" s="1765"/>
      <c r="P75" s="1765"/>
      <c r="Q75" s="1762"/>
      <c r="R75" s="1639"/>
      <c r="S75" s="1639"/>
      <c r="T75" s="1639"/>
      <c r="U75" s="1639"/>
      <c r="V75" s="1639"/>
      <c r="W75" s="1639"/>
      <c r="X75" s="1639"/>
      <c r="Y75" s="1639"/>
      <c r="Z75" s="1639"/>
      <c r="AA75" s="1639"/>
      <c r="AB75" s="1639"/>
      <c r="AC75" s="1639"/>
    </row>
    <row r="76" spans="1:29" s="1058" customFormat="1" ht="15.75" thickBot="1">
      <c r="A76" s="486"/>
      <c r="B76" s="620"/>
      <c r="C76" s="634"/>
      <c r="D76" s="613"/>
      <c r="E76" s="613"/>
      <c r="F76" s="613"/>
      <c r="G76" s="613"/>
      <c r="H76" s="613"/>
      <c r="I76" s="613"/>
      <c r="J76" s="613"/>
      <c r="K76" s="613"/>
      <c r="L76" s="613"/>
      <c r="M76" s="614"/>
      <c r="N76" s="1767"/>
      <c r="O76" s="1767"/>
      <c r="P76" s="1765"/>
      <c r="Q76" s="1762"/>
      <c r="R76" s="1639"/>
      <c r="S76" s="1639"/>
      <c r="T76" s="1639"/>
      <c r="U76" s="1639"/>
      <c r="V76" s="1639"/>
      <c r="W76" s="1639"/>
      <c r="X76" s="1639"/>
      <c r="Y76" s="1639"/>
      <c r="Z76" s="1639"/>
      <c r="AA76" s="1639"/>
      <c r="AB76" s="1639"/>
      <c r="AC76" s="1639"/>
    </row>
    <row r="77" spans="1:29" s="1132" customFormat="1" ht="15.75" thickTop="1">
      <c r="A77" s="629"/>
      <c r="B77" s="615">
        <f>B25</f>
        <v>111</v>
      </c>
      <c r="C77" s="630"/>
      <c r="D77" s="630"/>
      <c r="E77" s="630"/>
      <c r="F77" s="630"/>
      <c r="G77" s="630"/>
      <c r="H77" s="631"/>
      <c r="I77" s="631"/>
      <c r="J77" s="631"/>
      <c r="K77" s="631"/>
      <c r="L77" s="632"/>
      <c r="M77" s="633"/>
      <c r="N77" s="1768"/>
      <c r="O77" s="1768"/>
      <c r="P77" s="1768"/>
      <c r="Q77" s="1769"/>
      <c r="R77" s="1770"/>
      <c r="S77" s="1770"/>
      <c r="T77" s="1770"/>
      <c r="U77" s="1770"/>
      <c r="V77" s="1770"/>
      <c r="W77" s="1770"/>
      <c r="X77" s="1770"/>
      <c r="Y77" s="1770"/>
      <c r="Z77" s="1770"/>
      <c r="AA77" s="1770"/>
      <c r="AB77" s="1770"/>
      <c r="AC77" s="1770"/>
    </row>
    <row r="78" spans="1:29" s="1132" customFormat="1" ht="15.75" thickBot="1">
      <c r="A78" s="629"/>
      <c r="B78" s="620"/>
      <c r="C78" s="634"/>
      <c r="D78" s="634"/>
      <c r="E78" s="634"/>
      <c r="F78" s="634"/>
      <c r="G78" s="613"/>
      <c r="H78" s="613"/>
      <c r="I78" s="613"/>
      <c r="J78" s="613"/>
      <c r="K78" s="613"/>
      <c r="L78" s="613"/>
      <c r="M78" s="614"/>
      <c r="N78" s="1768"/>
      <c r="O78" s="1768"/>
      <c r="P78" s="1768"/>
      <c r="Q78" s="1769"/>
      <c r="R78" s="1770"/>
      <c r="S78" s="1770"/>
      <c r="T78" s="1770"/>
      <c r="U78" s="1770"/>
      <c r="V78" s="1770"/>
      <c r="W78" s="1770"/>
      <c r="X78" s="1770"/>
      <c r="Y78" s="1770"/>
      <c r="Z78" s="1770"/>
      <c r="AA78" s="1770"/>
      <c r="AB78" s="1770"/>
      <c r="AC78" s="1770"/>
    </row>
    <row r="79" spans="1:29" ht="27.75" thickTop="1">
      <c r="A79" s="607" t="s">
        <v>500</v>
      </c>
      <c r="B79" s="608" t="s">
        <v>754</v>
      </c>
      <c r="C79" s="645">
        <f>C26</f>
        <v>0</v>
      </c>
      <c r="D79" s="547"/>
      <c r="E79" s="547"/>
      <c r="F79" s="547"/>
      <c r="G79" s="547"/>
      <c r="H79" s="547"/>
      <c r="I79" s="547"/>
      <c r="J79" s="547"/>
      <c r="K79" s="609"/>
      <c r="L79" s="610"/>
      <c r="M79" s="611"/>
      <c r="N79" s="1766"/>
      <c r="O79" s="1766"/>
      <c r="P79" s="1765"/>
      <c r="Q79" s="1762"/>
      <c r="R79" s="1741"/>
      <c r="S79" s="1741"/>
      <c r="T79" s="1741"/>
      <c r="U79" s="1741"/>
      <c r="V79" s="1741"/>
      <c r="W79" s="1741"/>
      <c r="X79" s="1741"/>
      <c r="Y79" s="1741"/>
      <c r="Z79" s="1741"/>
      <c r="AA79" s="1741"/>
      <c r="AB79" s="1741"/>
      <c r="AC79" s="1741"/>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7"/>
      <c r="O80" s="1767"/>
      <c r="P80" s="1765"/>
      <c r="Q80" s="1762"/>
      <c r="R80" s="1741"/>
      <c r="S80" s="1741"/>
      <c r="T80" s="1741"/>
      <c r="U80" s="1741"/>
      <c r="V80" s="1741"/>
      <c r="W80" s="1741"/>
      <c r="X80" s="1741"/>
      <c r="Y80" s="1741"/>
      <c r="Z80" s="1741"/>
      <c r="AA80" s="1741"/>
      <c r="AB80" s="1741"/>
      <c r="AC80" s="1741"/>
    </row>
    <row r="81" spans="1:29" ht="15.75" thickTop="1">
      <c r="A81" s="482"/>
      <c r="B81" s="615" t="s">
        <v>755</v>
      </c>
      <c r="C81" s="855"/>
      <c r="D81" s="855"/>
      <c r="E81" s="855"/>
      <c r="F81" s="855"/>
      <c r="G81" s="855"/>
      <c r="H81" s="855"/>
      <c r="I81" s="855"/>
      <c r="J81" s="855"/>
      <c r="K81" s="856"/>
      <c r="L81" s="857"/>
      <c r="M81" s="858"/>
      <c r="N81" s="1765"/>
      <c r="O81" s="1765"/>
      <c r="P81" s="1765"/>
      <c r="Q81" s="1762"/>
      <c r="R81" s="1741"/>
      <c r="S81" s="1741"/>
      <c r="T81" s="1741"/>
      <c r="U81" s="1741"/>
      <c r="V81" s="1741"/>
      <c r="W81" s="1741"/>
      <c r="X81" s="1741"/>
      <c r="Y81" s="1741"/>
      <c r="Z81" s="1741"/>
      <c r="AA81" s="1741"/>
      <c r="AB81" s="1741"/>
      <c r="AC81" s="1741"/>
    </row>
    <row r="82" spans="1:29" s="1132" customFormat="1" ht="15.75" thickBot="1">
      <c r="A82" s="629"/>
      <c r="B82" s="620"/>
      <c r="C82" s="634"/>
      <c r="D82" s="613"/>
      <c r="E82" s="613"/>
      <c r="F82" s="613"/>
      <c r="G82" s="613"/>
      <c r="H82" s="613"/>
      <c r="I82" s="613"/>
      <c r="J82" s="613"/>
      <c r="K82" s="613"/>
      <c r="L82" s="613"/>
      <c r="M82" s="614"/>
      <c r="N82" s="1767"/>
      <c r="O82" s="1767"/>
      <c r="P82" s="1768"/>
      <c r="Q82" s="1769"/>
      <c r="R82" s="1770"/>
      <c r="S82" s="1770"/>
      <c r="T82" s="1770"/>
      <c r="U82" s="1770"/>
      <c r="V82" s="1770"/>
      <c r="W82" s="1770"/>
      <c r="X82" s="1770"/>
      <c r="Y82" s="1770"/>
      <c r="Z82" s="1770"/>
      <c r="AA82" s="1770"/>
      <c r="AB82" s="1770"/>
      <c r="AC82" s="1770"/>
    </row>
    <row r="83" spans="1:29" ht="15" thickTop="1">
      <c r="A83" s="543"/>
      <c r="B83" s="615" t="s">
        <v>691</v>
      </c>
      <c r="C83" s="630"/>
      <c r="D83" s="630"/>
      <c r="E83" s="658"/>
      <c r="F83" s="658"/>
      <c r="G83" s="658"/>
      <c r="H83" s="658"/>
      <c r="I83" s="658"/>
      <c r="J83" s="658"/>
      <c r="K83" s="659"/>
      <c r="L83" s="660"/>
      <c r="M83" s="661"/>
      <c r="N83" s="1766"/>
      <c r="O83" s="1766"/>
      <c r="P83" s="1765"/>
      <c r="Q83" s="1762"/>
      <c r="R83" s="1741"/>
      <c r="S83" s="1741"/>
      <c r="T83" s="1741"/>
      <c r="U83" s="1741"/>
      <c r="V83" s="1741"/>
      <c r="W83" s="1741"/>
      <c r="X83" s="1741"/>
      <c r="Y83" s="1741"/>
      <c r="Z83" s="1741"/>
      <c r="AA83" s="1741"/>
      <c r="AB83" s="1741"/>
      <c r="AC83" s="1741"/>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7"/>
      <c r="O84" s="1767"/>
      <c r="P84" s="1765"/>
      <c r="Q84" s="1762"/>
      <c r="R84" s="1741"/>
      <c r="S84" s="1741"/>
      <c r="T84" s="1741"/>
      <c r="U84" s="1741"/>
      <c r="V84" s="1741"/>
      <c r="W84" s="1741"/>
      <c r="X84" s="1741"/>
      <c r="Y84" s="1741"/>
      <c r="Z84" s="1741"/>
      <c r="AA84" s="1741"/>
      <c r="AB84" s="1741"/>
      <c r="AC84" s="1741"/>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6"/>
      <c r="O85" s="1766"/>
      <c r="P85" s="1765"/>
      <c r="Q85" s="1762"/>
      <c r="R85" s="1741"/>
      <c r="S85" s="1741"/>
      <c r="T85" s="1741"/>
      <c r="U85" s="1741"/>
      <c r="V85" s="1741"/>
      <c r="W85" s="1741"/>
      <c r="X85" s="1741"/>
      <c r="Y85" s="1741"/>
      <c r="Z85" s="1741"/>
      <c r="AA85" s="1741"/>
      <c r="AB85" s="1741"/>
      <c r="AC85" s="1741"/>
    </row>
    <row r="86" spans="1:29">
      <c r="A86" s="543"/>
      <c r="B86" s="623"/>
      <c r="C86" s="816">
        <v>0.5</v>
      </c>
      <c r="D86" s="816">
        <v>0.6</v>
      </c>
      <c r="E86" s="816">
        <v>0.7</v>
      </c>
      <c r="F86" s="816">
        <v>0.8</v>
      </c>
      <c r="G86" s="816">
        <v>0.9</v>
      </c>
      <c r="H86" s="816">
        <v>1.0001</v>
      </c>
      <c r="I86" s="826"/>
      <c r="J86" s="826"/>
      <c r="K86" s="827"/>
      <c r="L86" s="828"/>
      <c r="M86" s="829"/>
      <c r="N86" s="1766"/>
      <c r="O86" s="1766"/>
      <c r="P86" s="1765"/>
      <c r="Q86" s="1762"/>
      <c r="R86" s="1741"/>
      <c r="S86" s="1741"/>
      <c r="T86" s="1741"/>
      <c r="U86" s="1741"/>
      <c r="V86" s="1741"/>
      <c r="W86" s="1741"/>
      <c r="X86" s="1741"/>
      <c r="Y86" s="1741"/>
      <c r="Z86" s="1741"/>
      <c r="AA86" s="1741"/>
      <c r="AB86" s="1741"/>
      <c r="AC86" s="1741"/>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741"/>
      <c r="S87" s="1741"/>
      <c r="T87" s="1741"/>
      <c r="U87" s="1741"/>
      <c r="V87" s="1741"/>
      <c r="W87" s="1741"/>
      <c r="X87" s="1741"/>
      <c r="Y87" s="1741"/>
      <c r="Z87" s="1741"/>
      <c r="AA87" s="1741"/>
      <c r="AB87" s="1741"/>
      <c r="AC87" s="1741"/>
    </row>
    <row r="88" spans="1:29" ht="15" thickTop="1">
      <c r="A88" s="543"/>
      <c r="B88" s="623" t="s">
        <v>757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741"/>
      <c r="S89" s="1741"/>
      <c r="T89" s="1741"/>
      <c r="U89" s="1741"/>
      <c r="V89" s="1741"/>
      <c r="W89" s="1741"/>
      <c r="X89" s="1741"/>
      <c r="Y89" s="1741"/>
      <c r="Z89" s="1741"/>
      <c r="AA89" s="1741"/>
      <c r="AB89" s="1741"/>
      <c r="AC89" s="1741"/>
    </row>
    <row r="90" spans="1:29" s="1132"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8"/>
      <c r="O90" s="1768"/>
      <c r="P90" s="1768"/>
      <c r="Q90" s="1769"/>
      <c r="R90" s="1770"/>
      <c r="S90" s="1770"/>
      <c r="T90" s="1770"/>
      <c r="U90" s="1770"/>
      <c r="V90" s="1770"/>
      <c r="W90" s="1770"/>
      <c r="X90" s="1770"/>
      <c r="Y90" s="1770"/>
      <c r="Z90" s="1770"/>
      <c r="AA90" s="1770"/>
      <c r="AB90" s="1770"/>
      <c r="AC90" s="1770"/>
    </row>
    <row r="91" spans="1:29" s="1132" customFormat="1">
      <c r="A91" s="552"/>
      <c r="B91" s="623"/>
      <c r="C91" s="79"/>
      <c r="D91" s="79"/>
      <c r="E91" s="79"/>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2" customFormat="1" ht="15.75" thickBot="1">
      <c r="A92" s="629"/>
      <c r="B92" s="620"/>
      <c r="C92" s="634"/>
      <c r="D92" s="613"/>
      <c r="E92" s="613"/>
      <c r="F92" s="613"/>
      <c r="G92" s="613"/>
      <c r="H92" s="613"/>
      <c r="I92" s="613"/>
      <c r="J92" s="613"/>
      <c r="K92" s="613"/>
      <c r="L92" s="613"/>
      <c r="M92" s="614"/>
      <c r="N92" s="1768"/>
      <c r="O92" s="1768"/>
      <c r="P92" s="1768"/>
      <c r="Q92" s="1769"/>
      <c r="R92" s="1770"/>
      <c r="S92" s="1770"/>
      <c r="T92" s="1770"/>
      <c r="U92" s="1770"/>
      <c r="V92" s="1770"/>
      <c r="W92" s="1770"/>
      <c r="X92" s="1770"/>
      <c r="Y92" s="1770"/>
      <c r="Z92" s="1770"/>
      <c r="AA92" s="1770"/>
      <c r="AB92" s="1770"/>
      <c r="AC92" s="1770"/>
    </row>
    <row r="93" spans="1:29" ht="15" thickTop="1">
      <c r="A93" s="543"/>
      <c r="B93" s="615" t="s">
        <v>759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760</v>
      </c>
      <c r="C95" s="547"/>
      <c r="D95" s="547"/>
      <c r="E95" s="547"/>
      <c r="F95" s="547"/>
      <c r="G95" s="547"/>
      <c r="H95" s="547"/>
      <c r="I95" s="547"/>
      <c r="J95" s="547"/>
      <c r="K95" s="609"/>
      <c r="L95" s="610"/>
      <c r="M95" s="611"/>
      <c r="N95" s="1766"/>
      <c r="O95" s="1766"/>
      <c r="P95" s="1765"/>
      <c r="Q95" s="1762"/>
      <c r="R95" s="1741"/>
      <c r="S95" s="1741"/>
      <c r="T95" s="1741"/>
      <c r="U95" s="1741"/>
      <c r="V95" s="1741"/>
      <c r="W95" s="1741"/>
      <c r="X95" s="1741"/>
      <c r="Y95" s="1741"/>
      <c r="Z95" s="1741"/>
      <c r="AA95" s="1741"/>
      <c r="AB95" s="1741"/>
      <c r="AC95" s="1741"/>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ht="15" thickTop="1">
      <c r="A97" s="543"/>
      <c r="B97" s="837">
        <f>B34</f>
        <v>111</v>
      </c>
      <c r="C97" s="491"/>
      <c r="D97" s="491"/>
      <c r="E97" s="491"/>
      <c r="F97" s="491"/>
      <c r="G97" s="630"/>
      <c r="H97" s="631"/>
      <c r="I97" s="631"/>
      <c r="J97" s="631"/>
      <c r="K97" s="631"/>
      <c r="L97" s="632"/>
      <c r="M97" s="633"/>
      <c r="N97" s="1767"/>
      <c r="O97" s="1767"/>
      <c r="P97" s="1767"/>
      <c r="Q97" s="1802"/>
      <c r="R97" s="1741"/>
      <c r="S97" s="1741"/>
      <c r="T97" s="1741"/>
      <c r="U97" s="1741"/>
      <c r="V97" s="1741"/>
      <c r="W97" s="1741"/>
      <c r="X97" s="1741"/>
      <c r="Y97" s="1741"/>
      <c r="Z97" s="1741"/>
      <c r="AA97" s="1741"/>
      <c r="AB97" s="1741"/>
      <c r="AC97" s="1741"/>
    </row>
    <row r="98" spans="1:29" ht="15.75" thickBot="1">
      <c r="A98" s="482"/>
      <c r="B98" s="620"/>
      <c r="C98" s="634"/>
      <c r="D98" s="613"/>
      <c r="E98" s="613"/>
      <c r="F98" s="613"/>
      <c r="G98" s="634"/>
      <c r="H98" s="635"/>
      <c r="I98" s="635"/>
      <c r="J98" s="635"/>
      <c r="K98" s="635"/>
      <c r="L98" s="635"/>
      <c r="M98" s="636"/>
      <c r="N98" s="1767"/>
      <c r="O98" s="1767"/>
      <c r="P98" s="1765"/>
      <c r="Q98" s="1762"/>
      <c r="R98" s="1741"/>
      <c r="S98" s="1741"/>
      <c r="T98" s="1741"/>
      <c r="U98" s="1741"/>
      <c r="V98" s="1741"/>
      <c r="W98" s="1741"/>
      <c r="X98" s="1741"/>
      <c r="Y98" s="1741"/>
      <c r="Z98" s="1741"/>
      <c r="AA98" s="1741"/>
      <c r="AB98" s="1741"/>
      <c r="AC98" s="1741"/>
    </row>
    <row r="99" spans="1:29" s="1132" customFormat="1" ht="15" thickTop="1">
      <c r="A99" s="552"/>
      <c r="B99" s="615">
        <f>B35</f>
        <v>111</v>
      </c>
      <c r="C99" s="491"/>
      <c r="D99" s="491"/>
      <c r="E99" s="491"/>
      <c r="F99" s="491"/>
      <c r="G99" s="630"/>
      <c r="H99" s="631"/>
      <c r="I99" s="631"/>
      <c r="J99" s="631"/>
      <c r="K99" s="631"/>
      <c r="L99" s="632"/>
      <c r="M99" s="633"/>
      <c r="N99" s="1768"/>
      <c r="O99" s="1768"/>
      <c r="P99" s="1768"/>
      <c r="Q99" s="1769"/>
      <c r="R99" s="1770"/>
      <c r="S99" s="1770"/>
      <c r="T99" s="1770"/>
      <c r="U99" s="1770"/>
      <c r="V99" s="1770"/>
      <c r="W99" s="1770"/>
      <c r="X99" s="1770"/>
      <c r="Y99" s="1770"/>
      <c r="Z99" s="1770"/>
      <c r="AA99" s="1770"/>
      <c r="AB99" s="1770"/>
      <c r="AC99" s="1770"/>
    </row>
    <row r="100" spans="1:29" s="1132" customFormat="1" ht="15.75" thickBot="1">
      <c r="A100" s="629"/>
      <c r="B100" s="612"/>
      <c r="C100" s="634"/>
      <c r="D100" s="613"/>
      <c r="E100" s="613"/>
      <c r="F100" s="613"/>
      <c r="G100" s="634"/>
      <c r="H100" s="635"/>
      <c r="I100" s="635"/>
      <c r="J100" s="635"/>
      <c r="K100" s="635"/>
      <c r="L100" s="635"/>
      <c r="M100" s="636"/>
      <c r="N100" s="1768"/>
      <c r="O100" s="1768"/>
      <c r="P100" s="1768"/>
      <c r="Q100" s="1769"/>
      <c r="R100" s="1770"/>
      <c r="S100" s="1770"/>
      <c r="T100" s="1770"/>
      <c r="U100" s="1770"/>
      <c r="V100" s="1770"/>
      <c r="W100" s="1770"/>
      <c r="X100" s="1770"/>
      <c r="Y100" s="1770"/>
      <c r="Z100" s="1770"/>
      <c r="AA100" s="1770"/>
      <c r="AB100" s="1770"/>
      <c r="AC100" s="1770"/>
    </row>
    <row r="101" spans="1:29" ht="15" thickTop="1">
      <c r="A101" s="543"/>
      <c r="B101" s="615">
        <f>B36</f>
        <v>111</v>
      </c>
      <c r="C101" s="630"/>
      <c r="D101" s="630"/>
      <c r="E101" s="630"/>
      <c r="F101" s="630"/>
      <c r="G101" s="630"/>
      <c r="H101" s="631"/>
      <c r="I101" s="631"/>
      <c r="J101" s="631"/>
      <c r="K101" s="631"/>
      <c r="L101" s="632"/>
      <c r="M101" s="633"/>
      <c r="N101" s="1766"/>
      <c r="O101" s="1766"/>
      <c r="P101" s="1765"/>
      <c r="Q101" s="1762"/>
      <c r="R101" s="1741"/>
      <c r="S101" s="1741"/>
      <c r="T101" s="1741"/>
      <c r="U101" s="1741"/>
      <c r="V101" s="1741"/>
      <c r="W101" s="1741"/>
      <c r="X101" s="1741"/>
      <c r="Y101" s="1741"/>
      <c r="Z101" s="1741"/>
      <c r="AA101" s="1741"/>
      <c r="AB101" s="1741"/>
      <c r="AC101" s="1741"/>
    </row>
    <row r="102" spans="1:29" ht="15.75" thickBot="1">
      <c r="A102" s="482"/>
      <c r="B102" s="620"/>
      <c r="C102" s="634"/>
      <c r="D102" s="634"/>
      <c r="E102" s="634"/>
      <c r="F102" s="634"/>
      <c r="G102" s="634"/>
      <c r="H102" s="635"/>
      <c r="I102" s="635"/>
      <c r="J102" s="635"/>
      <c r="K102" s="635"/>
      <c r="L102" s="635"/>
      <c r="M102" s="636"/>
      <c r="N102" s="1767"/>
      <c r="O102" s="1767"/>
      <c r="P102" s="1765"/>
      <c r="Q102" s="1762"/>
      <c r="R102" s="1741"/>
      <c r="S102" s="1741"/>
      <c r="T102" s="1741"/>
      <c r="U102" s="1741"/>
      <c r="V102" s="1741"/>
      <c r="W102" s="1741"/>
      <c r="X102" s="1741"/>
      <c r="Y102" s="1741"/>
      <c r="Z102" s="1741"/>
      <c r="AA102" s="1741"/>
      <c r="AB102" s="1741"/>
      <c r="AC102" s="1741"/>
    </row>
    <row r="103" spans="1:29" ht="15"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843"/>
      <c r="C1" s="455" t="s">
        <v>732</v>
      </c>
      <c r="D1" s="781"/>
      <c r="E1" s="457"/>
      <c r="F1" s="2117"/>
      <c r="G1" s="1327" t="s">
        <v>733</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734</v>
      </c>
      <c r="B2" s="782" t="e">
        <f>ROUND(B3*D3/10000,0)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735</v>
      </c>
      <c r="B3" s="461" t="e">
        <f>C37</f>
        <v>#DIV/0!</v>
      </c>
      <c r="C3" s="784" t="s">
        <v>736</v>
      </c>
      <c r="D3" s="783">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5">
      <c r="A4" s="463" t="s">
        <v>737</v>
      </c>
      <c r="B4" s="464"/>
      <c r="C4" s="3732" t="s">
        <v>738</v>
      </c>
      <c r="D4" s="3733"/>
      <c r="E4" s="3769" t="s">
        <v>739</v>
      </c>
      <c r="F4" s="3770"/>
      <c r="G4" s="3732" t="s">
        <v>740</v>
      </c>
      <c r="H4" s="3733"/>
      <c r="I4" s="3732" t="s">
        <v>741</v>
      </c>
      <c r="J4" s="3733"/>
      <c r="K4" s="465" t="s">
        <v>742</v>
      </c>
      <c r="L4" s="1740"/>
      <c r="M4" s="1741"/>
      <c r="N4" s="1741"/>
      <c r="O4" s="1741"/>
      <c r="P4" s="3734" t="s">
        <v>743</v>
      </c>
      <c r="Q4" s="3735"/>
      <c r="R4" s="3718" t="s">
        <v>739</v>
      </c>
      <c r="S4" s="3719"/>
      <c r="T4" s="3718" t="s">
        <v>740</v>
      </c>
      <c r="U4" s="3719"/>
      <c r="V4" s="3740" t="s">
        <v>741</v>
      </c>
      <c r="W4" s="3740"/>
      <c r="X4" s="1301"/>
      <c r="Y4" s="3718" t="s">
        <v>743</v>
      </c>
      <c r="Z4" s="3719"/>
      <c r="AA4" s="3713" t="s">
        <v>739</v>
      </c>
      <c r="AB4" s="3714" t="s">
        <v>740</v>
      </c>
      <c r="AC4" s="3713" t="s">
        <v>741</v>
      </c>
    </row>
    <row r="5" spans="1:29" ht="15">
      <c r="A5" s="466"/>
      <c r="B5" s="467"/>
      <c r="C5" s="3743" t="s">
        <v>2186</v>
      </c>
      <c r="D5" s="3744"/>
      <c r="E5" s="3771" t="s">
        <v>2187</v>
      </c>
      <c r="F5" s="3772"/>
      <c r="G5" s="3743" t="s">
        <v>2188</v>
      </c>
      <c r="H5" s="3744"/>
      <c r="I5" s="3743" t="s">
        <v>2189</v>
      </c>
      <c r="J5" s="3744"/>
      <c r="K5" s="465"/>
      <c r="L5" s="1740"/>
      <c r="M5" s="1741"/>
      <c r="N5" s="1741"/>
      <c r="O5" s="1741"/>
      <c r="P5" s="3736"/>
      <c r="Q5" s="3737"/>
      <c r="R5" s="3720"/>
      <c r="S5" s="3721"/>
      <c r="T5" s="3720"/>
      <c r="U5" s="3721"/>
      <c r="V5" s="3740"/>
      <c r="W5" s="3740"/>
      <c r="X5" s="1301"/>
      <c r="Y5" s="3720"/>
      <c r="Z5" s="3721"/>
      <c r="AA5" s="3714"/>
      <c r="AB5" s="3714"/>
      <c r="AC5" s="3714"/>
    </row>
    <row r="6" spans="1:29" ht="15.75" thickBot="1">
      <c r="A6" s="468"/>
      <c r="B6" s="469"/>
      <c r="C6" s="3741" t="s">
        <v>2190</v>
      </c>
      <c r="D6" s="3742"/>
      <c r="E6" s="3773" t="s">
        <v>2190</v>
      </c>
      <c r="F6" s="3774"/>
      <c r="G6" s="3741" t="s">
        <v>2190</v>
      </c>
      <c r="H6" s="3742"/>
      <c r="I6" s="3741" t="s">
        <v>2190</v>
      </c>
      <c r="J6" s="3742"/>
      <c r="K6" s="465" t="s">
        <v>477</v>
      </c>
      <c r="L6" s="1740"/>
      <c r="M6" s="1741"/>
      <c r="N6" s="1741"/>
      <c r="O6" s="1741"/>
      <c r="P6" s="3738"/>
      <c r="Q6" s="3739"/>
      <c r="R6" s="3720"/>
      <c r="S6" s="3721"/>
      <c r="T6" s="3722"/>
      <c r="U6" s="3723"/>
      <c r="V6" s="3740"/>
      <c r="W6" s="3740"/>
      <c r="X6" s="1301"/>
      <c r="Y6" s="3722"/>
      <c r="Z6" s="3723"/>
      <c r="AA6" s="3715"/>
      <c r="AB6" s="3715"/>
      <c r="AC6" s="3715"/>
    </row>
    <row r="7" spans="1:29" s="1058" customFormat="1" ht="15.75" thickBot="1">
      <c r="A7" s="2208"/>
      <c r="B7" s="2215" t="s">
        <v>478</v>
      </c>
      <c r="C7" s="470">
        <f>'数据-取费表'!B2</f>
        <v>45196</v>
      </c>
      <c r="D7" s="471">
        <v>100</v>
      </c>
      <c r="E7" s="472"/>
      <c r="F7" s="473">
        <f>SUMIF(46:46,YEAR(E7)&amp;"-"&amp;MONTH(E7),47:47)</f>
        <v>0</v>
      </c>
      <c r="G7" s="474"/>
      <c r="H7" s="471">
        <f>SUMIF(46:46,YEAR(G7)&amp;"-"&amp;MONTH(G7),47:47)</f>
        <v>0</v>
      </c>
      <c r="I7" s="474"/>
      <c r="J7" s="471">
        <f>SUMIF(46:46,YEAR(I7)&amp;"-"&amp;MONTH(I7),47:47)</f>
        <v>0</v>
      </c>
      <c r="K7" s="88"/>
      <c r="L7" s="1742"/>
      <c r="M7" s="1639"/>
      <c r="N7" s="1639"/>
      <c r="O7" s="1639"/>
      <c r="P7" s="3716" t="s">
        <v>479</v>
      </c>
      <c r="Q7" s="3725"/>
      <c r="R7" s="1302" t="s">
        <v>5</v>
      </c>
      <c r="S7" s="1303">
        <f t="shared" ref="S7:S14" si="0">F7</f>
        <v>0</v>
      </c>
      <c r="T7" s="1302" t="s">
        <v>5</v>
      </c>
      <c r="U7" s="1303">
        <f t="shared" ref="U7:U14" si="1">H7</f>
        <v>0</v>
      </c>
      <c r="V7" s="1302" t="s">
        <v>5</v>
      </c>
      <c r="W7" s="1303">
        <f t="shared" ref="W7:W14" si="2">J7</f>
        <v>0</v>
      </c>
      <c r="X7" s="1304"/>
      <c r="Y7" s="3716" t="s">
        <v>479</v>
      </c>
      <c r="Z7" s="3717"/>
      <c r="AA7" s="995" t="e">
        <f>D7/F7</f>
        <v>#DIV/0!</v>
      </c>
      <c r="AB7" s="995" t="e">
        <f>D7/H7</f>
        <v>#DIV/0!</v>
      </c>
      <c r="AC7" s="995" t="e">
        <f>D7/J7</f>
        <v>#DIV/0!</v>
      </c>
    </row>
    <row r="8" spans="1:29" s="1058" customFormat="1" ht="15.7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2"/>
      <c r="M8" s="1639"/>
      <c r="N8" s="1639"/>
      <c r="O8" s="1639"/>
      <c r="P8" s="3716" t="s">
        <v>482</v>
      </c>
      <c r="Q8" s="3717"/>
      <c r="R8" s="1302" t="s">
        <v>5</v>
      </c>
      <c r="S8" s="1303">
        <f t="shared" si="0"/>
        <v>0</v>
      </c>
      <c r="T8" s="1302" t="s">
        <v>5</v>
      </c>
      <c r="U8" s="1303">
        <f t="shared" si="1"/>
        <v>0</v>
      </c>
      <c r="V8" s="1302" t="s">
        <v>5</v>
      </c>
      <c r="W8" s="1303">
        <f t="shared" si="2"/>
        <v>0</v>
      </c>
      <c r="X8" s="1304"/>
      <c r="Y8" s="3716" t="s">
        <v>482</v>
      </c>
      <c r="Z8" s="3717"/>
      <c r="AA8" s="995" t="e">
        <f t="shared" ref="AA8:AA34" si="3">D8/F8</f>
        <v>#DIV/0!</v>
      </c>
      <c r="AB8" s="995" t="e">
        <f t="shared" ref="AB8:AB34" si="4">D8/H8</f>
        <v>#DIV/0!</v>
      </c>
      <c r="AC8" s="995" t="e">
        <f t="shared" ref="AC8:AC34" si="5">D8/J8</f>
        <v>#DIV/0!</v>
      </c>
    </row>
    <row r="9" spans="1:29" s="1058" customFormat="1" ht="15">
      <c r="A9" s="2210"/>
      <c r="B9" s="2217" t="s">
        <v>2035</v>
      </c>
      <c r="C9" s="789"/>
      <c r="D9" s="154">
        <v>100</v>
      </c>
      <c r="E9" s="791"/>
      <c r="F9" s="154">
        <f>SUMIF(51:51,E9,52:52)-SUMIF(51:51,C9,52:52)+100</f>
        <v>100</v>
      </c>
      <c r="G9" s="791"/>
      <c r="H9" s="154">
        <f>SUMIF(51:51,G9,52:52)-SUMIF(51:51,C9,52:52)+100</f>
        <v>100</v>
      </c>
      <c r="I9" s="791"/>
      <c r="J9" s="154">
        <f>SUMIF(51:51,I9,52:52)-SUMIF(51:51,C9,52:52)+100</f>
        <v>100</v>
      </c>
      <c r="K9" s="88"/>
      <c r="L9" s="1742"/>
      <c r="M9" s="1639"/>
      <c r="N9" s="1639"/>
      <c r="O9" s="1743"/>
      <c r="P9" s="3724" t="s">
        <v>484</v>
      </c>
      <c r="Q9" s="816" t="str">
        <f t="shared" ref="Q9:Q14" si="6">B9</f>
        <v>用途</v>
      </c>
      <c r="R9" s="1302" t="s">
        <v>5</v>
      </c>
      <c r="S9" s="1303">
        <f t="shared" si="0"/>
        <v>100</v>
      </c>
      <c r="T9" s="1302" t="s">
        <v>5</v>
      </c>
      <c r="U9" s="1303">
        <f t="shared" si="1"/>
        <v>100</v>
      </c>
      <c r="V9" s="1302" t="s">
        <v>5</v>
      </c>
      <c r="W9" s="1303">
        <f t="shared" si="2"/>
        <v>100</v>
      </c>
      <c r="X9" s="1304"/>
      <c r="Y9" s="3672" t="s">
        <v>485</v>
      </c>
      <c r="Z9" s="995" t="str">
        <f t="shared" ref="Z9:Z14" si="7">Q9</f>
        <v>用途</v>
      </c>
      <c r="AA9" s="995">
        <f t="shared" si="3"/>
        <v>1</v>
      </c>
      <c r="AB9" s="995">
        <f t="shared" si="4"/>
        <v>1</v>
      </c>
      <c r="AC9" s="995">
        <f t="shared" si="5"/>
        <v>1</v>
      </c>
    </row>
    <row r="10" spans="1:29" s="1131" customFormat="1" ht="27">
      <c r="A10" s="2211"/>
      <c r="B10" s="2216" t="s">
        <v>2036</v>
      </c>
      <c r="C10" s="3386"/>
      <c r="D10" s="235">
        <v>100</v>
      </c>
      <c r="E10" s="3386"/>
      <c r="F10" s="235">
        <f>SUMIF(53:53,E10,54:54)-SUMIF(53:53,C10,54:54)+100</f>
        <v>100</v>
      </c>
      <c r="G10" s="3387"/>
      <c r="H10" s="235">
        <f>SUMIF(53:53,G10,54:54)-SUMIF(53:53,C10,54:54)+100</f>
        <v>100</v>
      </c>
      <c r="I10" s="3386"/>
      <c r="J10" s="235">
        <f>SUMIF(53:53,I10,54:54)-SUMIF(53:53,C10,54:54)+100</f>
        <v>100</v>
      </c>
      <c r="K10" s="88"/>
      <c r="L10" s="1744"/>
      <c r="M10" s="1777"/>
      <c r="N10" s="1777"/>
      <c r="O10" s="1745"/>
      <c r="P10" s="3724"/>
      <c r="Q10" s="816" t="str">
        <f t="shared" si="6"/>
        <v>土地使用年限（年）</v>
      </c>
      <c r="R10" s="1302" t="s">
        <v>5</v>
      </c>
      <c r="S10" s="1303">
        <f t="shared" si="0"/>
        <v>100</v>
      </c>
      <c r="T10" s="1302" t="s">
        <v>5</v>
      </c>
      <c r="U10" s="1303">
        <f t="shared" si="1"/>
        <v>100</v>
      </c>
      <c r="V10" s="1302" t="s">
        <v>5</v>
      </c>
      <c r="W10" s="1303">
        <f t="shared" si="2"/>
        <v>100</v>
      </c>
      <c r="X10" s="1304"/>
      <c r="Y10" s="3672"/>
      <c r="Z10" s="995" t="str">
        <f t="shared" si="7"/>
        <v>土地使用年限（年）</v>
      </c>
      <c r="AA10" s="995">
        <f t="shared" si="3"/>
        <v>1</v>
      </c>
      <c r="AB10" s="995">
        <f t="shared" si="4"/>
        <v>1</v>
      </c>
      <c r="AC10" s="995">
        <f t="shared" si="5"/>
        <v>1</v>
      </c>
    </row>
    <row r="11" spans="1:29" ht="15">
      <c r="A11" s="2213"/>
      <c r="B11" s="2219">
        <v>111</v>
      </c>
      <c r="C11" s="478"/>
      <c r="D11" s="235">
        <v>100</v>
      </c>
      <c r="E11" s="804"/>
      <c r="F11" s="235">
        <f>SUMIF(55:55,E11,56:56)-SUMIF(55:55,C11,56:56)+100</f>
        <v>100</v>
      </c>
      <c r="G11" s="804"/>
      <c r="H11" s="235">
        <f>SUMIF(55:55,G11,56:56)-SUMIF(55:55,C11,56:56)+100</f>
        <v>100</v>
      </c>
      <c r="I11" s="804"/>
      <c r="J11" s="235">
        <f>SUMIF(55:55,I11,56:56)-SUMIF(55:55,C11,56:56)+100</f>
        <v>100</v>
      </c>
      <c r="K11" s="531"/>
      <c r="L11" s="1746"/>
      <c r="M11" s="1741"/>
      <c r="N11" s="1741"/>
      <c r="O11" s="1747"/>
      <c r="P11" s="3724"/>
      <c r="Q11" s="816">
        <f t="shared" si="6"/>
        <v>111</v>
      </c>
      <c r="R11" s="1302" t="s">
        <v>5</v>
      </c>
      <c r="S11" s="1303">
        <f t="shared" si="0"/>
        <v>100</v>
      </c>
      <c r="T11" s="1302" t="s">
        <v>5</v>
      </c>
      <c r="U11" s="1303">
        <f t="shared" si="1"/>
        <v>100</v>
      </c>
      <c r="V11" s="1302" t="s">
        <v>5</v>
      </c>
      <c r="W11" s="1303">
        <f t="shared" si="2"/>
        <v>100</v>
      </c>
      <c r="X11" s="1304"/>
      <c r="Y11" s="3672"/>
      <c r="Z11" s="995">
        <f t="shared" si="7"/>
        <v>111</v>
      </c>
      <c r="AA11" s="995">
        <f t="shared" si="3"/>
        <v>1</v>
      </c>
      <c r="AB11" s="995">
        <f t="shared" si="4"/>
        <v>1</v>
      </c>
      <c r="AC11" s="995">
        <f t="shared" si="5"/>
        <v>1</v>
      </c>
    </row>
    <row r="12" spans="1:29" s="1058" customFormat="1" ht="15">
      <c r="A12" s="2213"/>
      <c r="B12" s="2219">
        <v>111</v>
      </c>
      <c r="C12" s="478"/>
      <c r="D12" s="488">
        <v>100</v>
      </c>
      <c r="E12" s="804"/>
      <c r="F12" s="235">
        <f>SUMIF(57:57,E12,58:58)-SUMIF(57:57,C12,58:58)+100</f>
        <v>100</v>
      </c>
      <c r="G12" s="804"/>
      <c r="H12" s="235">
        <f>SUMIF(57:57,G12,58:58)-SUMIF(57:57,C12,58:58)+100</f>
        <v>100</v>
      </c>
      <c r="I12" s="804"/>
      <c r="J12" s="235">
        <f>SUMIF(57:57,I12,58:58)-SUMIF(57:57,C12,58:58)+100</f>
        <v>100</v>
      </c>
      <c r="K12" s="531"/>
      <c r="L12" s="1742"/>
      <c r="M12" s="1639"/>
      <c r="N12" s="1639"/>
      <c r="O12" s="1743"/>
      <c r="P12" s="3724"/>
      <c r="Q12" s="816">
        <f t="shared" si="6"/>
        <v>111</v>
      </c>
      <c r="R12" s="1302" t="s">
        <v>5</v>
      </c>
      <c r="S12" s="1303">
        <f t="shared" si="0"/>
        <v>100</v>
      </c>
      <c r="T12" s="1302" t="s">
        <v>5</v>
      </c>
      <c r="U12" s="1303">
        <f t="shared" si="1"/>
        <v>100</v>
      </c>
      <c r="V12" s="1302" t="s">
        <v>5</v>
      </c>
      <c r="W12" s="1303">
        <f t="shared" si="2"/>
        <v>100</v>
      </c>
      <c r="X12" s="1304"/>
      <c r="Y12" s="3672"/>
      <c r="Z12" s="995">
        <f t="shared" si="7"/>
        <v>111</v>
      </c>
      <c r="AA12" s="995">
        <f>D12/F12</f>
        <v>1</v>
      </c>
      <c r="AB12" s="995">
        <f>D12/H12</f>
        <v>1</v>
      </c>
      <c r="AC12" s="995">
        <f>D12/J12</f>
        <v>1</v>
      </c>
    </row>
    <row r="13" spans="1:29" ht="15.75" thickBot="1">
      <c r="A13" s="2214"/>
      <c r="B13" s="2220">
        <v>111</v>
      </c>
      <c r="C13" s="489"/>
      <c r="D13" s="490">
        <v>100</v>
      </c>
      <c r="E13" s="804"/>
      <c r="F13" s="235">
        <f>SUMIF(59:59,E13,60:60)-SUMIF(59:59,C13,60:60)+100</f>
        <v>100</v>
      </c>
      <c r="G13" s="804"/>
      <c r="H13" s="490">
        <f>SUMIF(59:59,G13,60:60)-SUMIF(59:59,C13,60:60)+100</f>
        <v>100</v>
      </c>
      <c r="I13" s="804"/>
      <c r="J13" s="490">
        <f>SUMIF(59:59,I13,60:60)-SUMIF(59:59,C13,60:60)+100</f>
        <v>100</v>
      </c>
      <c r="K13" s="531"/>
      <c r="L13" s="1748"/>
      <c r="M13" s="1741"/>
      <c r="N13" s="1741"/>
      <c r="O13" s="1747"/>
      <c r="P13" s="3724"/>
      <c r="Q13" s="816">
        <f t="shared" si="6"/>
        <v>111</v>
      </c>
      <c r="R13" s="1302" t="s">
        <v>5</v>
      </c>
      <c r="S13" s="1303">
        <f t="shared" si="0"/>
        <v>100</v>
      </c>
      <c r="T13" s="1302" t="s">
        <v>5</v>
      </c>
      <c r="U13" s="1303">
        <f t="shared" si="1"/>
        <v>100</v>
      </c>
      <c r="V13" s="1302" t="s">
        <v>5</v>
      </c>
      <c r="W13" s="1303">
        <f t="shared" si="2"/>
        <v>100</v>
      </c>
      <c r="X13" s="1304"/>
      <c r="Y13" s="3672"/>
      <c r="Z13" s="995">
        <f t="shared" si="7"/>
        <v>111</v>
      </c>
      <c r="AA13" s="995">
        <f t="shared" si="3"/>
        <v>1</v>
      </c>
      <c r="AB13" s="995">
        <f t="shared" si="4"/>
        <v>1</v>
      </c>
      <c r="AC13" s="995">
        <f t="shared" si="5"/>
        <v>1</v>
      </c>
    </row>
    <row r="14" spans="1:29" ht="85.5">
      <c r="A14" s="2206" t="s">
        <v>2033</v>
      </c>
      <c r="B14" s="150" t="s">
        <v>492</v>
      </c>
      <c r="C14" s="841"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0"/>
      <c r="L14" s="1748"/>
      <c r="M14" s="1741"/>
      <c r="N14" s="1741"/>
      <c r="O14" s="1747"/>
      <c r="P14" s="3726" t="s">
        <v>489</v>
      </c>
      <c r="Q14" s="1305" t="str">
        <f t="shared" si="6"/>
        <v>交通便捷度</v>
      </c>
      <c r="R14" s="1306" t="s">
        <v>5</v>
      </c>
      <c r="S14" s="1307">
        <f t="shared" si="0"/>
        <v>100</v>
      </c>
      <c r="T14" s="1306" t="s">
        <v>5</v>
      </c>
      <c r="U14" s="1307">
        <f t="shared" si="1"/>
        <v>100</v>
      </c>
      <c r="V14" s="1306" t="s">
        <v>5</v>
      </c>
      <c r="W14" s="1307">
        <f t="shared" si="2"/>
        <v>100</v>
      </c>
      <c r="X14" s="1301"/>
      <c r="Y14" s="3726" t="s">
        <v>489</v>
      </c>
      <c r="Z14" s="1308" t="str">
        <f t="shared" si="7"/>
        <v>交通便捷度</v>
      </c>
      <c r="AA14" s="1308">
        <f t="shared" si="3"/>
        <v>1</v>
      </c>
      <c r="AB14" s="1308">
        <f t="shared" si="4"/>
        <v>1</v>
      </c>
      <c r="AC14" s="1308">
        <f t="shared" si="5"/>
        <v>1</v>
      </c>
    </row>
    <row r="15" spans="1:29" ht="15">
      <c r="A15" s="482"/>
      <c r="B15" s="797"/>
      <c r="C15" s="526"/>
      <c r="D15" s="505"/>
      <c r="E15" s="526"/>
      <c r="F15" s="507"/>
      <c r="G15" s="526"/>
      <c r="H15" s="509"/>
      <c r="I15" s="526"/>
      <c r="J15" s="505"/>
      <c r="K15" s="821"/>
      <c r="L15" s="1748"/>
      <c r="M15" s="1741"/>
      <c r="N15" s="1741"/>
      <c r="O15" s="1747"/>
      <c r="P15" s="3727"/>
      <c r="Q15" s="1305"/>
      <c r="R15" s="1306"/>
      <c r="S15" s="1307"/>
      <c r="T15" s="1306"/>
      <c r="U15" s="1307"/>
      <c r="V15" s="1306"/>
      <c r="W15" s="1307"/>
      <c r="X15" s="1301"/>
      <c r="Y15" s="3727"/>
      <c r="Z15" s="1308"/>
      <c r="AA15" s="1308">
        <v>1</v>
      </c>
      <c r="AB15" s="1308">
        <v>1</v>
      </c>
      <c r="AC15" s="1308">
        <v>1</v>
      </c>
    </row>
    <row r="16" spans="1:29" ht="42.75">
      <c r="A16" s="482"/>
      <c r="B16" s="2061" t="s">
        <v>1826</v>
      </c>
      <c r="C16" s="799"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0"/>
      <c r="L16" s="1748"/>
      <c r="M16" s="1741"/>
      <c r="N16" s="1741"/>
      <c r="O16" s="1747"/>
      <c r="P16" s="3727"/>
      <c r="Q16" s="1305" t="str">
        <f>B16</f>
        <v>公共配套设施</v>
      </c>
      <c r="R16" s="1306" t="s">
        <v>5</v>
      </c>
      <c r="S16" s="1307">
        <f>F16</f>
        <v>100</v>
      </c>
      <c r="T16" s="1306" t="s">
        <v>5</v>
      </c>
      <c r="U16" s="1307">
        <f>H16</f>
        <v>100</v>
      </c>
      <c r="V16" s="1306" t="s">
        <v>5</v>
      </c>
      <c r="W16" s="1307">
        <f>J16</f>
        <v>100</v>
      </c>
      <c r="X16" s="1301"/>
      <c r="Y16" s="3727"/>
      <c r="Z16" s="1308" t="str">
        <f>Q16</f>
        <v>公共配套设施</v>
      </c>
      <c r="AA16" s="1308">
        <f t="shared" si="3"/>
        <v>1</v>
      </c>
      <c r="AB16" s="1308">
        <f t="shared" si="4"/>
        <v>1</v>
      </c>
      <c r="AC16" s="1308">
        <f t="shared" si="5"/>
        <v>1</v>
      </c>
    </row>
    <row r="17" spans="1:29" ht="15">
      <c r="A17" s="482"/>
      <c r="B17" s="516"/>
      <c r="C17" s="800"/>
      <c r="D17" s="505"/>
      <c r="E17" s="526"/>
      <c r="F17" s="507"/>
      <c r="G17" s="526"/>
      <c r="H17" s="505"/>
      <c r="I17" s="526"/>
      <c r="J17" s="505"/>
      <c r="K17" s="821"/>
      <c r="L17" s="1748"/>
      <c r="M17" s="1741"/>
      <c r="N17" s="1741"/>
      <c r="O17" s="1747"/>
      <c r="P17" s="3727"/>
      <c r="Q17" s="1305"/>
      <c r="R17" s="1306"/>
      <c r="S17" s="1307"/>
      <c r="T17" s="1306"/>
      <c r="U17" s="1307"/>
      <c r="V17" s="1306"/>
      <c r="W17" s="1307"/>
      <c r="X17" s="1301"/>
      <c r="Y17" s="3727"/>
      <c r="Z17" s="1308"/>
      <c r="AA17" s="1308">
        <v>1</v>
      </c>
      <c r="AB17" s="1308">
        <v>1</v>
      </c>
      <c r="AC17" s="1308">
        <v>1</v>
      </c>
    </row>
    <row r="18" spans="1:29" ht="28.5">
      <c r="A18" s="482"/>
      <c r="B18" s="2049" t="s">
        <v>1838</v>
      </c>
      <c r="C18" s="799"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0"/>
      <c r="L18" s="1748"/>
      <c r="M18" s="1741"/>
      <c r="N18" s="1741"/>
      <c r="O18" s="1747"/>
      <c r="P18" s="3727"/>
      <c r="Q18" s="1305" t="str">
        <f>B18</f>
        <v>基础设施水平</v>
      </c>
      <c r="R18" s="1306" t="s">
        <v>5</v>
      </c>
      <c r="S18" s="1307">
        <f>F18</f>
        <v>100</v>
      </c>
      <c r="T18" s="1306" t="s">
        <v>5</v>
      </c>
      <c r="U18" s="1307">
        <f>H18</f>
        <v>100</v>
      </c>
      <c r="V18" s="1306" t="s">
        <v>5</v>
      </c>
      <c r="W18" s="1307">
        <f>J18</f>
        <v>100</v>
      </c>
      <c r="X18" s="1301"/>
      <c r="Y18" s="3727"/>
      <c r="Z18" s="1308" t="str">
        <f>Q18</f>
        <v>基础设施水平</v>
      </c>
      <c r="AA18" s="1308">
        <f>D18/F18</f>
        <v>1</v>
      </c>
      <c r="AB18" s="1308">
        <f>D18/H18</f>
        <v>1</v>
      </c>
      <c r="AC18" s="1308">
        <f>D18/J18</f>
        <v>1</v>
      </c>
    </row>
    <row r="19" spans="1:29" ht="15">
      <c r="A19" s="482"/>
      <c r="B19" s="528"/>
      <c r="C19" s="800"/>
      <c r="D19" s="509"/>
      <c r="E19" s="800"/>
      <c r="F19" s="513"/>
      <c r="G19" s="800"/>
      <c r="H19" s="505"/>
      <c r="I19" s="526"/>
      <c r="J19" s="505"/>
      <c r="K19" s="2060"/>
      <c r="L19" s="1748"/>
      <c r="M19" s="1741"/>
      <c r="N19" s="1741"/>
      <c r="O19" s="1747"/>
      <c r="P19" s="3727"/>
      <c r="Q19" s="1305"/>
      <c r="R19" s="1306"/>
      <c r="S19" s="1307"/>
      <c r="T19" s="1306"/>
      <c r="U19" s="1307"/>
      <c r="V19" s="1306"/>
      <c r="W19" s="1307"/>
      <c r="X19" s="1301"/>
      <c r="Y19" s="3727"/>
      <c r="Z19" s="1308"/>
      <c r="AA19" s="1308">
        <v>1</v>
      </c>
      <c r="AB19" s="1308">
        <v>1</v>
      </c>
      <c r="AC19" s="1308">
        <v>1</v>
      </c>
    </row>
    <row r="20" spans="1:29" ht="57">
      <c r="A20" s="482"/>
      <c r="B20" s="677" t="s">
        <v>744</v>
      </c>
      <c r="C20" s="799"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0"/>
      <c r="L20" s="1748"/>
      <c r="M20" s="1741"/>
      <c r="N20" s="1741"/>
      <c r="O20" s="1747"/>
      <c r="P20" s="3727"/>
      <c r="Q20" s="1305" t="str">
        <f>B20</f>
        <v>自然及人文环境</v>
      </c>
      <c r="R20" s="1306" t="s">
        <v>5</v>
      </c>
      <c r="S20" s="1307">
        <f>F20</f>
        <v>100</v>
      </c>
      <c r="T20" s="1306" t="s">
        <v>5</v>
      </c>
      <c r="U20" s="1307">
        <f>H20</f>
        <v>100</v>
      </c>
      <c r="V20" s="1306" t="s">
        <v>5</v>
      </c>
      <c r="W20" s="1307">
        <f>J20</f>
        <v>100</v>
      </c>
      <c r="X20" s="1301"/>
      <c r="Y20" s="3727"/>
      <c r="Z20" s="1308" t="str">
        <f>Q20</f>
        <v>自然及人文环境</v>
      </c>
      <c r="AA20" s="1308">
        <f t="shared" si="3"/>
        <v>1</v>
      </c>
      <c r="AB20" s="1308">
        <f t="shared" si="4"/>
        <v>1</v>
      </c>
      <c r="AC20" s="1308">
        <f t="shared" si="5"/>
        <v>1</v>
      </c>
    </row>
    <row r="21" spans="1:29" ht="15">
      <c r="A21" s="482"/>
      <c r="B21" s="544"/>
      <c r="C21" s="526"/>
      <c r="D21" s="505"/>
      <c r="E21" s="526"/>
      <c r="F21" s="507"/>
      <c r="G21" s="526"/>
      <c r="H21" s="505"/>
      <c r="I21" s="526"/>
      <c r="J21" s="505"/>
      <c r="K21" s="821"/>
      <c r="L21" s="1748"/>
      <c r="M21" s="1741"/>
      <c r="N21" s="1741"/>
      <c r="O21" s="1747"/>
      <c r="P21" s="3727"/>
      <c r="Q21" s="1305"/>
      <c r="R21" s="1306"/>
      <c r="S21" s="1307"/>
      <c r="T21" s="1306"/>
      <c r="U21" s="1307"/>
      <c r="V21" s="1306"/>
      <c r="W21" s="1307"/>
      <c r="X21" s="1301"/>
      <c r="Y21" s="3727"/>
      <c r="Z21" s="1308"/>
      <c r="AA21" s="1308">
        <v>1</v>
      </c>
      <c r="AB21" s="1308">
        <v>1</v>
      </c>
      <c r="AC21" s="1308">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8"/>
      <c r="M22" s="1741"/>
      <c r="N22" s="1741"/>
      <c r="O22" s="1747"/>
      <c r="P22" s="3727"/>
      <c r="Q22" s="1305" t="str">
        <f>B22</f>
        <v>楼层</v>
      </c>
      <c r="R22" s="1306" t="s">
        <v>5</v>
      </c>
      <c r="S22" s="1307">
        <f>F22</f>
        <v>100</v>
      </c>
      <c r="T22" s="1306" t="s">
        <v>5</v>
      </c>
      <c r="U22" s="1307">
        <f>H22</f>
        <v>100</v>
      </c>
      <c r="V22" s="1306" t="s">
        <v>5</v>
      </c>
      <c r="W22" s="1307">
        <f>J22</f>
        <v>100</v>
      </c>
      <c r="X22" s="1301"/>
      <c r="Y22" s="3727"/>
      <c r="Z22" s="1308" t="str">
        <f>Q22</f>
        <v>楼层</v>
      </c>
      <c r="AA22" s="1308">
        <f t="shared" si="3"/>
        <v>1</v>
      </c>
      <c r="AB22" s="1308">
        <f t="shared" si="4"/>
        <v>1</v>
      </c>
      <c r="AC22" s="1308">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8"/>
      <c r="M23" s="1741"/>
      <c r="N23" s="1741"/>
      <c r="O23" s="1747"/>
      <c r="P23" s="3727"/>
      <c r="Q23" s="1305">
        <f>B23</f>
        <v>111</v>
      </c>
      <c r="R23" s="1306" t="s">
        <v>5</v>
      </c>
      <c r="S23" s="1307">
        <f>F23</f>
        <v>100</v>
      </c>
      <c r="T23" s="1306" t="s">
        <v>5</v>
      </c>
      <c r="U23" s="1307">
        <f>H23</f>
        <v>100</v>
      </c>
      <c r="V23" s="1306" t="s">
        <v>5</v>
      </c>
      <c r="W23" s="1307">
        <f>J23</f>
        <v>100</v>
      </c>
      <c r="X23" s="1301"/>
      <c r="Y23" s="3727"/>
      <c r="Z23" s="1308">
        <f>Q23</f>
        <v>111</v>
      </c>
      <c r="AA23" s="1308">
        <f t="shared" si="3"/>
        <v>1</v>
      </c>
      <c r="AB23" s="1308">
        <f t="shared" si="4"/>
        <v>1</v>
      </c>
      <c r="AC23" s="1308">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8"/>
      <c r="M24" s="1741"/>
      <c r="N24" s="1741"/>
      <c r="O24" s="1747"/>
      <c r="P24" s="3727"/>
      <c r="Q24" s="1305">
        <f t="shared" ref="Q24:Q34" si="8">B24</f>
        <v>111</v>
      </c>
      <c r="R24" s="1306" t="s">
        <v>5</v>
      </c>
      <c r="S24" s="1307">
        <f>F24</f>
        <v>100</v>
      </c>
      <c r="T24" s="1306" t="s">
        <v>5</v>
      </c>
      <c r="U24" s="1307">
        <f>H24</f>
        <v>100</v>
      </c>
      <c r="V24" s="1306" t="s">
        <v>5</v>
      </c>
      <c r="W24" s="1307">
        <f>J24</f>
        <v>100</v>
      </c>
      <c r="X24" s="1301"/>
      <c r="Y24" s="3727"/>
      <c r="Z24" s="1308">
        <f>Q24</f>
        <v>111</v>
      </c>
      <c r="AA24" s="1308">
        <f t="shared" si="3"/>
        <v>1</v>
      </c>
      <c r="AB24" s="1308">
        <f t="shared" si="4"/>
        <v>1</v>
      </c>
      <c r="AC24" s="1308">
        <f t="shared" si="5"/>
        <v>1</v>
      </c>
    </row>
    <row r="25" spans="1:29" s="1058" customFormat="1" ht="15.75" thickBot="1">
      <c r="A25" s="486"/>
      <c r="B25" s="487">
        <v>111</v>
      </c>
      <c r="C25" s="859"/>
      <c r="D25" s="528">
        <v>100</v>
      </c>
      <c r="E25" s="859"/>
      <c r="F25" s="842">
        <f>SUMIF(75:75,E25,76:76)-SUMIF(75:75,C25,76:76)+100</f>
        <v>100</v>
      </c>
      <c r="G25" s="859"/>
      <c r="H25" s="528">
        <f>SUMIF(75:75,G25,76:76)-SUMIF(75:75,C25,76:76)+100</f>
        <v>100</v>
      </c>
      <c r="I25" s="859"/>
      <c r="J25" s="528">
        <f>SUMIF(75:75,I25,76:76)-SUMIF(75:75,C25,76:76)+100</f>
        <v>100</v>
      </c>
      <c r="K25" s="531"/>
      <c r="L25" s="1742"/>
      <c r="M25" s="1639"/>
      <c r="N25" s="1639"/>
      <c r="O25" s="1743"/>
      <c r="P25" s="3727"/>
      <c r="Q25" s="816">
        <f t="shared" si="8"/>
        <v>111</v>
      </c>
      <c r="R25" s="1302" t="s">
        <v>5</v>
      </c>
      <c r="S25" s="1303">
        <f>F25</f>
        <v>100</v>
      </c>
      <c r="T25" s="1302" t="s">
        <v>5</v>
      </c>
      <c r="U25" s="1303">
        <f>H25</f>
        <v>100</v>
      </c>
      <c r="V25" s="1302" t="s">
        <v>5</v>
      </c>
      <c r="W25" s="1303">
        <f>J25</f>
        <v>100</v>
      </c>
      <c r="X25" s="1304"/>
      <c r="Y25" s="3727"/>
      <c r="Z25" s="995">
        <f>Q25</f>
        <v>111</v>
      </c>
      <c r="AA25" s="1308">
        <f>D25/F25</f>
        <v>1</v>
      </c>
      <c r="AB25" s="1308">
        <f>D25/H25</f>
        <v>1</v>
      </c>
      <c r="AC25" s="1308">
        <f>D25/J25</f>
        <v>1</v>
      </c>
    </row>
    <row r="26" spans="1:29" ht="15">
      <c r="A26" s="2203" t="s">
        <v>2034</v>
      </c>
      <c r="B26" s="156" t="s">
        <v>748</v>
      </c>
      <c r="C26" s="802"/>
      <c r="D26" s="546">
        <v>100</v>
      </c>
      <c r="E26" s="802"/>
      <c r="F26" s="860">
        <f>SUMIF(77:77,E26,78:78)-SUMIF(77:77,C26,78:78)+100</f>
        <v>100</v>
      </c>
      <c r="G26" s="802"/>
      <c r="H26" s="546">
        <f>SUMIF(77:77,G26,78:78)-SUMIF(77:77,C26,78:78)+100</f>
        <v>100</v>
      </c>
      <c r="I26" s="802"/>
      <c r="J26" s="546">
        <f>SUMIF(77:77,I26,78:78)-SUMIF(77:77,C26,78:78)+100</f>
        <v>100</v>
      </c>
      <c r="K26" s="533"/>
      <c r="L26" s="1748"/>
      <c r="M26" s="1741"/>
      <c r="N26" s="1741"/>
      <c r="O26" s="1747"/>
      <c r="P26" s="3728" t="s">
        <v>761</v>
      </c>
      <c r="Q26" s="1305" t="str">
        <f t="shared" si="8"/>
        <v>公共部分装修</v>
      </c>
      <c r="R26" s="1306" t="s">
        <v>5</v>
      </c>
      <c r="S26" s="1307">
        <f t="shared" ref="S26:S34" si="9">F26</f>
        <v>100</v>
      </c>
      <c r="T26" s="1306" t="s">
        <v>5</v>
      </c>
      <c r="U26" s="1307">
        <f t="shared" ref="U26:U34" si="10">H26</f>
        <v>100</v>
      </c>
      <c r="V26" s="1306" t="s">
        <v>5</v>
      </c>
      <c r="W26" s="1307">
        <f t="shared" ref="W26:W34" si="11">J26</f>
        <v>100</v>
      </c>
      <c r="X26" s="1301"/>
      <c r="Y26" s="3729" t="s">
        <v>761</v>
      </c>
      <c r="Z26" s="1308" t="str">
        <f t="shared" ref="Z26:Z34" si="12">Q26</f>
        <v>公共部分装修</v>
      </c>
      <c r="AA26" s="1308">
        <f t="shared" si="3"/>
        <v>1</v>
      </c>
      <c r="AB26" s="1308">
        <f t="shared" si="4"/>
        <v>1</v>
      </c>
      <c r="AC26" s="1308">
        <f t="shared" si="5"/>
        <v>1</v>
      </c>
    </row>
    <row r="27" spans="1:29" s="1132" customFormat="1" ht="15">
      <c r="A27" s="552"/>
      <c r="B27" s="477" t="s">
        <v>749</v>
      </c>
      <c r="C27" s="806"/>
      <c r="D27" s="235">
        <v>100</v>
      </c>
      <c r="E27" s="807"/>
      <c r="F27" s="525" t="e">
        <f>LOOKUP(E27,80:80,81:81)-LOOKUP(C27,80:80,81:81)+100</f>
        <v>#N/A</v>
      </c>
      <c r="G27" s="808"/>
      <c r="H27" s="490" t="e">
        <f>LOOKUP(G27,80:80,81:81)-LOOKUP(C27,80:80,81:81)+100</f>
        <v>#N/A</v>
      </c>
      <c r="I27" s="808"/>
      <c r="J27" s="490" t="e">
        <f>LOOKUP(I27,80:80,81:81)-LOOKUP(C27,80:80,81:81)+100</f>
        <v>#N/A</v>
      </c>
      <c r="K27" s="533"/>
      <c r="L27" s="1746"/>
      <c r="M27" s="1770"/>
      <c r="N27" s="1770"/>
      <c r="O27" s="1749"/>
      <c r="P27" s="3729"/>
      <c r="Q27" s="817" t="str">
        <f t="shared" si="8"/>
        <v>成新率</v>
      </c>
      <c r="R27" s="1309" t="s">
        <v>5</v>
      </c>
      <c r="S27" s="1310" t="e">
        <f t="shared" si="9"/>
        <v>#N/A</v>
      </c>
      <c r="T27" s="1309" t="s">
        <v>5</v>
      </c>
      <c r="U27" s="1310" t="e">
        <f t="shared" si="10"/>
        <v>#N/A</v>
      </c>
      <c r="V27" s="1309" t="s">
        <v>5</v>
      </c>
      <c r="W27" s="1310" t="e">
        <f t="shared" si="11"/>
        <v>#N/A</v>
      </c>
      <c r="X27" s="1311"/>
      <c r="Y27" s="3729"/>
      <c r="Z27" s="1312" t="str">
        <f t="shared" si="12"/>
        <v>成新率</v>
      </c>
      <c r="AA27" s="1308" t="e">
        <f t="shared" si="3"/>
        <v>#N/A</v>
      </c>
      <c r="AB27" s="1308" t="e">
        <f t="shared" si="4"/>
        <v>#N/A</v>
      </c>
      <c r="AC27" s="1308"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8"/>
      <c r="M28" s="1741"/>
      <c r="N28" s="1741"/>
      <c r="O28" s="1747"/>
      <c r="P28" s="3729"/>
      <c r="Q28" s="1305" t="str">
        <f t="shared" si="8"/>
        <v>物业等级</v>
      </c>
      <c r="R28" s="1306" t="s">
        <v>5</v>
      </c>
      <c r="S28" s="1307">
        <f t="shared" si="9"/>
        <v>100</v>
      </c>
      <c r="T28" s="1306" t="s">
        <v>5</v>
      </c>
      <c r="U28" s="1307">
        <f t="shared" si="10"/>
        <v>100</v>
      </c>
      <c r="V28" s="1306" t="s">
        <v>5</v>
      </c>
      <c r="W28" s="1307">
        <f t="shared" si="11"/>
        <v>100</v>
      </c>
      <c r="X28" s="1301"/>
      <c r="Y28" s="3729"/>
      <c r="Z28" s="1308" t="str">
        <f t="shared" si="12"/>
        <v>物业等级</v>
      </c>
      <c r="AA28" s="1308">
        <f t="shared" si="3"/>
        <v>1</v>
      </c>
      <c r="AB28" s="1308">
        <f t="shared" si="4"/>
        <v>1</v>
      </c>
      <c r="AC28" s="1308">
        <f t="shared" si="5"/>
        <v>1</v>
      </c>
    </row>
    <row r="29" spans="1:29" ht="15">
      <c r="A29" s="543"/>
      <c r="B29" s="477" t="s">
        <v>762</v>
      </c>
      <c r="C29" s="851"/>
      <c r="D29" s="490">
        <v>100</v>
      </c>
      <c r="E29" s="851"/>
      <c r="F29" s="525">
        <f>SUMIF(84:84,E29,85:85)-SUMIF(84:84,C29,85:85)+100</f>
        <v>100</v>
      </c>
      <c r="G29" s="851"/>
      <c r="H29" s="490">
        <f>SUMIF(84:84,G29,85:85)-SUMIF(84:84,C29,85:85)+100</f>
        <v>100</v>
      </c>
      <c r="I29" s="851"/>
      <c r="J29" s="490">
        <f>SUMIF(84:84,I29,85:85)-SUMIF(84:84,C29,85:85)+100</f>
        <v>100</v>
      </c>
      <c r="K29" s="533"/>
      <c r="L29" s="1748"/>
      <c r="M29" s="1741"/>
      <c r="N29" s="1741"/>
      <c r="O29" s="1747"/>
      <c r="P29" s="3729"/>
      <c r="Q29" s="1305" t="str">
        <f t="shared" si="8"/>
        <v>有无电梯</v>
      </c>
      <c r="R29" s="1306" t="s">
        <v>5</v>
      </c>
      <c r="S29" s="1307">
        <f t="shared" si="9"/>
        <v>100</v>
      </c>
      <c r="T29" s="1306" t="s">
        <v>5</v>
      </c>
      <c r="U29" s="1307">
        <f t="shared" si="10"/>
        <v>100</v>
      </c>
      <c r="V29" s="1306" t="s">
        <v>5</v>
      </c>
      <c r="W29" s="1307">
        <f t="shared" si="11"/>
        <v>100</v>
      </c>
      <c r="X29" s="1301"/>
      <c r="Y29" s="3729"/>
      <c r="Z29" s="1308" t="str">
        <f t="shared" si="12"/>
        <v>有无电梯</v>
      </c>
      <c r="AA29" s="1308">
        <f t="shared" si="3"/>
        <v>1</v>
      </c>
      <c r="AB29" s="1308">
        <f t="shared" si="4"/>
        <v>1</v>
      </c>
      <c r="AC29" s="1308">
        <f t="shared" si="5"/>
        <v>1</v>
      </c>
    </row>
    <row r="30" spans="1:29" ht="15">
      <c r="A30" s="543"/>
      <c r="B30" s="477" t="s">
        <v>763</v>
      </c>
      <c r="C30" s="804"/>
      <c r="D30" s="490">
        <v>100</v>
      </c>
      <c r="E30" s="804"/>
      <c r="F30" s="525" t="e">
        <f>LOOKUP(E30,87:87,88:88)-LOOKUP(C30,87:87,88:88)+100</f>
        <v>#N/A</v>
      </c>
      <c r="G30" s="804"/>
      <c r="H30" s="490" t="e">
        <f>LOOKUP(G30,87:87,88:88)-LOOKUP(C30,87:87,88:88)+100</f>
        <v>#N/A</v>
      </c>
      <c r="I30" s="804"/>
      <c r="J30" s="490" t="e">
        <f>LOOKUP(I30,87:87,88:88)-LOOKUP(C30,87:87,88:88)+100</f>
        <v>#N/A</v>
      </c>
      <c r="K30" s="531"/>
      <c r="L30" s="1748"/>
      <c r="M30" s="1741"/>
      <c r="N30" s="1741"/>
      <c r="O30" s="1747"/>
      <c r="P30" s="3729"/>
      <c r="Q30" s="1305" t="str">
        <f t="shared" si="8"/>
        <v>建筑面积</v>
      </c>
      <c r="R30" s="1306" t="s">
        <v>5</v>
      </c>
      <c r="S30" s="1307" t="e">
        <f t="shared" si="9"/>
        <v>#N/A</v>
      </c>
      <c r="T30" s="1306" t="s">
        <v>5</v>
      </c>
      <c r="U30" s="1307" t="e">
        <f t="shared" si="10"/>
        <v>#N/A</v>
      </c>
      <c r="V30" s="1306" t="s">
        <v>5</v>
      </c>
      <c r="W30" s="1307" t="e">
        <f t="shared" si="11"/>
        <v>#N/A</v>
      </c>
      <c r="X30" s="1301"/>
      <c r="Y30" s="3729"/>
      <c r="Z30" s="1308" t="str">
        <f t="shared" si="12"/>
        <v>建筑面积</v>
      </c>
      <c r="AA30" s="1308" t="e">
        <f t="shared" si="3"/>
        <v>#N/A</v>
      </c>
      <c r="AB30" s="1308" t="e">
        <f t="shared" si="4"/>
        <v>#N/A</v>
      </c>
      <c r="AC30" s="1308" t="e">
        <f t="shared" si="5"/>
        <v>#N/A</v>
      </c>
    </row>
    <row r="31" spans="1:29" s="1058" customFormat="1" ht="15">
      <c r="A31" s="549"/>
      <c r="B31" s="477" t="s">
        <v>764</v>
      </c>
      <c r="C31" s="851"/>
      <c r="D31" s="235">
        <v>100</v>
      </c>
      <c r="E31" s="851"/>
      <c r="F31" s="525">
        <f>SUMIF(89:89,E31,90:90)-SUMIF(89:89,C31,90:90)+100</f>
        <v>100</v>
      </c>
      <c r="G31" s="851"/>
      <c r="H31" s="490">
        <f>SUMIF(89:89,G31,90:90)-SUMIF(89:89,C31,90:90)+100</f>
        <v>100</v>
      </c>
      <c r="I31" s="851"/>
      <c r="J31" s="490">
        <f>SUMIF(89:89,I31,90:90)-SUMIF(89:89,C31,90:90)+100</f>
        <v>100</v>
      </c>
      <c r="K31" s="533"/>
      <c r="L31" s="1742"/>
      <c r="M31" s="1639"/>
      <c r="N31" s="1639"/>
      <c r="O31" s="1743"/>
      <c r="P31" s="3729"/>
      <c r="Q31" s="816" t="str">
        <f t="shared" si="8"/>
        <v>是否封闭</v>
      </c>
      <c r="R31" s="1302" t="s">
        <v>5</v>
      </c>
      <c r="S31" s="1303">
        <f t="shared" si="9"/>
        <v>100</v>
      </c>
      <c r="T31" s="1302" t="s">
        <v>5</v>
      </c>
      <c r="U31" s="1303">
        <f t="shared" si="10"/>
        <v>100</v>
      </c>
      <c r="V31" s="1302" t="s">
        <v>5</v>
      </c>
      <c r="W31" s="1303">
        <f t="shared" si="11"/>
        <v>100</v>
      </c>
      <c r="X31" s="1304"/>
      <c r="Y31" s="3729"/>
      <c r="Z31" s="995" t="str">
        <f t="shared" si="12"/>
        <v>是否封闭</v>
      </c>
      <c r="AA31" s="995">
        <f t="shared" si="3"/>
        <v>1</v>
      </c>
      <c r="AB31" s="995">
        <f t="shared" si="4"/>
        <v>1</v>
      </c>
      <c r="AC31" s="995">
        <f t="shared" si="5"/>
        <v>1</v>
      </c>
    </row>
    <row r="32" spans="1:29" ht="15">
      <c r="A32" s="543"/>
      <c r="B32" s="487">
        <v>111</v>
      </c>
      <c r="C32" s="478"/>
      <c r="D32" s="490">
        <v>100</v>
      </c>
      <c r="E32" s="804"/>
      <c r="F32" s="525">
        <f>SUMIF(91:91,E32,92:92)-SUMIF(91:91,C32,92:92)+100</f>
        <v>100</v>
      </c>
      <c r="G32" s="804"/>
      <c r="H32" s="490">
        <f>SUMIF(91:91,G32,92:92)-SUMIF(91:91,C32,92:92)+100</f>
        <v>100</v>
      </c>
      <c r="I32" s="804"/>
      <c r="J32" s="490">
        <f>SUMIF(91:91,I32,92:92)-SUMIF(91:91,C32,92:92)+100</f>
        <v>100</v>
      </c>
      <c r="K32" s="531"/>
      <c r="L32" s="1748"/>
      <c r="M32" s="1741"/>
      <c r="N32" s="1741"/>
      <c r="O32" s="1747"/>
      <c r="P32" s="3729" t="s">
        <v>499</v>
      </c>
      <c r="Q32" s="1305">
        <f t="shared" si="8"/>
        <v>111</v>
      </c>
      <c r="R32" s="1306" t="s">
        <v>5</v>
      </c>
      <c r="S32" s="1307">
        <f t="shared" si="9"/>
        <v>100</v>
      </c>
      <c r="T32" s="1306" t="s">
        <v>5</v>
      </c>
      <c r="U32" s="1307">
        <f t="shared" si="10"/>
        <v>100</v>
      </c>
      <c r="V32" s="1306" t="s">
        <v>5</v>
      </c>
      <c r="W32" s="1307">
        <f t="shared" si="11"/>
        <v>100</v>
      </c>
      <c r="X32" s="1301"/>
      <c r="Y32" s="3729" t="s">
        <v>499</v>
      </c>
      <c r="Z32" s="1308">
        <f t="shared" si="12"/>
        <v>111</v>
      </c>
      <c r="AA32" s="1308">
        <f t="shared" si="3"/>
        <v>1</v>
      </c>
      <c r="AB32" s="1308">
        <f t="shared" si="4"/>
        <v>1</v>
      </c>
      <c r="AC32" s="1308">
        <f t="shared" si="5"/>
        <v>1</v>
      </c>
    </row>
    <row r="33" spans="1:29" ht="15">
      <c r="A33" s="543"/>
      <c r="B33" s="487">
        <v>111</v>
      </c>
      <c r="C33" s="478"/>
      <c r="D33" s="490">
        <v>100</v>
      </c>
      <c r="E33" s="804"/>
      <c r="F33" s="525">
        <f>SUMIF(93:93,E33,94:94)-SUMIF(93:93,C33,94:94)+100</f>
        <v>100</v>
      </c>
      <c r="G33" s="804"/>
      <c r="H33" s="490">
        <f>SUMIF(93:93,G33,94:94)-SUMIF(93:93,C33,94:94)+100</f>
        <v>100</v>
      </c>
      <c r="I33" s="804"/>
      <c r="J33" s="490">
        <f>SUMIF(93:93,I33,94:94)-SUMIF(93:93,C33,94:94)+100</f>
        <v>100</v>
      </c>
      <c r="K33" s="531"/>
      <c r="L33" s="1748"/>
      <c r="M33" s="1741"/>
      <c r="N33" s="1741"/>
      <c r="O33" s="1747"/>
      <c r="P33" s="3729"/>
      <c r="Q33" s="1305">
        <f t="shared" si="8"/>
        <v>111</v>
      </c>
      <c r="R33" s="1306" t="s">
        <v>5</v>
      </c>
      <c r="S33" s="1307">
        <f t="shared" si="9"/>
        <v>100</v>
      </c>
      <c r="T33" s="1306" t="s">
        <v>5</v>
      </c>
      <c r="U33" s="1307">
        <f t="shared" si="10"/>
        <v>100</v>
      </c>
      <c r="V33" s="1306" t="s">
        <v>5</v>
      </c>
      <c r="W33" s="1307">
        <f t="shared" si="11"/>
        <v>100</v>
      </c>
      <c r="X33" s="1301"/>
      <c r="Y33" s="3729"/>
      <c r="Z33" s="1308">
        <f t="shared" si="12"/>
        <v>111</v>
      </c>
      <c r="AA33" s="1308">
        <f t="shared" si="3"/>
        <v>1</v>
      </c>
      <c r="AB33" s="1308">
        <f t="shared" si="4"/>
        <v>1</v>
      </c>
      <c r="AC33" s="1308">
        <f t="shared" si="5"/>
        <v>1</v>
      </c>
    </row>
    <row r="34" spans="1:29" ht="15.75" thickBot="1">
      <c r="A34" s="809"/>
      <c r="B34" s="494">
        <v>111</v>
      </c>
      <c r="C34" s="495"/>
      <c r="D34" s="496">
        <v>100</v>
      </c>
      <c r="E34" s="861"/>
      <c r="F34" s="794">
        <f>SUMIF(95:95,E34,96:96)-SUMIF(95:95,C34,96:96)+100</f>
        <v>100</v>
      </c>
      <c r="G34" s="861"/>
      <c r="H34" s="496">
        <f>SUMIF(95:95,G34,96:96)-SUMIF(95:95,C34,96:96)+100</f>
        <v>100</v>
      </c>
      <c r="I34" s="861"/>
      <c r="J34" s="496">
        <f>SUMIF(95:95,I34,96:96)-SUMIF(95:95,C34,96:96)+100</f>
        <v>100</v>
      </c>
      <c r="K34" s="531"/>
      <c r="L34" s="1748"/>
      <c r="M34" s="1741"/>
      <c r="N34" s="1741"/>
      <c r="O34" s="1747"/>
      <c r="P34" s="3729"/>
      <c r="Q34" s="1305">
        <f t="shared" si="8"/>
        <v>111</v>
      </c>
      <c r="R34" s="1306" t="s">
        <v>5</v>
      </c>
      <c r="S34" s="1307">
        <f t="shared" si="9"/>
        <v>100</v>
      </c>
      <c r="T34" s="1306" t="s">
        <v>5</v>
      </c>
      <c r="U34" s="1307">
        <f t="shared" si="10"/>
        <v>100</v>
      </c>
      <c r="V34" s="1306" t="s">
        <v>5</v>
      </c>
      <c r="W34" s="1307">
        <f t="shared" si="11"/>
        <v>100</v>
      </c>
      <c r="X34" s="1301"/>
      <c r="Y34" s="3729"/>
      <c r="Z34" s="1308">
        <f t="shared" si="12"/>
        <v>111</v>
      </c>
      <c r="AA34" s="1308">
        <f t="shared" si="3"/>
        <v>1</v>
      </c>
      <c r="AB34" s="1308">
        <f t="shared" si="4"/>
        <v>1</v>
      </c>
      <c r="AC34" s="1308">
        <f t="shared" si="5"/>
        <v>1</v>
      </c>
    </row>
    <row r="35" spans="1:29" ht="15">
      <c r="A35" s="556" t="s">
        <v>683</v>
      </c>
      <c r="B35" s="810"/>
      <c r="C35" s="2080" t="s">
        <v>0</v>
      </c>
      <c r="D35" s="559"/>
      <c r="E35" s="560"/>
      <c r="F35" s="561"/>
      <c r="G35" s="562"/>
      <c r="H35" s="563"/>
      <c r="I35" s="560"/>
      <c r="J35" s="563"/>
      <c r="K35" s="1334"/>
      <c r="L35" s="1750"/>
      <c r="M35" s="1741"/>
      <c r="N35" s="1741"/>
      <c r="O35" s="1741"/>
      <c r="P35" s="3724" t="str">
        <f>A35</f>
        <v>成交单价（元/平方米）</v>
      </c>
      <c r="Q35" s="3724"/>
      <c r="R35" s="3740">
        <f>E35</f>
        <v>0</v>
      </c>
      <c r="S35" s="3740"/>
      <c r="T35" s="3740">
        <f>G35</f>
        <v>0</v>
      </c>
      <c r="U35" s="3740"/>
      <c r="V35" s="3740">
        <f>I35</f>
        <v>0</v>
      </c>
      <c r="W35" s="3740"/>
      <c r="X35" s="797"/>
      <c r="Y35" s="1313"/>
      <c r="Z35" s="797"/>
      <c r="AA35" s="797"/>
      <c r="AB35" s="797"/>
      <c r="AC35" s="797"/>
    </row>
    <row r="36" spans="1:29" ht="15.75" thickBot="1">
      <c r="A36" s="564" t="s">
        <v>2039</v>
      </c>
      <c r="B36" s="811"/>
      <c r="C36" s="2081" t="e">
        <f>R37</f>
        <v>#DIV/0!</v>
      </c>
      <c r="D36" s="2549" t="s">
        <v>2256</v>
      </c>
      <c r="E36" s="2082" t="e">
        <f>R36</f>
        <v>#DIV/0!</v>
      </c>
      <c r="F36" s="2550"/>
      <c r="G36" s="2081" t="e">
        <f>T36</f>
        <v>#DIV/0!</v>
      </c>
      <c r="H36" s="2550"/>
      <c r="I36" s="2082" t="e">
        <f>V36</f>
        <v>#DIV/0!</v>
      </c>
      <c r="J36" s="2550"/>
      <c r="K36" s="2557">
        <f>F36+H36+J36</f>
        <v>0</v>
      </c>
      <c r="L36" s="1750"/>
      <c r="M36" s="1741"/>
      <c r="N36" s="1741"/>
      <c r="O36" s="1741"/>
      <c r="P36" s="3724" t="str">
        <f>A36</f>
        <v>比较价格（元/平方米）</v>
      </c>
      <c r="Q36" s="3724"/>
      <c r="R36" s="3740" t="e">
        <f>IF(F1="售价",ROUND(PRODUCT(R35,AA7:AA34),0),ROUND(PRODUCT(R35,AA7:AA34),1))</f>
        <v>#DIV/0!</v>
      </c>
      <c r="S36" s="3740"/>
      <c r="T36" s="3740" t="e">
        <f>IF(F1="售价",ROUND(PRODUCT(T35,AB7:AB34),0),ROUND(PRODUCT(T35,AB7:AB34),1))</f>
        <v>#DIV/0!</v>
      </c>
      <c r="U36" s="3740"/>
      <c r="V36" s="3740" t="e">
        <f>IF(F1="售价",ROUND(PRODUCT(V35,AC7:AC34),0),ROUND(PRODUCT(V35,AC7:AC34),1))</f>
        <v>#DIV/0!</v>
      </c>
      <c r="W36" s="3740"/>
      <c r="X36" s="797"/>
      <c r="Y36" s="797"/>
      <c r="Z36" s="797"/>
      <c r="AA36" s="797"/>
      <c r="AB36" s="797"/>
      <c r="AC36" s="797"/>
    </row>
    <row r="37" spans="1:29" ht="15.75" thickBot="1">
      <c r="A37" s="568" t="s">
        <v>2192</v>
      </c>
      <c r="B37" s="569"/>
      <c r="C37" s="469" t="e">
        <f>R37</f>
        <v>#DIV/0!</v>
      </c>
      <c r="D37" s="469"/>
      <c r="E37" s="469"/>
      <c r="F37" s="469"/>
      <c r="G37" s="469"/>
      <c r="H37" s="469"/>
      <c r="I37" s="469"/>
      <c r="J37" s="469"/>
      <c r="K37" s="1335"/>
      <c r="L37" s="1750"/>
      <c r="M37" s="1741"/>
      <c r="N37" s="1741"/>
      <c r="O37" s="1741"/>
      <c r="P37" s="3730" t="str">
        <f>A37</f>
        <v>估价对象XX用房的比较价格（楼面单价，元/平方米）</v>
      </c>
      <c r="Q37" s="3731"/>
      <c r="R37" s="3835" t="e">
        <f>IF(F1="售价",ROUND(IF(D36="简单平均",AVERAGE(R36:W36),R36*F36+T36*H36+V36*J36),0),ROUND(IF(D36="简单平均",AVERAGE(R36:V36),R36*F36+T36*H36+V36*J36),1))</f>
        <v>#DIV/0!</v>
      </c>
      <c r="S37" s="3835"/>
      <c r="T37" s="3835"/>
      <c r="U37" s="3835"/>
      <c r="V37" s="3835"/>
      <c r="W37" s="3835"/>
      <c r="X37" s="797"/>
      <c r="Y37" s="797"/>
      <c r="Z37" s="797"/>
      <c r="AA37" s="797"/>
      <c r="AB37" s="797"/>
      <c r="AC37" s="797"/>
    </row>
    <row r="38" spans="1:29">
      <c r="A38" s="2720"/>
      <c r="B38" s="2720"/>
      <c r="C38" s="2720"/>
      <c r="D38" s="2720"/>
      <c r="E38" s="2720"/>
      <c r="F38" s="2720"/>
      <c r="G38" s="2722"/>
      <c r="H38" s="2720"/>
      <c r="I38" s="2720"/>
      <c r="J38" s="2720"/>
      <c r="K38" s="2723"/>
      <c r="L38" s="1754"/>
      <c r="M38" s="1741"/>
      <c r="N38" s="1741"/>
      <c r="O38" s="1741"/>
      <c r="P38" s="1741"/>
      <c r="Q38" s="1741"/>
      <c r="R38" s="1741"/>
      <c r="S38" s="1741"/>
      <c r="T38" s="1741"/>
      <c r="U38" s="1741"/>
      <c r="V38" s="1741"/>
      <c r="W38" s="1741"/>
      <c r="X38" s="1741"/>
      <c r="Y38" s="1741"/>
      <c r="Z38" s="1741"/>
      <c r="AA38" s="1741"/>
      <c r="AB38" s="1741"/>
      <c r="AC38" s="1741"/>
    </row>
    <row r="39" spans="1:29">
      <c r="A39" s="2720"/>
      <c r="B39" s="2720"/>
      <c r="C39" s="2720"/>
      <c r="D39" s="2720"/>
      <c r="E39" s="2720"/>
      <c r="F39" s="2720"/>
      <c r="G39" s="2720"/>
      <c r="H39" s="2720"/>
      <c r="I39" s="2720"/>
      <c r="J39" s="2720"/>
      <c r="K39" s="2723"/>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20"/>
      <c r="B40" s="2720"/>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3"/>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20"/>
      <c r="B41" s="2720"/>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3"/>
      <c r="L41" s="1754"/>
      <c r="M41" s="1741"/>
      <c r="N41" s="1741"/>
      <c r="O41" s="1741"/>
      <c r="P41" s="1741"/>
      <c r="Q41" s="1741"/>
      <c r="R41" s="1741"/>
      <c r="S41" s="1741"/>
      <c r="T41" s="1741"/>
      <c r="U41" s="1741"/>
      <c r="V41" s="1741"/>
      <c r="W41" s="1741"/>
      <c r="X41" s="1741"/>
      <c r="Y41" s="1741"/>
      <c r="Z41" s="1741"/>
      <c r="AA41" s="1741"/>
      <c r="AB41" s="1741"/>
      <c r="AC41" s="1741"/>
    </row>
    <row r="42" spans="1:29" s="1137" customFormat="1" ht="13.5" customHeight="1">
      <c r="A42" s="2721"/>
      <c r="B42" s="2721"/>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4"/>
      <c r="L42" s="1757"/>
      <c r="M42" s="1751"/>
      <c r="N42" s="1751"/>
      <c r="O42" s="1751"/>
      <c r="P42" s="1751"/>
      <c r="Q42" s="1751"/>
      <c r="R42" s="1751"/>
      <c r="S42" s="1751"/>
      <c r="T42" s="1751"/>
      <c r="U42" s="1751"/>
      <c r="V42" s="1751"/>
      <c r="W42" s="1751"/>
      <c r="X42" s="1751"/>
      <c r="Y42" s="1751"/>
      <c r="Z42" s="1751"/>
      <c r="AA42" s="1751"/>
      <c r="AB42" s="1751"/>
      <c r="AC42" s="1751"/>
    </row>
    <row r="43" spans="1:29" s="1137"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1.75" thickBot="1">
      <c r="A45" s="1316" t="s">
        <v>522</v>
      </c>
      <c r="B45" s="797"/>
      <c r="C45" s="1315"/>
      <c r="D45" s="1315"/>
      <c r="E45" s="1315"/>
      <c r="F45" s="1317"/>
      <c r="G45" s="1317"/>
      <c r="H45" s="1315"/>
      <c r="I45" s="1315"/>
      <c r="J45" s="1315"/>
      <c r="K45" s="1318"/>
      <c r="L45" s="1314"/>
      <c r="M45" s="1315"/>
      <c r="N45" s="1761"/>
      <c r="O45" s="1761"/>
      <c r="P45" s="1761"/>
      <c r="Q45" s="1762"/>
      <c r="R45" s="1741"/>
      <c r="S45" s="1741"/>
      <c r="T45" s="1741"/>
      <c r="U45" s="1741"/>
      <c r="V45" s="1741"/>
      <c r="W45" s="1741"/>
      <c r="X45" s="1741"/>
      <c r="Y45" s="1741"/>
      <c r="Z45" s="1741"/>
      <c r="AA45" s="1741"/>
      <c r="AB45" s="1741"/>
      <c r="AC45" s="1741"/>
    </row>
    <row r="46" spans="1:29" s="1139" customFormat="1" ht="15">
      <c r="A46" s="592" t="s">
        <v>478</v>
      </c>
      <c r="B46" s="593"/>
      <c r="C46" s="2112" t="str">
        <f>YEAR(C7)&amp;"-"&amp;MONTH(C7)</f>
        <v>2023-9</v>
      </c>
      <c r="D46" s="2114">
        <f>EDATE(C46,-1)</f>
        <v>45139</v>
      </c>
      <c r="E46" s="2114">
        <f t="shared" ref="E46:O46" si="13">EDATE(D46,-1)</f>
        <v>45108</v>
      </c>
      <c r="F46" s="2114">
        <f t="shared" si="13"/>
        <v>45078</v>
      </c>
      <c r="G46" s="2114">
        <f t="shared" si="13"/>
        <v>45047</v>
      </c>
      <c r="H46" s="2114">
        <f t="shared" si="13"/>
        <v>45017</v>
      </c>
      <c r="I46" s="2114">
        <f t="shared" si="13"/>
        <v>44986</v>
      </c>
      <c r="J46" s="2114">
        <f t="shared" si="13"/>
        <v>44958</v>
      </c>
      <c r="K46" s="2114">
        <f t="shared" si="13"/>
        <v>44927</v>
      </c>
      <c r="L46" s="2114">
        <f t="shared" si="13"/>
        <v>44896</v>
      </c>
      <c r="M46" s="2114">
        <f t="shared" si="13"/>
        <v>44866</v>
      </c>
      <c r="N46" s="2114">
        <f t="shared" si="13"/>
        <v>44835</v>
      </c>
      <c r="O46" s="2114">
        <f t="shared" si="13"/>
        <v>44805</v>
      </c>
      <c r="P46" s="1764"/>
      <c r="Q46" s="1764"/>
      <c r="R46" s="1764"/>
      <c r="S46" s="1764"/>
      <c r="T46" s="1764"/>
      <c r="U46" s="1764"/>
      <c r="V46" s="1764"/>
      <c r="W46" s="1764"/>
      <c r="X46" s="1764"/>
      <c r="Y46" s="1764"/>
      <c r="Z46" s="1764"/>
      <c r="AA46" s="1764"/>
      <c r="AB46" s="1764"/>
      <c r="AC46" s="1764"/>
    </row>
    <row r="47" spans="1:29" s="1058" customFormat="1" ht="15">
      <c r="A47" s="527"/>
      <c r="B47" s="594"/>
      <c r="C47" s="595">
        <v>100</v>
      </c>
      <c r="D47" s="596"/>
      <c r="E47" s="596"/>
      <c r="F47" s="596"/>
      <c r="G47" s="596"/>
      <c r="H47" s="596"/>
      <c r="I47" s="596"/>
      <c r="J47" s="596"/>
      <c r="K47" s="596"/>
      <c r="L47" s="596"/>
      <c r="M47" s="487"/>
      <c r="N47" s="596"/>
      <c r="O47" s="597"/>
      <c r="P47" s="1762"/>
      <c r="Q47" s="1639"/>
      <c r="R47" s="1639"/>
      <c r="S47" s="1639"/>
      <c r="T47" s="1639"/>
      <c r="U47" s="1639"/>
      <c r="V47" s="1639"/>
      <c r="W47" s="1639"/>
      <c r="X47" s="1639"/>
      <c r="Y47" s="1639"/>
      <c r="Z47" s="1639"/>
      <c r="AA47" s="1639"/>
      <c r="AB47" s="1639"/>
      <c r="AC47" s="1639"/>
    </row>
    <row r="48" spans="1:29" s="1058" customFormat="1" ht="15.75" thickBot="1">
      <c r="A48" s="262" t="s">
        <v>523</v>
      </c>
      <c r="B48" s="598"/>
      <c r="C48" s="599"/>
      <c r="D48" s="600"/>
      <c r="E48" s="600"/>
      <c r="F48" s="600"/>
      <c r="G48" s="600"/>
      <c r="H48" s="600"/>
      <c r="I48" s="600"/>
      <c r="J48" s="600"/>
      <c r="K48" s="600"/>
      <c r="L48" s="600"/>
      <c r="M48" s="601"/>
      <c r="N48" s="600"/>
      <c r="O48" s="602"/>
      <c r="P48" s="1762"/>
      <c r="Q48" s="1762"/>
      <c r="R48" s="1639"/>
      <c r="S48" s="1639"/>
      <c r="T48" s="1639"/>
      <c r="U48" s="1639"/>
      <c r="V48" s="1639"/>
      <c r="W48" s="1639"/>
      <c r="X48" s="1639"/>
      <c r="Y48" s="1639"/>
      <c r="Z48" s="1639"/>
      <c r="AA48" s="1639"/>
      <c r="AB48" s="1639"/>
      <c r="AC48" s="1639"/>
    </row>
    <row r="49" spans="1:29" s="1058" customFormat="1" ht="15">
      <c r="A49" s="603" t="s">
        <v>480</v>
      </c>
      <c r="B49" s="594"/>
      <c r="C49" s="604" t="s">
        <v>524</v>
      </c>
      <c r="D49" s="80"/>
      <c r="E49" s="80"/>
      <c r="F49" s="80"/>
      <c r="G49" s="80"/>
      <c r="H49" s="80"/>
      <c r="I49" s="80"/>
      <c r="J49" s="80"/>
      <c r="K49" s="80"/>
      <c r="L49" s="605"/>
      <c r="M49" s="606"/>
      <c r="N49" s="1765"/>
      <c r="O49" s="1765"/>
      <c r="P49" s="1646"/>
      <c r="Q49" s="1762"/>
      <c r="R49" s="1639"/>
      <c r="S49" s="1639"/>
      <c r="T49" s="1639"/>
      <c r="U49" s="1639"/>
      <c r="V49" s="1639"/>
      <c r="W49" s="1639"/>
      <c r="X49" s="1639"/>
      <c r="Y49" s="1639"/>
      <c r="Z49" s="1639"/>
      <c r="AA49" s="1639"/>
      <c r="AB49" s="1639"/>
      <c r="AC49" s="1639"/>
    </row>
    <row r="50" spans="1:29" s="1058" customFormat="1" ht="15.75" thickBot="1">
      <c r="A50" s="603"/>
      <c r="B50" s="594"/>
      <c r="C50" s="595">
        <v>100</v>
      </c>
      <c r="D50" s="596"/>
      <c r="E50" s="596"/>
      <c r="F50" s="596"/>
      <c r="G50" s="596"/>
      <c r="H50" s="596"/>
      <c r="I50" s="596"/>
      <c r="J50" s="596"/>
      <c r="K50" s="596"/>
      <c r="L50" s="596"/>
      <c r="M50" s="597"/>
      <c r="N50" s="1765"/>
      <c r="O50" s="1765"/>
      <c r="P50" s="1762"/>
      <c r="Q50" s="1762"/>
      <c r="R50" s="1639"/>
      <c r="S50" s="1639"/>
      <c r="T50" s="1639"/>
      <c r="U50" s="1639"/>
      <c r="V50" s="1639"/>
      <c r="W50" s="1639"/>
      <c r="X50" s="1639"/>
      <c r="Y50" s="1639"/>
      <c r="Z50" s="1639"/>
      <c r="AA50" s="1639"/>
      <c r="AB50" s="1639"/>
      <c r="AC50" s="1639"/>
    </row>
    <row r="51" spans="1:29">
      <c r="A51" s="607" t="s">
        <v>525</v>
      </c>
      <c r="B51" s="608" t="s">
        <v>483</v>
      </c>
      <c r="C51" s="645">
        <f>C9</f>
        <v>0</v>
      </c>
      <c r="D51" s="547"/>
      <c r="E51" s="547"/>
      <c r="F51" s="547"/>
      <c r="G51" s="547"/>
      <c r="H51" s="547"/>
      <c r="I51" s="547"/>
      <c r="J51" s="547"/>
      <c r="K51" s="609"/>
      <c r="L51" s="610"/>
      <c r="M51" s="611"/>
      <c r="N51" s="1766"/>
      <c r="O51" s="1766"/>
      <c r="P51" s="1765"/>
      <c r="Q51" s="1762"/>
      <c r="R51" s="1741"/>
      <c r="S51" s="1741"/>
      <c r="T51" s="1741"/>
      <c r="U51" s="1741"/>
      <c r="V51" s="1741"/>
      <c r="W51" s="1741"/>
      <c r="X51" s="1741"/>
      <c r="Y51" s="1741"/>
      <c r="Z51" s="1741"/>
      <c r="AA51" s="1741"/>
      <c r="AB51" s="1741"/>
      <c r="AC51" s="1741"/>
    </row>
    <row r="52" spans="1:29" ht="15.75" thickBot="1">
      <c r="A52" s="482"/>
      <c r="B52" s="612"/>
      <c r="C52" s="613">
        <v>100</v>
      </c>
      <c r="D52" s="613"/>
      <c r="E52" s="613"/>
      <c r="F52" s="613"/>
      <c r="G52" s="613"/>
      <c r="H52" s="613"/>
      <c r="I52" s="613"/>
      <c r="J52" s="613"/>
      <c r="K52" s="613"/>
      <c r="L52" s="613"/>
      <c r="M52" s="614"/>
      <c r="N52" s="1767"/>
      <c r="O52" s="1767"/>
      <c r="P52" s="1765"/>
      <c r="Q52" s="1762"/>
      <c r="R52" s="1741"/>
      <c r="S52" s="1741"/>
      <c r="T52" s="1741"/>
      <c r="U52" s="1741"/>
      <c r="V52" s="1741"/>
      <c r="W52" s="1741"/>
      <c r="X52" s="1741"/>
      <c r="Y52" s="1741"/>
      <c r="Z52" s="1741"/>
      <c r="AA52" s="1741"/>
      <c r="AB52" s="1741"/>
      <c r="AC52" s="1741"/>
    </row>
    <row r="53" spans="1:29" ht="27.75" thickTop="1">
      <c r="A53" s="482"/>
      <c r="B53" s="615" t="s">
        <v>486</v>
      </c>
      <c r="C53" s="658"/>
      <c r="D53" s="658"/>
      <c r="E53" s="658"/>
      <c r="F53" s="658"/>
      <c r="G53" s="658"/>
      <c r="H53" s="658"/>
      <c r="I53" s="658"/>
      <c r="J53" s="658"/>
      <c r="K53" s="659"/>
      <c r="L53" s="660"/>
      <c r="M53" s="661"/>
      <c r="N53" s="1766"/>
      <c r="O53" s="1766"/>
      <c r="P53" s="1765"/>
      <c r="Q53" s="1762"/>
      <c r="R53" s="1741"/>
      <c r="S53" s="1741"/>
      <c r="T53" s="1741"/>
      <c r="U53" s="1741"/>
      <c r="V53" s="1741"/>
      <c r="W53" s="1741"/>
      <c r="X53" s="1741"/>
      <c r="Y53" s="1741"/>
      <c r="Z53" s="1741"/>
      <c r="AA53" s="1741"/>
      <c r="AB53" s="1741"/>
      <c r="AC53" s="1741"/>
    </row>
    <row r="54" spans="1:29" ht="15.75" thickBot="1">
      <c r="A54" s="482"/>
      <c r="B54" s="620"/>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15.75" thickTop="1">
      <c r="A55" s="482"/>
      <c r="B55" s="854">
        <f>B11</f>
        <v>111</v>
      </c>
      <c r="C55" s="491"/>
      <c r="D55" s="491"/>
      <c r="E55" s="491"/>
      <c r="F55" s="491"/>
      <c r="G55" s="491"/>
      <c r="H55" s="491"/>
      <c r="I55" s="491"/>
      <c r="J55" s="491"/>
      <c r="K55" s="626"/>
      <c r="L55" s="627"/>
      <c r="M55" s="628"/>
      <c r="N55" s="1766"/>
      <c r="O55" s="1766"/>
      <c r="P55" s="1765"/>
      <c r="Q55" s="1762"/>
      <c r="R55" s="1741"/>
      <c r="S55" s="1741"/>
      <c r="T55" s="1741"/>
      <c r="U55" s="1741"/>
      <c r="V55" s="1741"/>
      <c r="W55" s="1741"/>
      <c r="X55" s="1741"/>
      <c r="Y55" s="1741"/>
      <c r="Z55" s="1741"/>
      <c r="AA55" s="1741"/>
      <c r="AB55" s="1741"/>
      <c r="AC55" s="1741"/>
    </row>
    <row r="56" spans="1:29" ht="15.75" thickBot="1">
      <c r="A56" s="482"/>
      <c r="B56" s="612"/>
      <c r="C56" s="634"/>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s="1132" customFormat="1" ht="15.75" thickTop="1">
      <c r="A57" s="629"/>
      <c r="B57" s="615">
        <f>B12</f>
        <v>111</v>
      </c>
      <c r="C57" s="491"/>
      <c r="D57" s="491"/>
      <c r="E57" s="491"/>
      <c r="F57" s="491"/>
      <c r="G57" s="630"/>
      <c r="H57" s="631"/>
      <c r="I57" s="631"/>
      <c r="J57" s="631"/>
      <c r="K57" s="631"/>
      <c r="L57" s="632"/>
      <c r="M57" s="633"/>
      <c r="N57" s="1768"/>
      <c r="O57" s="1768"/>
      <c r="P57" s="1768"/>
      <c r="Q57" s="1769"/>
      <c r="R57" s="1770"/>
      <c r="S57" s="1770"/>
      <c r="T57" s="1770"/>
      <c r="U57" s="1770"/>
      <c r="V57" s="1770"/>
      <c r="W57" s="1770"/>
      <c r="X57" s="1770"/>
      <c r="Y57" s="1770"/>
      <c r="Z57" s="1770"/>
      <c r="AA57" s="1770"/>
      <c r="AB57" s="1770"/>
      <c r="AC57" s="1770"/>
    </row>
    <row r="58" spans="1:29" s="1132" customFormat="1" ht="15.75" thickBot="1">
      <c r="A58" s="629"/>
      <c r="B58" s="620"/>
      <c r="C58" s="634"/>
      <c r="D58" s="613"/>
      <c r="E58" s="613"/>
      <c r="F58" s="613"/>
      <c r="G58" s="613"/>
      <c r="H58" s="613"/>
      <c r="I58" s="613"/>
      <c r="J58" s="613"/>
      <c r="K58" s="613"/>
      <c r="L58" s="613"/>
      <c r="M58" s="614"/>
      <c r="N58" s="1767"/>
      <c r="O58" s="1767"/>
      <c r="P58" s="1768"/>
      <c r="Q58" s="1769"/>
      <c r="R58" s="1770"/>
      <c r="S58" s="1770"/>
      <c r="T58" s="1770"/>
      <c r="U58" s="1770"/>
      <c r="V58" s="1770"/>
      <c r="W58" s="1770"/>
      <c r="X58" s="1770"/>
      <c r="Y58" s="1770"/>
      <c r="Z58" s="1770"/>
      <c r="AA58" s="1770"/>
      <c r="AB58" s="1770"/>
      <c r="AC58" s="1770"/>
    </row>
    <row r="59" spans="1:29" s="1132" customFormat="1" ht="15.75" thickTop="1">
      <c r="A59" s="629"/>
      <c r="B59" s="615">
        <f>B13</f>
        <v>111</v>
      </c>
      <c r="C59" s="491"/>
      <c r="D59" s="491"/>
      <c r="E59" s="491"/>
      <c r="F59" s="491"/>
      <c r="G59" s="630"/>
      <c r="H59" s="631"/>
      <c r="I59" s="631"/>
      <c r="J59" s="631"/>
      <c r="K59" s="631"/>
      <c r="L59" s="632"/>
      <c r="M59" s="633"/>
      <c r="N59" s="1768"/>
      <c r="O59" s="1768"/>
      <c r="P59" s="1770"/>
      <c r="Q59" s="1771"/>
      <c r="R59" s="1770"/>
      <c r="S59" s="1770"/>
      <c r="T59" s="1770"/>
      <c r="U59" s="1770"/>
      <c r="V59" s="1770"/>
      <c r="W59" s="1770"/>
      <c r="X59" s="1770"/>
      <c r="Y59" s="1770"/>
      <c r="Z59" s="1770"/>
      <c r="AA59" s="1770"/>
      <c r="AB59" s="1770"/>
      <c r="AC59" s="1770"/>
    </row>
    <row r="60" spans="1:29" s="1132" customFormat="1" ht="15.75" thickBot="1">
      <c r="A60" s="629"/>
      <c r="B60" s="620"/>
      <c r="C60" s="634"/>
      <c r="D60" s="634"/>
      <c r="E60" s="634"/>
      <c r="F60" s="634"/>
      <c r="G60" s="634"/>
      <c r="H60" s="635"/>
      <c r="I60" s="635"/>
      <c r="J60" s="635"/>
      <c r="K60" s="635"/>
      <c r="L60" s="635"/>
      <c r="M60" s="636"/>
      <c r="N60" s="1768"/>
      <c r="O60" s="1768"/>
      <c r="P60" s="1768"/>
      <c r="Q60" s="1769"/>
      <c r="R60" s="1770"/>
      <c r="S60" s="1770"/>
      <c r="T60" s="1770"/>
      <c r="U60" s="1770"/>
      <c r="V60" s="1770"/>
      <c r="W60" s="1770"/>
      <c r="X60" s="1770"/>
      <c r="Y60" s="1770"/>
      <c r="Z60" s="1770"/>
      <c r="AA60" s="1770"/>
      <c r="AB60" s="1770"/>
      <c r="AC60" s="1770"/>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6"/>
      <c r="O61" s="1766"/>
      <c r="P61" s="1773"/>
      <c r="Q61" s="1762"/>
      <c r="R61" s="1741"/>
      <c r="S61" s="1741"/>
      <c r="T61" s="1741"/>
      <c r="U61" s="1741"/>
      <c r="V61" s="1741"/>
      <c r="W61" s="1741"/>
      <c r="X61" s="1741"/>
      <c r="Y61" s="1741"/>
      <c r="Z61" s="1741"/>
      <c r="AA61" s="1741"/>
      <c r="AB61" s="1741"/>
      <c r="AC61" s="1741"/>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7"/>
      <c r="O62" s="1767"/>
      <c r="P62" s="1765"/>
      <c r="Q62" s="1762"/>
      <c r="R62" s="1741"/>
      <c r="S62" s="1741"/>
      <c r="T62" s="1741"/>
      <c r="U62" s="1741"/>
      <c r="V62" s="1741"/>
      <c r="W62" s="1741"/>
      <c r="X62" s="1741"/>
      <c r="Y62" s="1741"/>
      <c r="Z62" s="1741"/>
      <c r="AA62" s="1741"/>
      <c r="AB62" s="1741"/>
      <c r="AC62" s="1741"/>
    </row>
    <row r="63" spans="1:29" ht="15.75" thickTop="1">
      <c r="A63" s="482"/>
      <c r="B63" s="1554" t="s">
        <v>1837</v>
      </c>
      <c r="C63" s="649" t="s">
        <v>527</v>
      </c>
      <c r="D63" s="649" t="s">
        <v>528</v>
      </c>
      <c r="E63" s="649" t="s">
        <v>529</v>
      </c>
      <c r="F63" s="649" t="s">
        <v>530</v>
      </c>
      <c r="G63" s="649" t="s">
        <v>531</v>
      </c>
      <c r="H63" s="616"/>
      <c r="I63" s="616"/>
      <c r="J63" s="616"/>
      <c r="K63" s="617"/>
      <c r="L63" s="618"/>
      <c r="M63" s="619"/>
      <c r="N63" s="1766"/>
      <c r="O63" s="1766"/>
      <c r="P63" s="1765"/>
      <c r="Q63" s="1762"/>
      <c r="R63" s="1741"/>
      <c r="S63" s="1741"/>
      <c r="T63" s="1741"/>
      <c r="U63" s="1741"/>
      <c r="V63" s="1741"/>
      <c r="W63" s="1741"/>
      <c r="X63" s="1741"/>
      <c r="Y63" s="1741"/>
      <c r="Z63" s="1741"/>
      <c r="AA63" s="1741"/>
      <c r="AB63" s="1741"/>
      <c r="AC63" s="1741"/>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75" thickTop="1">
      <c r="A65" s="482"/>
      <c r="B65" s="2055" t="s">
        <v>1838</v>
      </c>
      <c r="C65" s="2056" t="s">
        <v>1839</v>
      </c>
      <c r="D65" s="2056" t="s">
        <v>1840</v>
      </c>
      <c r="E65" s="2056" t="s">
        <v>1841</v>
      </c>
      <c r="F65" s="2056" t="s">
        <v>1842</v>
      </c>
      <c r="G65" s="2056" t="s">
        <v>1843</v>
      </c>
      <c r="H65" s="616"/>
      <c r="I65" s="616"/>
      <c r="J65" s="616"/>
      <c r="K65" s="616"/>
      <c r="L65" s="616"/>
      <c r="M65" s="2059"/>
      <c r="N65" s="1767"/>
      <c r="O65" s="1767"/>
      <c r="P65" s="1765"/>
      <c r="Q65" s="1762"/>
      <c r="R65" s="1741"/>
      <c r="S65" s="1741"/>
      <c r="T65" s="1741"/>
      <c r="U65" s="1741"/>
      <c r="V65" s="1741"/>
      <c r="W65" s="1741"/>
      <c r="X65" s="1741"/>
      <c r="Y65" s="1741"/>
      <c r="Z65" s="1741"/>
      <c r="AA65" s="1741"/>
      <c r="AB65" s="1741"/>
      <c r="AC65" s="1741"/>
    </row>
    <row r="66" spans="1:29" ht="15.75" thickBot="1">
      <c r="A66" s="482"/>
      <c r="B66" s="623"/>
      <c r="C66" s="621">
        <v>100</v>
      </c>
      <c r="D66" s="621">
        <f>C66-$K18</f>
        <v>100</v>
      </c>
      <c r="E66" s="621">
        <f>D66-$K18</f>
        <v>100</v>
      </c>
      <c r="F66" s="621">
        <f>E66-$K18</f>
        <v>100</v>
      </c>
      <c r="G66" s="621">
        <f>F66-$K18</f>
        <v>100</v>
      </c>
      <c r="H66" s="854"/>
      <c r="I66" s="854"/>
      <c r="J66" s="854"/>
      <c r="K66" s="854"/>
      <c r="L66" s="854"/>
      <c r="M66" s="509"/>
      <c r="N66" s="1767"/>
      <c r="O66" s="1767"/>
      <c r="P66" s="1765"/>
      <c r="Q66" s="1762"/>
      <c r="R66" s="1741"/>
      <c r="S66" s="1741"/>
      <c r="T66" s="1741"/>
      <c r="U66" s="1741"/>
      <c r="V66" s="1741"/>
      <c r="W66" s="1741"/>
      <c r="X66" s="1741"/>
      <c r="Y66" s="1741"/>
      <c r="Z66" s="1741"/>
      <c r="AA66" s="1741"/>
      <c r="AB66" s="1741"/>
      <c r="AC66" s="1741"/>
    </row>
    <row r="67" spans="1:29" ht="15.75" thickTop="1">
      <c r="A67" s="482"/>
      <c r="B67" s="615" t="s">
        <v>684</v>
      </c>
      <c r="C67" s="649" t="s">
        <v>527</v>
      </c>
      <c r="D67" s="649" t="s">
        <v>528</v>
      </c>
      <c r="E67" s="649" t="s">
        <v>529</v>
      </c>
      <c r="F67" s="649" t="s">
        <v>530</v>
      </c>
      <c r="G67" s="649" t="s">
        <v>531</v>
      </c>
      <c r="H67" s="616"/>
      <c r="I67" s="616"/>
      <c r="J67" s="616"/>
      <c r="K67" s="617"/>
      <c r="L67" s="618"/>
      <c r="M67" s="619"/>
      <c r="N67" s="1766"/>
      <c r="O67" s="1766"/>
      <c r="P67" s="1765"/>
      <c r="Q67" s="1762"/>
      <c r="R67" s="1741"/>
      <c r="S67" s="1741"/>
      <c r="T67" s="1741"/>
      <c r="U67" s="1741"/>
      <c r="V67" s="1741"/>
      <c r="W67" s="1741"/>
      <c r="X67" s="1741"/>
      <c r="Y67" s="1741"/>
      <c r="Z67" s="1741"/>
      <c r="AA67" s="1741"/>
      <c r="AB67" s="1741"/>
      <c r="AC67" s="1741"/>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7"/>
      <c r="O68" s="1767"/>
      <c r="P68" s="1765"/>
      <c r="Q68" s="1762"/>
      <c r="R68" s="1741"/>
      <c r="S68" s="1741"/>
      <c r="T68" s="1741"/>
      <c r="U68" s="1741"/>
      <c r="V68" s="1741"/>
      <c r="W68" s="1741"/>
      <c r="X68" s="1741"/>
      <c r="Y68" s="1741"/>
      <c r="Z68" s="1741"/>
      <c r="AA68" s="1741"/>
      <c r="AB68" s="1741"/>
      <c r="AC68" s="1741"/>
    </row>
    <row r="69" spans="1:29" ht="15.75" thickTop="1">
      <c r="A69" s="482"/>
      <c r="B69" s="615" t="s">
        <v>685</v>
      </c>
      <c r="C69" s="630"/>
      <c r="D69" s="630"/>
      <c r="E69" s="630"/>
      <c r="F69" s="630"/>
      <c r="G69" s="630"/>
      <c r="H69" s="658"/>
      <c r="I69" s="658"/>
      <c r="J69" s="658"/>
      <c r="K69" s="659"/>
      <c r="L69" s="660"/>
      <c r="M69" s="661"/>
      <c r="N69" s="1766"/>
      <c r="O69" s="1766"/>
      <c r="P69" s="1765"/>
      <c r="Q69" s="1762"/>
      <c r="R69" s="1741"/>
      <c r="S69" s="1741"/>
      <c r="T69" s="1741"/>
      <c r="U69" s="1741"/>
      <c r="V69" s="1741"/>
      <c r="W69" s="1741"/>
      <c r="X69" s="1741"/>
      <c r="Y69" s="1741"/>
      <c r="Z69" s="1741"/>
      <c r="AA69" s="1741"/>
      <c r="AB69" s="1741"/>
      <c r="AC69" s="1741"/>
    </row>
    <row r="70" spans="1:29" ht="15.75" thickBot="1">
      <c r="A70" s="482"/>
      <c r="B70" s="620"/>
      <c r="C70" s="621">
        <v>100</v>
      </c>
      <c r="D70" s="621">
        <f>C70-$K22</f>
        <v>100</v>
      </c>
      <c r="E70" s="621"/>
      <c r="F70" s="621"/>
      <c r="G70" s="621"/>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s="1058" customFormat="1" ht="15.75" thickTop="1">
      <c r="A71" s="486"/>
      <c r="B71" s="615">
        <f>B23</f>
        <v>111</v>
      </c>
      <c r="C71" s="491"/>
      <c r="D71" s="491"/>
      <c r="E71" s="491"/>
      <c r="F71" s="491"/>
      <c r="G71" s="630"/>
      <c r="H71" s="630"/>
      <c r="I71" s="630"/>
      <c r="J71" s="630"/>
      <c r="K71" s="630"/>
      <c r="L71" s="813"/>
      <c r="M71" s="814"/>
      <c r="N71" s="1765"/>
      <c r="O71" s="1765"/>
      <c r="P71" s="1765"/>
      <c r="Q71" s="1762"/>
      <c r="R71" s="1639"/>
      <c r="S71" s="1639"/>
      <c r="T71" s="1639"/>
      <c r="U71" s="1639"/>
      <c r="V71" s="1639"/>
      <c r="W71" s="1639"/>
      <c r="X71" s="1639"/>
      <c r="Y71" s="1639"/>
      <c r="Z71" s="1639"/>
      <c r="AA71" s="1639"/>
      <c r="AB71" s="1639"/>
      <c r="AC71" s="1639"/>
    </row>
    <row r="72" spans="1:29" s="1058" customFormat="1" ht="15.75" thickBot="1">
      <c r="A72" s="486"/>
      <c r="B72" s="620"/>
      <c r="C72" s="634"/>
      <c r="D72" s="613"/>
      <c r="E72" s="613"/>
      <c r="F72" s="613"/>
      <c r="G72" s="613"/>
      <c r="H72" s="613"/>
      <c r="I72" s="613"/>
      <c r="J72" s="613"/>
      <c r="K72" s="613"/>
      <c r="L72" s="613"/>
      <c r="M72" s="614"/>
      <c r="N72" s="1767"/>
      <c r="O72" s="1767"/>
      <c r="P72" s="1765"/>
      <c r="Q72" s="1762"/>
      <c r="R72" s="1639"/>
      <c r="S72" s="1639"/>
      <c r="T72" s="1639"/>
      <c r="U72" s="1639"/>
      <c r="V72" s="1639"/>
      <c r="W72" s="1639"/>
      <c r="X72" s="1639"/>
      <c r="Y72" s="1639"/>
      <c r="Z72" s="1639"/>
      <c r="AA72" s="1639"/>
      <c r="AB72" s="1639"/>
      <c r="AC72" s="1639"/>
    </row>
    <row r="73" spans="1:29" s="1058" customFormat="1" ht="15.75" thickTop="1">
      <c r="A73" s="486"/>
      <c r="B73" s="615">
        <f>B24</f>
        <v>111</v>
      </c>
      <c r="C73" s="491"/>
      <c r="D73" s="491"/>
      <c r="E73" s="491"/>
      <c r="F73" s="491"/>
      <c r="G73" s="630"/>
      <c r="H73" s="630"/>
      <c r="I73" s="630"/>
      <c r="J73" s="630"/>
      <c r="K73" s="630"/>
      <c r="L73" s="630"/>
      <c r="M73" s="814"/>
      <c r="N73" s="1765"/>
      <c r="O73" s="1765"/>
      <c r="P73" s="1765"/>
      <c r="Q73" s="1762"/>
      <c r="R73" s="1639"/>
      <c r="S73" s="1639"/>
      <c r="T73" s="1639"/>
      <c r="U73" s="1639"/>
      <c r="V73" s="1639"/>
      <c r="W73" s="1639"/>
      <c r="X73" s="1639"/>
      <c r="Y73" s="1639"/>
      <c r="Z73" s="1639"/>
      <c r="AA73" s="1639"/>
      <c r="AB73" s="1639"/>
      <c r="AC73" s="1639"/>
    </row>
    <row r="74" spans="1:29" s="1058" customFormat="1" ht="15.75"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132" customFormat="1" ht="15.75" thickTop="1">
      <c r="A75" s="629"/>
      <c r="B75" s="615">
        <f>B25</f>
        <v>111</v>
      </c>
      <c r="C75" s="491"/>
      <c r="D75" s="491"/>
      <c r="E75" s="491"/>
      <c r="F75" s="491"/>
      <c r="G75" s="630"/>
      <c r="H75" s="631"/>
      <c r="I75" s="631"/>
      <c r="J75" s="631"/>
      <c r="K75" s="631"/>
      <c r="L75" s="632"/>
      <c r="M75" s="633"/>
      <c r="N75" s="1768"/>
      <c r="O75" s="1768"/>
      <c r="P75" s="1768"/>
      <c r="Q75" s="1769"/>
      <c r="R75" s="1770"/>
      <c r="S75" s="1770"/>
      <c r="T75" s="1770"/>
      <c r="U75" s="1770"/>
      <c r="V75" s="1770"/>
      <c r="W75" s="1770"/>
      <c r="X75" s="1770"/>
      <c r="Y75" s="1770"/>
      <c r="Z75" s="1770"/>
      <c r="AA75" s="1770"/>
      <c r="AB75" s="1770"/>
      <c r="AC75" s="1770"/>
    </row>
    <row r="76" spans="1:29" s="1132" customFormat="1" ht="15.75" thickBot="1">
      <c r="A76" s="629"/>
      <c r="B76" s="620"/>
      <c r="C76" s="634"/>
      <c r="D76" s="634"/>
      <c r="E76" s="634"/>
      <c r="F76" s="634"/>
      <c r="G76" s="613"/>
      <c r="H76" s="613"/>
      <c r="I76" s="613"/>
      <c r="J76" s="613"/>
      <c r="K76" s="613"/>
      <c r="L76" s="613"/>
      <c r="M76" s="614"/>
      <c r="N76" s="1768"/>
      <c r="O76" s="1768"/>
      <c r="P76" s="1768"/>
      <c r="Q76" s="1769"/>
      <c r="R76" s="1770"/>
      <c r="S76" s="1770"/>
      <c r="T76" s="1770"/>
      <c r="U76" s="1770"/>
      <c r="V76" s="1770"/>
      <c r="W76" s="1770"/>
      <c r="X76" s="1770"/>
      <c r="Y76" s="1770"/>
      <c r="Z76" s="1770"/>
      <c r="AA76" s="1770"/>
      <c r="AB76" s="1770"/>
      <c r="AC76" s="1770"/>
    </row>
    <row r="77" spans="1:29" ht="15" thickTop="1">
      <c r="A77" s="607" t="s">
        <v>500</v>
      </c>
      <c r="B77" s="608" t="s">
        <v>691</v>
      </c>
      <c r="C77" s="630"/>
      <c r="D77" s="630"/>
      <c r="E77" s="547"/>
      <c r="F77" s="547"/>
      <c r="G77" s="547"/>
      <c r="H77" s="547"/>
      <c r="I77" s="547"/>
      <c r="J77" s="547"/>
      <c r="K77" s="609"/>
      <c r="L77" s="610"/>
      <c r="M77" s="611"/>
      <c r="N77" s="1766"/>
      <c r="O77" s="1766"/>
      <c r="P77" s="1765"/>
      <c r="Q77" s="1762"/>
      <c r="R77" s="1741"/>
      <c r="S77" s="1741"/>
      <c r="T77" s="1741"/>
      <c r="U77" s="1741"/>
      <c r="V77" s="1741"/>
      <c r="W77" s="1741"/>
      <c r="X77" s="1741"/>
      <c r="Y77" s="1741"/>
      <c r="Z77" s="1741"/>
      <c r="AA77" s="1741"/>
      <c r="AB77" s="1741"/>
      <c r="AC77" s="1741"/>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7"/>
      <c r="O78" s="1767"/>
      <c r="P78" s="1765"/>
      <c r="Q78" s="1762"/>
      <c r="R78" s="1741"/>
      <c r="S78" s="1741"/>
      <c r="T78" s="1741"/>
      <c r="U78" s="1741"/>
      <c r="V78" s="1741"/>
      <c r="W78" s="1741"/>
      <c r="X78" s="1741"/>
      <c r="Y78" s="1741"/>
      <c r="Z78" s="1741"/>
      <c r="AA78" s="1741"/>
      <c r="AB78" s="1741"/>
      <c r="AC78" s="1741"/>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5"/>
      <c r="O79" s="1765"/>
      <c r="P79" s="1765"/>
      <c r="Q79" s="1762"/>
      <c r="R79" s="1741"/>
      <c r="S79" s="1741"/>
      <c r="T79" s="1741"/>
      <c r="U79" s="1741"/>
      <c r="V79" s="1741"/>
      <c r="W79" s="1741"/>
      <c r="X79" s="1741"/>
      <c r="Y79" s="1741"/>
      <c r="Z79" s="1741"/>
      <c r="AA79" s="1741"/>
      <c r="AB79" s="1741"/>
      <c r="AC79" s="1741"/>
    </row>
    <row r="80" spans="1:29" ht="15">
      <c r="A80" s="482"/>
      <c r="B80" s="623"/>
      <c r="C80" s="816">
        <v>0.5</v>
      </c>
      <c r="D80" s="816">
        <v>0.6</v>
      </c>
      <c r="E80" s="816">
        <v>0.7</v>
      </c>
      <c r="F80" s="816">
        <v>0.8</v>
      </c>
      <c r="G80" s="816">
        <v>0.9</v>
      </c>
      <c r="H80" s="816">
        <v>1.0001</v>
      </c>
      <c r="I80" s="854"/>
      <c r="J80" s="854"/>
      <c r="K80" s="862"/>
      <c r="L80" s="863"/>
      <c r="M80" s="864"/>
      <c r="N80" s="1765"/>
      <c r="O80" s="1765"/>
      <c r="P80" s="1765"/>
      <c r="Q80" s="1762"/>
      <c r="R80" s="1741"/>
      <c r="S80" s="1741"/>
      <c r="T80" s="1741"/>
      <c r="U80" s="1741"/>
      <c r="V80" s="1741"/>
      <c r="W80" s="1741"/>
      <c r="X80" s="1741"/>
      <c r="Y80" s="1741"/>
      <c r="Z80" s="1741"/>
      <c r="AA80" s="1741"/>
      <c r="AB80" s="1741"/>
      <c r="AC80" s="1741"/>
    </row>
    <row r="81" spans="1:29" s="1132"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7"/>
      <c r="O81" s="1767"/>
      <c r="P81" s="1768"/>
      <c r="Q81" s="1769"/>
      <c r="R81" s="1770"/>
      <c r="S81" s="1770"/>
      <c r="T81" s="1770"/>
      <c r="U81" s="1770"/>
      <c r="V81" s="1770"/>
      <c r="W81" s="1770"/>
      <c r="X81" s="1770"/>
      <c r="Y81" s="1770"/>
      <c r="Z81" s="1770"/>
      <c r="AA81" s="1770"/>
      <c r="AB81" s="1770"/>
      <c r="AC81" s="1770"/>
    </row>
    <row r="82" spans="1:29" ht="15" thickTop="1">
      <c r="A82" s="543"/>
      <c r="B82" s="623" t="s">
        <v>757</v>
      </c>
      <c r="C82" s="630"/>
      <c r="D82" s="630"/>
      <c r="E82" s="658"/>
      <c r="F82" s="658"/>
      <c r="G82" s="658"/>
      <c r="H82" s="658"/>
      <c r="I82" s="658"/>
      <c r="J82" s="658"/>
      <c r="K82" s="659"/>
      <c r="L82" s="660"/>
      <c r="M82" s="661"/>
      <c r="N82" s="1766"/>
      <c r="O82" s="1766"/>
      <c r="P82" s="1765"/>
      <c r="Q82" s="1762"/>
      <c r="R82" s="1741"/>
      <c r="S82" s="1741"/>
      <c r="T82" s="1741"/>
      <c r="U82" s="1741"/>
      <c r="V82" s="1741"/>
      <c r="W82" s="1741"/>
      <c r="X82" s="1741"/>
      <c r="Y82" s="1741"/>
      <c r="Z82" s="1741"/>
      <c r="AA82" s="1741"/>
      <c r="AB82" s="1741"/>
      <c r="AC82" s="1741"/>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7"/>
      <c r="O83" s="1767"/>
      <c r="P83" s="1765"/>
      <c r="Q83" s="1762"/>
      <c r="R83" s="1741"/>
      <c r="S83" s="1741"/>
      <c r="T83" s="1741"/>
      <c r="U83" s="1741"/>
      <c r="V83" s="1741"/>
      <c r="W83" s="1741"/>
      <c r="X83" s="1741"/>
      <c r="Y83" s="1741"/>
      <c r="Z83" s="1741"/>
      <c r="AA83" s="1741"/>
      <c r="AB83" s="1741"/>
      <c r="AC83" s="1741"/>
    </row>
    <row r="84" spans="1:29" ht="15" thickTop="1">
      <c r="A84" s="543"/>
      <c r="B84" s="615" t="s">
        <v>765</v>
      </c>
      <c r="C84" s="630"/>
      <c r="D84" s="630"/>
      <c r="E84" s="630"/>
      <c r="F84" s="630"/>
      <c r="G84" s="630"/>
      <c r="H84" s="630"/>
      <c r="I84" s="658"/>
      <c r="J84" s="658"/>
      <c r="K84" s="659"/>
      <c r="L84" s="660"/>
      <c r="M84" s="661"/>
      <c r="N84" s="1766"/>
      <c r="O84" s="1766"/>
      <c r="P84" s="1765"/>
      <c r="Q84" s="1762"/>
      <c r="R84" s="1741"/>
      <c r="S84" s="1741"/>
      <c r="T84" s="1741"/>
      <c r="U84" s="1741"/>
      <c r="V84" s="1741"/>
      <c r="W84" s="1741"/>
      <c r="X84" s="1741"/>
      <c r="Y84" s="1741"/>
      <c r="Z84" s="1741"/>
      <c r="AA84" s="1741"/>
      <c r="AB84" s="1741"/>
      <c r="AC84" s="1741"/>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7"/>
      <c r="O85" s="1767"/>
      <c r="P85" s="1765"/>
      <c r="Q85" s="1762"/>
      <c r="R85" s="1741"/>
      <c r="S85" s="1741"/>
      <c r="T85" s="1741"/>
      <c r="U85" s="1741"/>
      <c r="V85" s="1741"/>
      <c r="W85" s="1741"/>
      <c r="X85" s="1741"/>
      <c r="Y85" s="1741"/>
      <c r="Z85" s="1741"/>
      <c r="AA85" s="1741"/>
      <c r="AB85" s="1741"/>
      <c r="AC85" s="1741"/>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6"/>
      <c r="O86" s="1766"/>
      <c r="P86" s="1765"/>
      <c r="Q86" s="1762"/>
      <c r="R86" s="1741"/>
      <c r="S86" s="1741"/>
      <c r="T86" s="1741"/>
      <c r="U86" s="1741"/>
      <c r="V86" s="1741"/>
      <c r="W86" s="1741"/>
      <c r="X86" s="1741"/>
      <c r="Y86" s="1741"/>
      <c r="Z86" s="1741"/>
      <c r="AA86" s="1741"/>
      <c r="AB86" s="1741"/>
      <c r="AC86" s="1741"/>
    </row>
    <row r="87" spans="1:29">
      <c r="A87" s="543"/>
      <c r="B87" s="623"/>
      <c r="C87" s="79"/>
      <c r="D87" s="79"/>
      <c r="E87" s="79"/>
      <c r="F87" s="79"/>
      <c r="G87" s="79"/>
      <c r="H87" s="79"/>
      <c r="I87" s="79"/>
      <c r="J87" s="669"/>
      <c r="K87" s="669"/>
      <c r="L87" s="670"/>
      <c r="M87" s="671"/>
      <c r="N87" s="1766"/>
      <c r="O87" s="1766"/>
      <c r="P87" s="1765"/>
      <c r="Q87" s="1762"/>
      <c r="R87" s="1741"/>
      <c r="S87" s="1741"/>
      <c r="T87" s="1741"/>
      <c r="U87" s="1741"/>
      <c r="V87" s="1741"/>
      <c r="W87" s="1741"/>
      <c r="X87" s="1741"/>
      <c r="Y87" s="1741"/>
      <c r="Z87" s="1741"/>
      <c r="AA87" s="1741"/>
      <c r="AB87" s="1741"/>
      <c r="AC87" s="1741"/>
    </row>
    <row r="88" spans="1:29" ht="15.75" thickBot="1">
      <c r="A88" s="482"/>
      <c r="B88" s="620"/>
      <c r="C88" s="634"/>
      <c r="D88" s="613"/>
      <c r="E88" s="613"/>
      <c r="F88" s="613"/>
      <c r="G88" s="613"/>
      <c r="H88" s="613"/>
      <c r="I88" s="613"/>
      <c r="J88" s="613"/>
      <c r="K88" s="613"/>
      <c r="L88" s="613"/>
      <c r="M88" s="613"/>
      <c r="N88" s="1767"/>
      <c r="O88" s="1767"/>
      <c r="P88" s="1765"/>
      <c r="Q88" s="1762"/>
      <c r="R88" s="1741"/>
      <c r="S88" s="1741"/>
      <c r="T88" s="1741"/>
      <c r="U88" s="1741"/>
      <c r="V88" s="1741"/>
      <c r="W88" s="1741"/>
      <c r="X88" s="1741"/>
      <c r="Y88" s="1741"/>
      <c r="Z88" s="1741"/>
      <c r="AA88" s="1741"/>
      <c r="AB88" s="1741"/>
      <c r="AC88" s="1741"/>
    </row>
    <row r="89" spans="1:29" s="1132" customFormat="1" ht="15" thickTop="1">
      <c r="A89" s="552"/>
      <c r="B89" s="615" t="s">
        <v>767</v>
      </c>
      <c r="C89" s="630"/>
      <c r="D89" s="630"/>
      <c r="E89" s="630"/>
      <c r="F89" s="630"/>
      <c r="G89" s="630"/>
      <c r="H89" s="630"/>
      <c r="I89" s="630"/>
      <c r="J89" s="630"/>
      <c r="K89" s="630"/>
      <c r="L89" s="630"/>
      <c r="M89" s="814"/>
      <c r="N89" s="1768"/>
      <c r="O89" s="1768"/>
      <c r="P89" s="1768"/>
      <c r="Q89" s="1769"/>
      <c r="R89" s="1770"/>
      <c r="S89" s="1770"/>
      <c r="T89" s="1770"/>
      <c r="U89" s="1770"/>
      <c r="V89" s="1770"/>
      <c r="W89" s="1770"/>
      <c r="X89" s="1770"/>
      <c r="Y89" s="1770"/>
      <c r="Z89" s="1770"/>
      <c r="AA89" s="1770"/>
      <c r="AB89" s="1770"/>
      <c r="AC89" s="1770"/>
    </row>
    <row r="90" spans="1:29" s="1132" customFormat="1" ht="15.75" thickBot="1">
      <c r="A90" s="629"/>
      <c r="B90" s="620"/>
      <c r="C90" s="634"/>
      <c r="D90" s="613"/>
      <c r="E90" s="613"/>
      <c r="F90" s="613"/>
      <c r="G90" s="613"/>
      <c r="H90" s="613"/>
      <c r="I90" s="613"/>
      <c r="J90" s="613"/>
      <c r="K90" s="613"/>
      <c r="L90" s="613"/>
      <c r="M90" s="614"/>
      <c r="N90" s="1768"/>
      <c r="O90" s="1768"/>
      <c r="P90" s="1768"/>
      <c r="Q90" s="1769"/>
      <c r="R90" s="1770"/>
      <c r="S90" s="1770"/>
      <c r="T90" s="1770"/>
      <c r="U90" s="1770"/>
      <c r="V90" s="1770"/>
      <c r="W90" s="1770"/>
      <c r="X90" s="1770"/>
      <c r="Y90" s="1770"/>
      <c r="Z90" s="1770"/>
      <c r="AA90" s="1770"/>
      <c r="AB90" s="1770"/>
      <c r="AC90" s="1770"/>
    </row>
    <row r="91" spans="1:29" ht="15" thickTop="1">
      <c r="A91" s="543"/>
      <c r="B91" s="615">
        <f>B32</f>
        <v>111</v>
      </c>
      <c r="C91" s="491"/>
      <c r="D91" s="491"/>
      <c r="E91" s="491"/>
      <c r="F91" s="491"/>
      <c r="G91" s="630"/>
      <c r="H91" s="631"/>
      <c r="I91" s="631"/>
      <c r="J91" s="631"/>
      <c r="K91" s="631"/>
      <c r="L91" s="632"/>
      <c r="M91" s="633"/>
      <c r="N91" s="1766"/>
      <c r="O91" s="1766"/>
      <c r="P91" s="1765"/>
      <c r="Q91" s="1762"/>
      <c r="R91" s="1741"/>
      <c r="S91" s="1741"/>
      <c r="T91" s="1741"/>
      <c r="U91" s="1741"/>
      <c r="V91" s="1741"/>
      <c r="W91" s="1741"/>
      <c r="X91" s="1741"/>
      <c r="Y91" s="1741"/>
      <c r="Z91" s="1741"/>
      <c r="AA91" s="1741"/>
      <c r="AB91" s="1741"/>
      <c r="AC91" s="1741"/>
    </row>
    <row r="92" spans="1:29" ht="15.75" thickBot="1">
      <c r="A92" s="482"/>
      <c r="B92" s="620"/>
      <c r="C92" s="634"/>
      <c r="D92" s="613"/>
      <c r="E92" s="613"/>
      <c r="F92" s="613"/>
      <c r="G92" s="634"/>
      <c r="H92" s="635"/>
      <c r="I92" s="635"/>
      <c r="J92" s="635"/>
      <c r="K92" s="635"/>
      <c r="L92" s="635"/>
      <c r="M92" s="636"/>
      <c r="N92" s="1767"/>
      <c r="O92" s="1767"/>
      <c r="P92" s="1765"/>
      <c r="Q92" s="1762"/>
      <c r="R92" s="1741"/>
      <c r="S92" s="1741"/>
      <c r="T92" s="1741"/>
      <c r="U92" s="1741"/>
      <c r="V92" s="1741"/>
      <c r="W92" s="1741"/>
      <c r="X92" s="1741"/>
      <c r="Y92" s="1741"/>
      <c r="Z92" s="1741"/>
      <c r="AA92" s="1741"/>
      <c r="AB92" s="1741"/>
      <c r="AC92" s="1741"/>
    </row>
    <row r="93" spans="1:29" ht="15" thickTop="1">
      <c r="A93" s="543"/>
      <c r="B93" s="615">
        <f>B33</f>
        <v>111</v>
      </c>
      <c r="C93" s="491"/>
      <c r="D93" s="491"/>
      <c r="E93" s="491"/>
      <c r="F93" s="491"/>
      <c r="G93" s="630"/>
      <c r="H93" s="631"/>
      <c r="I93" s="631"/>
      <c r="J93" s="631"/>
      <c r="K93" s="631"/>
      <c r="L93" s="632"/>
      <c r="M93" s="633"/>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34"/>
      <c r="D94" s="613"/>
      <c r="E94" s="613"/>
      <c r="F94" s="613"/>
      <c r="G94" s="634"/>
      <c r="H94" s="635"/>
      <c r="I94" s="635"/>
      <c r="J94" s="635"/>
      <c r="K94" s="635"/>
      <c r="L94" s="635"/>
      <c r="M94" s="636"/>
      <c r="N94" s="1767"/>
      <c r="O94" s="1767"/>
      <c r="P94" s="1765"/>
      <c r="Q94" s="1762"/>
      <c r="R94" s="1741"/>
      <c r="S94" s="1741"/>
      <c r="T94" s="1741"/>
      <c r="U94" s="1741"/>
      <c r="V94" s="1741"/>
      <c r="W94" s="1741"/>
      <c r="X94" s="1741"/>
      <c r="Y94" s="1741"/>
      <c r="Z94" s="1741"/>
      <c r="AA94" s="1741"/>
      <c r="AB94" s="1741"/>
      <c r="AC94" s="1741"/>
    </row>
    <row r="95" spans="1:29" ht="15" thickTop="1">
      <c r="A95" s="543"/>
      <c r="B95" s="837">
        <f>B34</f>
        <v>111</v>
      </c>
      <c r="C95" s="491"/>
      <c r="D95" s="491"/>
      <c r="E95" s="491"/>
      <c r="F95" s="491"/>
      <c r="G95" s="630"/>
      <c r="H95" s="631"/>
      <c r="I95" s="631"/>
      <c r="J95" s="631"/>
      <c r="K95" s="631"/>
      <c r="L95" s="632"/>
      <c r="M95" s="633"/>
      <c r="N95" s="1767"/>
      <c r="O95" s="1767"/>
      <c r="P95" s="1767"/>
      <c r="Q95" s="1802"/>
      <c r="R95" s="1741"/>
      <c r="S95" s="1741"/>
      <c r="T95" s="1741"/>
      <c r="U95" s="1741"/>
      <c r="V95" s="1741"/>
      <c r="W95" s="1741"/>
      <c r="X95" s="1741"/>
      <c r="Y95" s="1741"/>
      <c r="Z95" s="1741"/>
      <c r="AA95" s="1741"/>
      <c r="AB95" s="1741"/>
      <c r="AC95" s="1741"/>
    </row>
    <row r="96" spans="1:29" ht="15.75" thickBot="1">
      <c r="A96" s="482"/>
      <c r="B96" s="620"/>
      <c r="C96" s="634"/>
      <c r="D96" s="634"/>
      <c r="E96" s="634"/>
      <c r="F96" s="634"/>
      <c r="G96" s="634"/>
      <c r="H96" s="635"/>
      <c r="I96" s="635"/>
      <c r="J96" s="635"/>
      <c r="K96" s="635"/>
      <c r="L96" s="635"/>
      <c r="M96" s="636"/>
      <c r="N96" s="1767"/>
      <c r="O96" s="1767"/>
      <c r="P96" s="1765"/>
      <c r="Q96" s="1762"/>
      <c r="R96" s="1741"/>
      <c r="S96" s="1741"/>
      <c r="T96" s="1741"/>
      <c r="U96" s="1741"/>
      <c r="V96" s="1741"/>
      <c r="W96" s="1741"/>
      <c r="X96" s="1741"/>
      <c r="Y96" s="1741"/>
      <c r="Z96" s="1741"/>
      <c r="AA96" s="1741"/>
      <c r="AB96" s="1741"/>
      <c r="AC96" s="1741"/>
    </row>
    <row r="97" spans="1:29" ht="15"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66" sqref="C66:M67"/>
      <selection pane="bottomLeft" activeCell="C66" sqref="C66:M67"/>
    </sheetView>
  </sheetViews>
  <sheetFormatPr defaultColWidth="9" defaultRowHeight="12.75"/>
  <cols>
    <col min="1" max="1" width="11.5" style="1043" customWidth="1"/>
    <col min="2" max="2" width="9.125" style="1056" customWidth="1"/>
    <col min="3" max="3" width="5" style="1056" customWidth="1"/>
    <col min="4" max="4" width="9" style="1056"/>
    <col min="5" max="5" width="5" style="1056" customWidth="1"/>
    <col min="6" max="6" width="9" style="1056"/>
    <col min="7" max="7" width="5" style="1056" customWidth="1"/>
    <col min="8" max="8" width="9" style="1056"/>
    <col min="9" max="9" width="5" style="1056" customWidth="1"/>
    <col min="10" max="10" width="9" style="1056"/>
    <col min="11" max="11" width="5" style="1056" customWidth="1"/>
    <col min="12" max="12" width="9" style="1056"/>
    <col min="13" max="13" width="5" style="1056" customWidth="1"/>
    <col min="14" max="14" width="9" style="1056"/>
    <col min="15" max="15" width="5" style="1056" customWidth="1"/>
    <col min="16" max="16" width="9" style="1056"/>
    <col min="17" max="17" width="5" style="1056" customWidth="1"/>
    <col min="18" max="18" width="9" style="1056"/>
    <col min="19" max="19" width="9" style="1043"/>
    <col min="20" max="35" width="9" style="237"/>
    <col min="36" max="16384" width="9" style="1043"/>
  </cols>
  <sheetData>
    <row r="1" spans="1:45" s="237" customFormat="1" ht="14.25" customHeight="1" thickBot="1">
      <c r="A1" s="339"/>
      <c r="B1" s="1827" t="s">
        <v>1658</v>
      </c>
      <c r="C1" s="3844" t="s">
        <v>1659</v>
      </c>
      <c r="D1" s="3845"/>
      <c r="E1" s="3845"/>
      <c r="F1" s="3845"/>
      <c r="G1" s="3845"/>
      <c r="H1" s="3845"/>
      <c r="I1" s="3845"/>
      <c r="J1" s="3845"/>
      <c r="K1" s="3845"/>
      <c r="L1" s="3845"/>
      <c r="M1" s="3845"/>
      <c r="N1" s="3845"/>
      <c r="O1" s="3845"/>
      <c r="P1" s="3845"/>
      <c r="Q1" s="3845"/>
      <c r="R1" s="3845"/>
      <c r="S1" s="3846"/>
      <c r="T1" s="1827" t="s">
        <v>1660</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7" t="s">
        <v>1661</v>
      </c>
      <c r="C2" s="24" t="str">
        <f t="shared" ref="C2:L2" si="0">C3&amp;"(含)"&amp;"-"&amp;D3</f>
        <v>(含)-</v>
      </c>
      <c r="D2" s="866" t="str">
        <f t="shared" si="0"/>
        <v>(含)-</v>
      </c>
      <c r="E2" s="866" t="str">
        <f t="shared" si="0"/>
        <v>(含)-</v>
      </c>
      <c r="F2" s="866" t="str">
        <f t="shared" si="0"/>
        <v>(含)-</v>
      </c>
      <c r="G2" s="866" t="str">
        <f t="shared" si="0"/>
        <v>(含)-</v>
      </c>
      <c r="H2" s="866" t="str">
        <f t="shared" si="0"/>
        <v>(含)-</v>
      </c>
      <c r="I2" s="866" t="str">
        <f t="shared" si="0"/>
        <v>(含)-</v>
      </c>
      <c r="J2" s="866" t="str">
        <f t="shared" si="0"/>
        <v>(含)-</v>
      </c>
      <c r="K2" s="866" t="str">
        <f t="shared" si="0"/>
        <v>(含)-</v>
      </c>
      <c r="L2" s="866" t="str">
        <f t="shared" si="0"/>
        <v>(含)-</v>
      </c>
      <c r="M2" s="866" t="str">
        <f t="shared" ref="M2:R2" si="1">M3&amp;"(含)"&amp;"-"&amp;N3</f>
        <v>(含)-</v>
      </c>
      <c r="N2" s="866" t="str">
        <f t="shared" si="1"/>
        <v>(含)-</v>
      </c>
      <c r="O2" s="866" t="str">
        <f t="shared" si="1"/>
        <v>(含)-</v>
      </c>
      <c r="P2" s="866" t="str">
        <f t="shared" si="1"/>
        <v>(含)-</v>
      </c>
      <c r="Q2" s="866" t="str">
        <f t="shared" si="1"/>
        <v>(含)-</v>
      </c>
      <c r="R2" s="866" t="str">
        <f t="shared" si="1"/>
        <v>(含)-</v>
      </c>
      <c r="S2" s="1829" t="str">
        <f>S3&amp;"(含)"&amp;"-"</f>
        <v>(含)-</v>
      </c>
      <c r="T2" s="867"/>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68"/>
      <c r="C3" s="869"/>
      <c r="D3" s="10"/>
      <c r="E3" s="10"/>
      <c r="F3" s="10"/>
      <c r="G3" s="10"/>
      <c r="H3" s="10"/>
      <c r="I3" s="10"/>
      <c r="J3" s="870"/>
      <c r="K3" s="870"/>
      <c r="L3" s="871"/>
      <c r="M3" s="1832"/>
      <c r="N3" s="1833"/>
      <c r="O3" s="10"/>
      <c r="P3" s="10"/>
      <c r="Q3" s="10"/>
      <c r="R3" s="10"/>
      <c r="S3" s="1834"/>
      <c r="T3" s="872"/>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5"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3" customFormat="1">
      <c r="A5" s="1844"/>
      <c r="B5" s="2344" t="s">
        <v>2185</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3" customFormat="1" ht="13.5"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3" customFormat="1">
      <c r="A7" s="1844"/>
      <c r="B7" s="2346" t="s">
        <v>2184</v>
      </c>
      <c r="C7" s="1618"/>
      <c r="D7" s="1619"/>
      <c r="E7" s="1619"/>
      <c r="F7" s="1619"/>
      <c r="G7" s="1619"/>
      <c r="H7" s="1619"/>
      <c r="I7" s="1619"/>
      <c r="J7" s="1619"/>
      <c r="K7" s="1619"/>
      <c r="L7" s="1619"/>
      <c r="M7" s="1852"/>
      <c r="N7" s="1853"/>
      <c r="O7" s="1854"/>
      <c r="P7" s="1854"/>
      <c r="Q7" s="1855"/>
      <c r="R7" s="1856"/>
      <c r="S7" s="1857"/>
      <c r="T7" s="873"/>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3" customFormat="1" ht="13.5"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3" customFormat="1">
      <c r="A9" s="1844"/>
      <c r="B9" s="2346" t="s">
        <v>2183</v>
      </c>
      <c r="C9" s="1618"/>
      <c r="D9" s="1619"/>
      <c r="E9" s="1619"/>
      <c r="F9" s="1619"/>
      <c r="G9" s="1619"/>
      <c r="H9" s="1619"/>
      <c r="I9" s="1619"/>
      <c r="J9" s="1619"/>
      <c r="K9" s="1619"/>
      <c r="L9" s="1620"/>
      <c r="M9" s="1852"/>
      <c r="N9" s="1853"/>
      <c r="O9" s="1854"/>
      <c r="P9" s="1854"/>
      <c r="Q9" s="1855"/>
      <c r="R9" s="1856"/>
      <c r="S9" s="1857"/>
      <c r="T9" s="873"/>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3" customFormat="1" ht="13.5" thickBot="1">
      <c r="A10" s="1844"/>
      <c r="B10" s="2345"/>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3" customFormat="1">
      <c r="A11" s="1844"/>
      <c r="B11" s="2344" t="s">
        <v>2196</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3" customFormat="1" ht="13.5"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3" customFormat="1">
      <c r="A13" s="1844"/>
      <c r="B13" s="2344" t="s">
        <v>2182</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3" customFormat="1" ht="13.5"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3" customFormat="1">
      <c r="A15" s="1844"/>
      <c r="B15" s="2344" t="s">
        <v>2181</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3" customFormat="1" ht="13.5"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1662</v>
      </c>
      <c r="B17" s="1869" t="s">
        <v>1663</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5"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7"/>
      <c r="B19" s="865"/>
      <c r="C19" s="1637"/>
      <c r="D19" s="1637"/>
      <c r="E19" s="1637"/>
      <c r="F19" s="1637"/>
      <c r="G19" s="1637"/>
      <c r="H19" s="1637"/>
      <c r="I19" s="1637"/>
      <c r="J19" s="1637"/>
      <c r="K19" s="1637"/>
      <c r="L19" s="1637"/>
      <c r="M19" s="1637"/>
      <c r="N19" s="1637"/>
      <c r="O19" s="1637"/>
      <c r="P19" s="1637"/>
      <c r="Q19" s="1637"/>
      <c r="R19" s="1637"/>
      <c r="S19" s="1635"/>
    </row>
    <row r="20" spans="1:45" ht="15.75">
      <c r="A20" s="874" t="s">
        <v>768</v>
      </c>
      <c r="B20" s="708">
        <f>S22</f>
        <v>0</v>
      </c>
      <c r="C20" s="1637"/>
      <c r="D20" s="1637"/>
      <c r="E20" s="1637"/>
      <c r="F20" s="1637"/>
      <c r="G20" s="1637"/>
      <c r="H20" s="1637"/>
      <c r="I20" s="1637"/>
      <c r="J20" s="1637"/>
      <c r="K20" s="1637"/>
      <c r="L20" s="1637"/>
      <c r="M20" s="1637"/>
      <c r="N20" s="1637"/>
      <c r="O20" s="1637"/>
      <c r="P20" s="1637"/>
      <c r="Q20" s="1637"/>
      <c r="R20" s="1637"/>
      <c r="S20" s="1635"/>
    </row>
    <row r="21" spans="1:45" ht="15.75">
      <c r="A21" s="874" t="str">
        <f>IF(B23="土地面积","地面单价","楼面单价")</f>
        <v>楼面单价</v>
      </c>
      <c r="B21" s="708" t="e">
        <f>R22</f>
        <v>#DIV/0!</v>
      </c>
      <c r="C21" s="1637"/>
      <c r="D21" s="1637"/>
      <c r="E21" s="1637"/>
      <c r="F21" s="1637"/>
      <c r="G21" s="1637"/>
      <c r="H21" s="1637"/>
      <c r="I21" s="1637"/>
      <c r="J21" s="1637"/>
      <c r="K21" s="1637"/>
      <c r="L21" s="1637"/>
      <c r="M21" s="1637"/>
      <c r="N21" s="1637"/>
      <c r="O21" s="1637"/>
      <c r="P21" s="1637"/>
      <c r="Q21" s="1637"/>
      <c r="R21" s="1637"/>
      <c r="S21" s="1635"/>
    </row>
    <row r="22" spans="1:45">
      <c r="A22" s="732" t="s">
        <v>769</v>
      </c>
      <c r="B22" s="49">
        <f>SUM(B24:B10000)</f>
        <v>0</v>
      </c>
      <c r="C22" s="3841" t="s">
        <v>14</v>
      </c>
      <c r="D22" s="3842"/>
      <c r="E22" s="3842"/>
      <c r="F22" s="3842"/>
      <c r="G22" s="3842"/>
      <c r="H22" s="3842"/>
      <c r="I22" s="3842"/>
      <c r="J22" s="3842"/>
      <c r="K22" s="3842"/>
      <c r="L22" s="3842"/>
      <c r="M22" s="3842"/>
      <c r="N22" s="3842"/>
      <c r="O22" s="3842"/>
      <c r="P22" s="3842"/>
      <c r="Q22" s="3843"/>
      <c r="R22" s="49" t="e">
        <f>ROUND(S22*10000/B22,0)</f>
        <v>#DIV/0!</v>
      </c>
      <c r="S22" s="49">
        <f>SUM(S24:S10000)</f>
        <v>0</v>
      </c>
    </row>
    <row r="23" spans="1:45" s="1336" customFormat="1" ht="24">
      <c r="A23" s="14" t="s">
        <v>770</v>
      </c>
      <c r="B23" s="2418" t="s">
        <v>2204</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7" customFormat="1">
      <c r="A24" s="875" t="s">
        <v>774</v>
      </c>
      <c r="B24" s="875"/>
      <c r="C24" s="2775">
        <v>1</v>
      </c>
      <c r="D24" s="2776"/>
      <c r="E24" s="2775">
        <v>1</v>
      </c>
      <c r="F24" s="2776"/>
      <c r="G24" s="2775">
        <v>1</v>
      </c>
      <c r="H24" s="2776"/>
      <c r="I24" s="2775">
        <v>1</v>
      </c>
      <c r="J24" s="2776"/>
      <c r="K24" s="2775">
        <v>1</v>
      </c>
      <c r="L24" s="2776"/>
      <c r="M24" s="2775">
        <v>1</v>
      </c>
      <c r="N24" s="2776"/>
      <c r="O24" s="2775">
        <v>1</v>
      </c>
      <c r="P24" s="2776"/>
      <c r="Q24" s="2775">
        <v>1</v>
      </c>
      <c r="R24" s="875"/>
      <c r="S24" s="876">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78"/>
      <c r="B25" s="126"/>
      <c r="C25" s="49">
        <f>IF(B25="",1,(LOOKUP(B25,$3:$3,$4:$4)-LOOKUP($B$24,$3:$3,$4:$4)+100)/100)</f>
        <v>1</v>
      </c>
      <c r="D25" s="877"/>
      <c r="E25" s="49">
        <f>(SUMIF($5:$5,D25,$6:$6)-SUMIF($5:$5,$D$24,$6:$6)+100)/100</f>
        <v>1</v>
      </c>
      <c r="F25" s="877"/>
      <c r="G25" s="49">
        <f>(SUMIF($7:$7,F25,$8:$8)-SUMIF($7:$7,$F$24,$8:$8)+100)/100</f>
        <v>1</v>
      </c>
      <c r="H25" s="877"/>
      <c r="I25" s="49">
        <f>(SUMIF($9:$9,H25,$10:$10)-SUMIF($9:$9,$H$24,$10:$10)+100)/100</f>
        <v>1</v>
      </c>
      <c r="J25" s="877"/>
      <c r="K25" s="49">
        <f>(SUMIF($11:$11,J25,$12:$12)-SUMIF($11:$11,$J$24,$12:$12)+100)/100</f>
        <v>1</v>
      </c>
      <c r="L25" s="877"/>
      <c r="M25" s="49">
        <f>(SUMIF($13:$13,L25,$14:$14)-SUMIF($13:$13,$L$24,$14:$14)+100)/100</f>
        <v>1</v>
      </c>
      <c r="N25" s="877"/>
      <c r="O25" s="49">
        <f>(SUMIF($15:$15,N25,$16:$16)-SUMIF($15:$15,$N$24,$16:$16)+100)/100</f>
        <v>1</v>
      </c>
      <c r="P25" s="877"/>
      <c r="Q25" s="49">
        <f>(SUMIF($17:$17,P25,$18:$18)-SUMIF($17:$17,$P$24,$18:$18)+100)/100</f>
        <v>1</v>
      </c>
      <c r="R25" s="49">
        <f>IF(B25="",0,ROUND($R$24*C25*E25*G25*I25*K25*M25*O25*Q25,0))</f>
        <v>0</v>
      </c>
      <c r="S25" s="732">
        <f t="shared" si="6"/>
        <v>0</v>
      </c>
    </row>
    <row r="26" spans="1:45">
      <c r="A26" s="878"/>
      <c r="B26" s="126"/>
      <c r="C26" s="49">
        <f t="shared" ref="C26:C89" si="7">IF(B26="",1,(LOOKUP(B26,$3:$3,$4:$4)-LOOKUP($B$24,$3:$3,$4:$4)+100)/100)</f>
        <v>1</v>
      </c>
      <c r="D26" s="877"/>
      <c r="E26" s="49">
        <f t="shared" ref="E26:E89" si="8">(SUMIF($5:$5,D26,$6:$6)-SUMIF($5:$5,$D$24,$6:$6)+100)/100</f>
        <v>1</v>
      </c>
      <c r="F26" s="877"/>
      <c r="G26" s="49">
        <f t="shared" ref="G26:G89" si="9">(SUMIF($7:$7,F26,$8:$8)-SUMIF($7:$7,$F$24,$8:$8)+100)/100</f>
        <v>1</v>
      </c>
      <c r="H26" s="877"/>
      <c r="I26" s="49">
        <f t="shared" ref="I26:I89" si="10">(SUMIF($9:$9,H26,$10:$10)-SUMIF($9:$9,$H$24,$10:$10)+100)/100</f>
        <v>1</v>
      </c>
      <c r="J26" s="877"/>
      <c r="K26" s="49">
        <f t="shared" ref="K26:K89" si="11">(SUMIF($11:$11,J26,$12:$12)-SUMIF($11:$11,$J$24,$12:$12)+100)/100</f>
        <v>1</v>
      </c>
      <c r="L26" s="877"/>
      <c r="M26" s="49">
        <f t="shared" ref="M26:M89" si="12">(SUMIF($13:$13,L26,$14:$14)-SUMIF($13:$13,$L$24,$14:$14)+100)/100</f>
        <v>1</v>
      </c>
      <c r="N26" s="877"/>
      <c r="O26" s="49">
        <f t="shared" ref="O26:O89" si="13">(SUMIF($15:$15,N26,$16:$16)-SUMIF($15:$15,$N$24,$16:$16)+100)/100</f>
        <v>1</v>
      </c>
      <c r="P26" s="877"/>
      <c r="Q26" s="49">
        <f t="shared" ref="Q26:Q89" si="14">(SUMIF($17:$17,P26,$18:$18)-SUMIF($17:$17,$P$24,$18:$18)+100)/100</f>
        <v>1</v>
      </c>
      <c r="R26" s="49">
        <f t="shared" ref="R26:R89" si="15">IF(B26="",0,ROUND($R$24*C26*E26*G26*I26*K26*M26*O26*Q26,0))</f>
        <v>0</v>
      </c>
      <c r="S26" s="732">
        <f t="shared" si="6"/>
        <v>0</v>
      </c>
    </row>
    <row r="27" spans="1:45">
      <c r="A27" s="878"/>
      <c r="B27" s="126"/>
      <c r="C27" s="49">
        <f t="shared" si="7"/>
        <v>1</v>
      </c>
      <c r="D27" s="877"/>
      <c r="E27" s="49">
        <f t="shared" si="8"/>
        <v>1</v>
      </c>
      <c r="F27" s="877"/>
      <c r="G27" s="49">
        <f t="shared" si="9"/>
        <v>1</v>
      </c>
      <c r="H27" s="877"/>
      <c r="I27" s="49">
        <f t="shared" si="10"/>
        <v>1</v>
      </c>
      <c r="J27" s="877"/>
      <c r="K27" s="49">
        <f t="shared" si="11"/>
        <v>1</v>
      </c>
      <c r="L27" s="877"/>
      <c r="M27" s="49">
        <f t="shared" si="12"/>
        <v>1</v>
      </c>
      <c r="N27" s="877"/>
      <c r="O27" s="49">
        <f t="shared" si="13"/>
        <v>1</v>
      </c>
      <c r="P27" s="877"/>
      <c r="Q27" s="49">
        <f t="shared" si="14"/>
        <v>1</v>
      </c>
      <c r="R27" s="49">
        <f t="shared" si="15"/>
        <v>0</v>
      </c>
      <c r="S27" s="732">
        <f t="shared" si="6"/>
        <v>0</v>
      </c>
    </row>
    <row r="28" spans="1:45">
      <c r="A28" s="878"/>
      <c r="B28" s="126"/>
      <c r="C28" s="49">
        <f t="shared" si="7"/>
        <v>1</v>
      </c>
      <c r="D28" s="877"/>
      <c r="E28" s="49">
        <f t="shared" si="8"/>
        <v>1</v>
      </c>
      <c r="F28" s="877"/>
      <c r="G28" s="49">
        <f t="shared" si="9"/>
        <v>1</v>
      </c>
      <c r="H28" s="877"/>
      <c r="I28" s="49">
        <f t="shared" si="10"/>
        <v>1</v>
      </c>
      <c r="J28" s="877"/>
      <c r="K28" s="49">
        <f t="shared" si="11"/>
        <v>1</v>
      </c>
      <c r="L28" s="877"/>
      <c r="M28" s="49">
        <f t="shared" si="12"/>
        <v>1</v>
      </c>
      <c r="N28" s="877"/>
      <c r="O28" s="49">
        <f t="shared" si="13"/>
        <v>1</v>
      </c>
      <c r="P28" s="877"/>
      <c r="Q28" s="49">
        <f t="shared" si="14"/>
        <v>1</v>
      </c>
      <c r="R28" s="49">
        <f t="shared" si="15"/>
        <v>0</v>
      </c>
      <c r="S28" s="732">
        <f t="shared" si="6"/>
        <v>0</v>
      </c>
    </row>
    <row r="29" spans="1:45">
      <c r="A29" s="878"/>
      <c r="B29" s="126"/>
      <c r="C29" s="49">
        <f t="shared" si="7"/>
        <v>1</v>
      </c>
      <c r="D29" s="877"/>
      <c r="E29" s="49">
        <f t="shared" si="8"/>
        <v>1</v>
      </c>
      <c r="F29" s="877"/>
      <c r="G29" s="49">
        <f t="shared" si="9"/>
        <v>1</v>
      </c>
      <c r="H29" s="877"/>
      <c r="I29" s="49">
        <f t="shared" si="10"/>
        <v>1</v>
      </c>
      <c r="J29" s="877"/>
      <c r="K29" s="49">
        <f t="shared" si="11"/>
        <v>1</v>
      </c>
      <c r="L29" s="877"/>
      <c r="M29" s="49">
        <f t="shared" si="12"/>
        <v>1</v>
      </c>
      <c r="N29" s="877"/>
      <c r="O29" s="49">
        <f t="shared" si="13"/>
        <v>1</v>
      </c>
      <c r="P29" s="877"/>
      <c r="Q29" s="49">
        <f t="shared" si="14"/>
        <v>1</v>
      </c>
      <c r="R29" s="49">
        <f t="shared" si="15"/>
        <v>0</v>
      </c>
      <c r="S29" s="732">
        <f t="shared" si="6"/>
        <v>0</v>
      </c>
    </row>
    <row r="30" spans="1:45">
      <c r="A30" s="878"/>
      <c r="B30" s="126"/>
      <c r="C30" s="49">
        <f t="shared" si="7"/>
        <v>1</v>
      </c>
      <c r="D30" s="877"/>
      <c r="E30" s="49">
        <f t="shared" si="8"/>
        <v>1</v>
      </c>
      <c r="F30" s="877"/>
      <c r="G30" s="49">
        <f t="shared" si="9"/>
        <v>1</v>
      </c>
      <c r="H30" s="877"/>
      <c r="I30" s="49">
        <f t="shared" si="10"/>
        <v>1</v>
      </c>
      <c r="J30" s="877"/>
      <c r="K30" s="49">
        <f t="shared" si="11"/>
        <v>1</v>
      </c>
      <c r="L30" s="877"/>
      <c r="M30" s="49">
        <f t="shared" si="12"/>
        <v>1</v>
      </c>
      <c r="N30" s="877"/>
      <c r="O30" s="49">
        <f t="shared" si="13"/>
        <v>1</v>
      </c>
      <c r="P30" s="877"/>
      <c r="Q30" s="49">
        <f t="shared" si="14"/>
        <v>1</v>
      </c>
      <c r="R30" s="49">
        <f t="shared" si="15"/>
        <v>0</v>
      </c>
      <c r="S30" s="732">
        <f t="shared" si="6"/>
        <v>0</v>
      </c>
    </row>
    <row r="31" spans="1:45">
      <c r="A31" s="878"/>
      <c r="B31" s="126"/>
      <c r="C31" s="49">
        <f t="shared" si="7"/>
        <v>1</v>
      </c>
      <c r="D31" s="877"/>
      <c r="E31" s="49">
        <f t="shared" si="8"/>
        <v>1</v>
      </c>
      <c r="F31" s="877"/>
      <c r="G31" s="49">
        <f t="shared" si="9"/>
        <v>1</v>
      </c>
      <c r="H31" s="877"/>
      <c r="I31" s="49">
        <f t="shared" si="10"/>
        <v>1</v>
      </c>
      <c r="J31" s="877"/>
      <c r="K31" s="49">
        <f t="shared" si="11"/>
        <v>1</v>
      </c>
      <c r="L31" s="877"/>
      <c r="M31" s="49">
        <f t="shared" si="12"/>
        <v>1</v>
      </c>
      <c r="N31" s="877"/>
      <c r="O31" s="49">
        <f t="shared" si="13"/>
        <v>1</v>
      </c>
      <c r="P31" s="877"/>
      <c r="Q31" s="49">
        <f t="shared" si="14"/>
        <v>1</v>
      </c>
      <c r="R31" s="49">
        <f t="shared" si="15"/>
        <v>0</v>
      </c>
      <c r="S31" s="732">
        <f t="shared" si="6"/>
        <v>0</v>
      </c>
    </row>
    <row r="32" spans="1:45">
      <c r="A32" s="878"/>
      <c r="B32" s="126"/>
      <c r="C32" s="49">
        <f t="shared" si="7"/>
        <v>1</v>
      </c>
      <c r="D32" s="877"/>
      <c r="E32" s="49">
        <f t="shared" si="8"/>
        <v>1</v>
      </c>
      <c r="F32" s="877"/>
      <c r="G32" s="49">
        <f t="shared" si="9"/>
        <v>1</v>
      </c>
      <c r="H32" s="877"/>
      <c r="I32" s="49">
        <f t="shared" si="10"/>
        <v>1</v>
      </c>
      <c r="J32" s="877"/>
      <c r="K32" s="49">
        <f t="shared" si="11"/>
        <v>1</v>
      </c>
      <c r="L32" s="877"/>
      <c r="M32" s="49">
        <f t="shared" si="12"/>
        <v>1</v>
      </c>
      <c r="N32" s="877"/>
      <c r="O32" s="49">
        <f t="shared" si="13"/>
        <v>1</v>
      </c>
      <c r="P32" s="877"/>
      <c r="Q32" s="49">
        <f t="shared" si="14"/>
        <v>1</v>
      </c>
      <c r="R32" s="49">
        <f t="shared" si="15"/>
        <v>0</v>
      </c>
      <c r="S32" s="732">
        <f t="shared" si="6"/>
        <v>0</v>
      </c>
    </row>
    <row r="33" spans="1:19">
      <c r="A33" s="878"/>
      <c r="B33" s="126"/>
      <c r="C33" s="49">
        <f t="shared" si="7"/>
        <v>1</v>
      </c>
      <c r="D33" s="877"/>
      <c r="E33" s="49">
        <f t="shared" si="8"/>
        <v>1</v>
      </c>
      <c r="F33" s="877"/>
      <c r="G33" s="49">
        <f t="shared" si="9"/>
        <v>1</v>
      </c>
      <c r="H33" s="877"/>
      <c r="I33" s="49">
        <f t="shared" si="10"/>
        <v>1</v>
      </c>
      <c r="J33" s="877"/>
      <c r="K33" s="49">
        <f t="shared" si="11"/>
        <v>1</v>
      </c>
      <c r="L33" s="877"/>
      <c r="M33" s="49">
        <f t="shared" si="12"/>
        <v>1</v>
      </c>
      <c r="N33" s="877"/>
      <c r="O33" s="49">
        <f t="shared" si="13"/>
        <v>1</v>
      </c>
      <c r="P33" s="877"/>
      <c r="Q33" s="49">
        <f t="shared" si="14"/>
        <v>1</v>
      </c>
      <c r="R33" s="49">
        <f t="shared" si="15"/>
        <v>0</v>
      </c>
      <c r="S33" s="732">
        <f t="shared" si="6"/>
        <v>0</v>
      </c>
    </row>
    <row r="34" spans="1:19">
      <c r="A34" s="878"/>
      <c r="B34" s="126"/>
      <c r="C34" s="49">
        <f t="shared" si="7"/>
        <v>1</v>
      </c>
      <c r="D34" s="877"/>
      <c r="E34" s="49">
        <f t="shared" si="8"/>
        <v>1</v>
      </c>
      <c r="F34" s="877"/>
      <c r="G34" s="49">
        <f t="shared" si="9"/>
        <v>1</v>
      </c>
      <c r="H34" s="877"/>
      <c r="I34" s="49">
        <f t="shared" si="10"/>
        <v>1</v>
      </c>
      <c r="J34" s="877"/>
      <c r="K34" s="49">
        <f t="shared" si="11"/>
        <v>1</v>
      </c>
      <c r="L34" s="877"/>
      <c r="M34" s="49">
        <f t="shared" si="12"/>
        <v>1</v>
      </c>
      <c r="N34" s="877"/>
      <c r="O34" s="49">
        <f t="shared" si="13"/>
        <v>1</v>
      </c>
      <c r="P34" s="877"/>
      <c r="Q34" s="49">
        <f t="shared" si="14"/>
        <v>1</v>
      </c>
      <c r="R34" s="49">
        <f t="shared" si="15"/>
        <v>0</v>
      </c>
      <c r="S34" s="732">
        <f t="shared" si="6"/>
        <v>0</v>
      </c>
    </row>
    <row r="35" spans="1:19">
      <c r="A35" s="878"/>
      <c r="B35" s="126"/>
      <c r="C35" s="49">
        <f t="shared" si="7"/>
        <v>1</v>
      </c>
      <c r="D35" s="877"/>
      <c r="E35" s="49">
        <f t="shared" si="8"/>
        <v>1</v>
      </c>
      <c r="F35" s="877"/>
      <c r="G35" s="49">
        <f t="shared" si="9"/>
        <v>1</v>
      </c>
      <c r="H35" s="877"/>
      <c r="I35" s="49">
        <f t="shared" si="10"/>
        <v>1</v>
      </c>
      <c r="J35" s="877"/>
      <c r="K35" s="49">
        <f t="shared" si="11"/>
        <v>1</v>
      </c>
      <c r="L35" s="877"/>
      <c r="M35" s="49">
        <f t="shared" si="12"/>
        <v>1</v>
      </c>
      <c r="N35" s="877"/>
      <c r="O35" s="49">
        <f t="shared" si="13"/>
        <v>1</v>
      </c>
      <c r="P35" s="877"/>
      <c r="Q35" s="49">
        <f t="shared" si="14"/>
        <v>1</v>
      </c>
      <c r="R35" s="49">
        <f t="shared" si="15"/>
        <v>0</v>
      </c>
      <c r="S35" s="732">
        <f t="shared" si="6"/>
        <v>0</v>
      </c>
    </row>
    <row r="36" spans="1:19">
      <c r="A36" s="878"/>
      <c r="B36" s="126"/>
      <c r="C36" s="49">
        <f t="shared" si="7"/>
        <v>1</v>
      </c>
      <c r="D36" s="877"/>
      <c r="E36" s="49">
        <f t="shared" si="8"/>
        <v>1</v>
      </c>
      <c r="F36" s="877"/>
      <c r="G36" s="49">
        <f t="shared" si="9"/>
        <v>1</v>
      </c>
      <c r="H36" s="877"/>
      <c r="I36" s="49">
        <f t="shared" si="10"/>
        <v>1</v>
      </c>
      <c r="J36" s="877"/>
      <c r="K36" s="49">
        <f t="shared" si="11"/>
        <v>1</v>
      </c>
      <c r="L36" s="877"/>
      <c r="M36" s="49">
        <f t="shared" si="12"/>
        <v>1</v>
      </c>
      <c r="N36" s="877"/>
      <c r="O36" s="49">
        <f t="shared" si="13"/>
        <v>1</v>
      </c>
      <c r="P36" s="877"/>
      <c r="Q36" s="49">
        <f t="shared" si="14"/>
        <v>1</v>
      </c>
      <c r="R36" s="49">
        <f t="shared" si="15"/>
        <v>0</v>
      </c>
      <c r="S36" s="732">
        <f t="shared" si="6"/>
        <v>0</v>
      </c>
    </row>
    <row r="37" spans="1:19">
      <c r="A37" s="878"/>
      <c r="B37" s="126"/>
      <c r="C37" s="49">
        <f t="shared" si="7"/>
        <v>1</v>
      </c>
      <c r="D37" s="877"/>
      <c r="E37" s="49">
        <f t="shared" si="8"/>
        <v>1</v>
      </c>
      <c r="F37" s="877"/>
      <c r="G37" s="49">
        <f t="shared" si="9"/>
        <v>1</v>
      </c>
      <c r="H37" s="877"/>
      <c r="I37" s="49">
        <f t="shared" si="10"/>
        <v>1</v>
      </c>
      <c r="J37" s="877"/>
      <c r="K37" s="49">
        <f t="shared" si="11"/>
        <v>1</v>
      </c>
      <c r="L37" s="877"/>
      <c r="M37" s="49">
        <f t="shared" si="12"/>
        <v>1</v>
      </c>
      <c r="N37" s="877"/>
      <c r="O37" s="49">
        <f t="shared" si="13"/>
        <v>1</v>
      </c>
      <c r="P37" s="877"/>
      <c r="Q37" s="49">
        <f t="shared" si="14"/>
        <v>1</v>
      </c>
      <c r="R37" s="49">
        <f t="shared" si="15"/>
        <v>0</v>
      </c>
      <c r="S37" s="732">
        <f t="shared" si="6"/>
        <v>0</v>
      </c>
    </row>
    <row r="38" spans="1:19">
      <c r="A38" s="878"/>
      <c r="B38" s="126"/>
      <c r="C38" s="49">
        <f t="shared" si="7"/>
        <v>1</v>
      </c>
      <c r="D38" s="877"/>
      <c r="E38" s="49">
        <f t="shared" si="8"/>
        <v>1</v>
      </c>
      <c r="F38" s="877"/>
      <c r="G38" s="49">
        <f t="shared" si="9"/>
        <v>1</v>
      </c>
      <c r="H38" s="877"/>
      <c r="I38" s="49">
        <f t="shared" si="10"/>
        <v>1</v>
      </c>
      <c r="J38" s="877"/>
      <c r="K38" s="49">
        <f t="shared" si="11"/>
        <v>1</v>
      </c>
      <c r="L38" s="877"/>
      <c r="M38" s="49">
        <f t="shared" si="12"/>
        <v>1</v>
      </c>
      <c r="N38" s="877"/>
      <c r="O38" s="49">
        <f t="shared" si="13"/>
        <v>1</v>
      </c>
      <c r="P38" s="877"/>
      <c r="Q38" s="49">
        <f t="shared" si="14"/>
        <v>1</v>
      </c>
      <c r="R38" s="49">
        <f t="shared" si="15"/>
        <v>0</v>
      </c>
      <c r="S38" s="732">
        <f t="shared" si="6"/>
        <v>0</v>
      </c>
    </row>
    <row r="39" spans="1:19">
      <c r="A39" s="878"/>
      <c r="B39" s="126"/>
      <c r="C39" s="49">
        <f t="shared" si="7"/>
        <v>1</v>
      </c>
      <c r="D39" s="877"/>
      <c r="E39" s="49">
        <f t="shared" si="8"/>
        <v>1</v>
      </c>
      <c r="F39" s="877"/>
      <c r="G39" s="49">
        <f t="shared" si="9"/>
        <v>1</v>
      </c>
      <c r="H39" s="877"/>
      <c r="I39" s="49">
        <f t="shared" si="10"/>
        <v>1</v>
      </c>
      <c r="J39" s="877"/>
      <c r="K39" s="49">
        <f t="shared" si="11"/>
        <v>1</v>
      </c>
      <c r="L39" s="877"/>
      <c r="M39" s="49">
        <f t="shared" si="12"/>
        <v>1</v>
      </c>
      <c r="N39" s="877"/>
      <c r="O39" s="49">
        <f t="shared" si="13"/>
        <v>1</v>
      </c>
      <c r="P39" s="877"/>
      <c r="Q39" s="49">
        <f t="shared" si="14"/>
        <v>1</v>
      </c>
      <c r="R39" s="49">
        <f t="shared" si="15"/>
        <v>0</v>
      </c>
      <c r="S39" s="732">
        <f t="shared" si="6"/>
        <v>0</v>
      </c>
    </row>
    <row r="40" spans="1:19">
      <c r="A40" s="878"/>
      <c r="B40" s="126"/>
      <c r="C40" s="49">
        <f t="shared" si="7"/>
        <v>1</v>
      </c>
      <c r="D40" s="877"/>
      <c r="E40" s="49">
        <f t="shared" si="8"/>
        <v>1</v>
      </c>
      <c r="F40" s="877"/>
      <c r="G40" s="49">
        <f t="shared" si="9"/>
        <v>1</v>
      </c>
      <c r="H40" s="877"/>
      <c r="I40" s="49">
        <f t="shared" si="10"/>
        <v>1</v>
      </c>
      <c r="J40" s="877"/>
      <c r="K40" s="49">
        <f t="shared" si="11"/>
        <v>1</v>
      </c>
      <c r="L40" s="877"/>
      <c r="M40" s="49">
        <f t="shared" si="12"/>
        <v>1</v>
      </c>
      <c r="N40" s="877"/>
      <c r="O40" s="49">
        <f t="shared" si="13"/>
        <v>1</v>
      </c>
      <c r="P40" s="877"/>
      <c r="Q40" s="49">
        <f t="shared" si="14"/>
        <v>1</v>
      </c>
      <c r="R40" s="49">
        <f t="shared" si="15"/>
        <v>0</v>
      </c>
      <c r="S40" s="732">
        <f t="shared" si="6"/>
        <v>0</v>
      </c>
    </row>
    <row r="41" spans="1:19">
      <c r="A41" s="878"/>
      <c r="B41" s="126"/>
      <c r="C41" s="49">
        <f t="shared" si="7"/>
        <v>1</v>
      </c>
      <c r="D41" s="877"/>
      <c r="E41" s="49">
        <f t="shared" si="8"/>
        <v>1</v>
      </c>
      <c r="F41" s="877"/>
      <c r="G41" s="49">
        <f t="shared" si="9"/>
        <v>1</v>
      </c>
      <c r="H41" s="877"/>
      <c r="I41" s="49">
        <f t="shared" si="10"/>
        <v>1</v>
      </c>
      <c r="J41" s="877"/>
      <c r="K41" s="49">
        <f t="shared" si="11"/>
        <v>1</v>
      </c>
      <c r="L41" s="877"/>
      <c r="M41" s="49">
        <f t="shared" si="12"/>
        <v>1</v>
      </c>
      <c r="N41" s="877"/>
      <c r="O41" s="49">
        <f t="shared" si="13"/>
        <v>1</v>
      </c>
      <c r="P41" s="877"/>
      <c r="Q41" s="49">
        <f t="shared" si="14"/>
        <v>1</v>
      </c>
      <c r="R41" s="49">
        <f t="shared" si="15"/>
        <v>0</v>
      </c>
      <c r="S41" s="732">
        <f t="shared" si="6"/>
        <v>0</v>
      </c>
    </row>
    <row r="42" spans="1:19">
      <c r="A42" s="878"/>
      <c r="B42" s="126"/>
      <c r="C42" s="49">
        <f t="shared" si="7"/>
        <v>1</v>
      </c>
      <c r="D42" s="877"/>
      <c r="E42" s="49">
        <f t="shared" si="8"/>
        <v>1</v>
      </c>
      <c r="F42" s="877"/>
      <c r="G42" s="49">
        <f t="shared" si="9"/>
        <v>1</v>
      </c>
      <c r="H42" s="877"/>
      <c r="I42" s="49">
        <f t="shared" si="10"/>
        <v>1</v>
      </c>
      <c r="J42" s="877"/>
      <c r="K42" s="49">
        <f t="shared" si="11"/>
        <v>1</v>
      </c>
      <c r="L42" s="877"/>
      <c r="M42" s="49">
        <f t="shared" si="12"/>
        <v>1</v>
      </c>
      <c r="N42" s="877"/>
      <c r="O42" s="49">
        <f t="shared" si="13"/>
        <v>1</v>
      </c>
      <c r="P42" s="877"/>
      <c r="Q42" s="49">
        <f t="shared" si="14"/>
        <v>1</v>
      </c>
      <c r="R42" s="49">
        <f t="shared" si="15"/>
        <v>0</v>
      </c>
      <c r="S42" s="732">
        <f t="shared" si="6"/>
        <v>0</v>
      </c>
    </row>
    <row r="43" spans="1:19">
      <c r="A43" s="878"/>
      <c r="B43" s="126"/>
      <c r="C43" s="49">
        <f t="shared" si="7"/>
        <v>1</v>
      </c>
      <c r="D43" s="877"/>
      <c r="E43" s="49">
        <f t="shared" si="8"/>
        <v>1</v>
      </c>
      <c r="F43" s="877"/>
      <c r="G43" s="49">
        <f t="shared" si="9"/>
        <v>1</v>
      </c>
      <c r="H43" s="877"/>
      <c r="I43" s="49">
        <f t="shared" si="10"/>
        <v>1</v>
      </c>
      <c r="J43" s="877"/>
      <c r="K43" s="49">
        <f t="shared" si="11"/>
        <v>1</v>
      </c>
      <c r="L43" s="877"/>
      <c r="M43" s="49">
        <f t="shared" si="12"/>
        <v>1</v>
      </c>
      <c r="N43" s="877"/>
      <c r="O43" s="49">
        <f t="shared" si="13"/>
        <v>1</v>
      </c>
      <c r="P43" s="877"/>
      <c r="Q43" s="49">
        <f t="shared" si="14"/>
        <v>1</v>
      </c>
      <c r="R43" s="49">
        <f t="shared" si="15"/>
        <v>0</v>
      </c>
      <c r="S43" s="732">
        <f t="shared" si="6"/>
        <v>0</v>
      </c>
    </row>
    <row r="44" spans="1:19">
      <c r="A44" s="878"/>
      <c r="B44" s="126"/>
      <c r="C44" s="49">
        <f t="shared" si="7"/>
        <v>1</v>
      </c>
      <c r="D44" s="877"/>
      <c r="E44" s="49">
        <f t="shared" si="8"/>
        <v>1</v>
      </c>
      <c r="F44" s="877"/>
      <c r="G44" s="49">
        <f t="shared" si="9"/>
        <v>1</v>
      </c>
      <c r="H44" s="877"/>
      <c r="I44" s="49">
        <f t="shared" si="10"/>
        <v>1</v>
      </c>
      <c r="J44" s="877"/>
      <c r="K44" s="49">
        <f t="shared" si="11"/>
        <v>1</v>
      </c>
      <c r="L44" s="877"/>
      <c r="M44" s="49">
        <f t="shared" si="12"/>
        <v>1</v>
      </c>
      <c r="N44" s="877"/>
      <c r="O44" s="49">
        <f t="shared" si="13"/>
        <v>1</v>
      </c>
      <c r="P44" s="877"/>
      <c r="Q44" s="49">
        <f t="shared" si="14"/>
        <v>1</v>
      </c>
      <c r="R44" s="49">
        <f t="shared" si="15"/>
        <v>0</v>
      </c>
      <c r="S44" s="732">
        <f t="shared" si="6"/>
        <v>0</v>
      </c>
    </row>
    <row r="45" spans="1:19">
      <c r="A45" s="878"/>
      <c r="B45" s="126"/>
      <c r="C45" s="49">
        <f t="shared" si="7"/>
        <v>1</v>
      </c>
      <c r="D45" s="877"/>
      <c r="E45" s="49">
        <f t="shared" si="8"/>
        <v>1</v>
      </c>
      <c r="F45" s="877"/>
      <c r="G45" s="49">
        <f t="shared" si="9"/>
        <v>1</v>
      </c>
      <c r="H45" s="877"/>
      <c r="I45" s="49">
        <f t="shared" si="10"/>
        <v>1</v>
      </c>
      <c r="J45" s="877"/>
      <c r="K45" s="49">
        <f t="shared" si="11"/>
        <v>1</v>
      </c>
      <c r="L45" s="877"/>
      <c r="M45" s="49">
        <f t="shared" si="12"/>
        <v>1</v>
      </c>
      <c r="N45" s="877"/>
      <c r="O45" s="49">
        <f t="shared" si="13"/>
        <v>1</v>
      </c>
      <c r="P45" s="877"/>
      <c r="Q45" s="49">
        <f t="shared" si="14"/>
        <v>1</v>
      </c>
      <c r="R45" s="49">
        <f t="shared" si="15"/>
        <v>0</v>
      </c>
      <c r="S45" s="732">
        <f t="shared" si="6"/>
        <v>0</v>
      </c>
    </row>
    <row r="46" spans="1:19">
      <c r="A46" s="878"/>
      <c r="B46" s="126"/>
      <c r="C46" s="49">
        <f t="shared" si="7"/>
        <v>1</v>
      </c>
      <c r="D46" s="877"/>
      <c r="E46" s="49">
        <f t="shared" si="8"/>
        <v>1</v>
      </c>
      <c r="F46" s="877"/>
      <c r="G46" s="49">
        <f t="shared" si="9"/>
        <v>1</v>
      </c>
      <c r="H46" s="877"/>
      <c r="I46" s="49">
        <f t="shared" si="10"/>
        <v>1</v>
      </c>
      <c r="J46" s="877"/>
      <c r="K46" s="49">
        <f t="shared" si="11"/>
        <v>1</v>
      </c>
      <c r="L46" s="877"/>
      <c r="M46" s="49">
        <f t="shared" si="12"/>
        <v>1</v>
      </c>
      <c r="N46" s="877"/>
      <c r="O46" s="49">
        <f t="shared" si="13"/>
        <v>1</v>
      </c>
      <c r="P46" s="877"/>
      <c r="Q46" s="49">
        <f t="shared" si="14"/>
        <v>1</v>
      </c>
      <c r="R46" s="49">
        <f t="shared" si="15"/>
        <v>0</v>
      </c>
      <c r="S46" s="732">
        <f t="shared" si="6"/>
        <v>0</v>
      </c>
    </row>
    <row r="47" spans="1:19">
      <c r="A47" s="878"/>
      <c r="B47" s="126"/>
      <c r="C47" s="49">
        <f t="shared" si="7"/>
        <v>1</v>
      </c>
      <c r="D47" s="877"/>
      <c r="E47" s="49">
        <f t="shared" si="8"/>
        <v>1</v>
      </c>
      <c r="F47" s="877"/>
      <c r="G47" s="49">
        <f t="shared" si="9"/>
        <v>1</v>
      </c>
      <c r="H47" s="877"/>
      <c r="I47" s="49">
        <f t="shared" si="10"/>
        <v>1</v>
      </c>
      <c r="J47" s="877"/>
      <c r="K47" s="49">
        <f t="shared" si="11"/>
        <v>1</v>
      </c>
      <c r="L47" s="877"/>
      <c r="M47" s="49">
        <f t="shared" si="12"/>
        <v>1</v>
      </c>
      <c r="N47" s="877"/>
      <c r="O47" s="49">
        <f t="shared" si="13"/>
        <v>1</v>
      </c>
      <c r="P47" s="877"/>
      <c r="Q47" s="49">
        <f t="shared" si="14"/>
        <v>1</v>
      </c>
      <c r="R47" s="49">
        <f t="shared" si="15"/>
        <v>0</v>
      </c>
      <c r="S47" s="732">
        <f t="shared" si="6"/>
        <v>0</v>
      </c>
    </row>
    <row r="48" spans="1:19">
      <c r="A48" s="878"/>
      <c r="B48" s="126"/>
      <c r="C48" s="49">
        <f t="shared" si="7"/>
        <v>1</v>
      </c>
      <c r="D48" s="877"/>
      <c r="E48" s="49">
        <f t="shared" si="8"/>
        <v>1</v>
      </c>
      <c r="F48" s="877"/>
      <c r="G48" s="49">
        <f t="shared" si="9"/>
        <v>1</v>
      </c>
      <c r="H48" s="877"/>
      <c r="I48" s="49">
        <f t="shared" si="10"/>
        <v>1</v>
      </c>
      <c r="J48" s="877"/>
      <c r="K48" s="49">
        <f t="shared" si="11"/>
        <v>1</v>
      </c>
      <c r="L48" s="877"/>
      <c r="M48" s="49">
        <f t="shared" si="12"/>
        <v>1</v>
      </c>
      <c r="N48" s="877"/>
      <c r="O48" s="49">
        <f t="shared" si="13"/>
        <v>1</v>
      </c>
      <c r="P48" s="877"/>
      <c r="Q48" s="49">
        <f t="shared" si="14"/>
        <v>1</v>
      </c>
      <c r="R48" s="49">
        <f t="shared" si="15"/>
        <v>0</v>
      </c>
      <c r="S48" s="732">
        <f t="shared" si="6"/>
        <v>0</v>
      </c>
    </row>
    <row r="49" spans="1:19">
      <c r="A49" s="878"/>
      <c r="B49" s="126"/>
      <c r="C49" s="49">
        <f t="shared" si="7"/>
        <v>1</v>
      </c>
      <c r="D49" s="877"/>
      <c r="E49" s="49">
        <f t="shared" si="8"/>
        <v>1</v>
      </c>
      <c r="F49" s="877"/>
      <c r="G49" s="49">
        <f t="shared" si="9"/>
        <v>1</v>
      </c>
      <c r="H49" s="877"/>
      <c r="I49" s="49">
        <f t="shared" si="10"/>
        <v>1</v>
      </c>
      <c r="J49" s="877"/>
      <c r="K49" s="49">
        <f t="shared" si="11"/>
        <v>1</v>
      </c>
      <c r="L49" s="877"/>
      <c r="M49" s="49">
        <f t="shared" si="12"/>
        <v>1</v>
      </c>
      <c r="N49" s="877"/>
      <c r="O49" s="49">
        <f t="shared" si="13"/>
        <v>1</v>
      </c>
      <c r="P49" s="877"/>
      <c r="Q49" s="49">
        <f t="shared" si="14"/>
        <v>1</v>
      </c>
      <c r="R49" s="49">
        <f t="shared" si="15"/>
        <v>0</v>
      </c>
      <c r="S49" s="732">
        <f t="shared" si="6"/>
        <v>0</v>
      </c>
    </row>
    <row r="50" spans="1:19">
      <c r="A50" s="878"/>
      <c r="B50" s="126"/>
      <c r="C50" s="49">
        <f t="shared" si="7"/>
        <v>1</v>
      </c>
      <c r="D50" s="877"/>
      <c r="E50" s="49">
        <f t="shared" si="8"/>
        <v>1</v>
      </c>
      <c r="F50" s="877"/>
      <c r="G50" s="49">
        <f t="shared" si="9"/>
        <v>1</v>
      </c>
      <c r="H50" s="877"/>
      <c r="I50" s="49">
        <f t="shared" si="10"/>
        <v>1</v>
      </c>
      <c r="J50" s="877"/>
      <c r="K50" s="49">
        <f t="shared" si="11"/>
        <v>1</v>
      </c>
      <c r="L50" s="877"/>
      <c r="M50" s="49">
        <f t="shared" si="12"/>
        <v>1</v>
      </c>
      <c r="N50" s="877"/>
      <c r="O50" s="49">
        <f t="shared" si="13"/>
        <v>1</v>
      </c>
      <c r="P50" s="877"/>
      <c r="Q50" s="49">
        <f t="shared" si="14"/>
        <v>1</v>
      </c>
      <c r="R50" s="49">
        <f t="shared" si="15"/>
        <v>0</v>
      </c>
      <c r="S50" s="732">
        <f t="shared" si="6"/>
        <v>0</v>
      </c>
    </row>
    <row r="51" spans="1:19">
      <c r="A51" s="878"/>
      <c r="B51" s="126"/>
      <c r="C51" s="49">
        <f t="shared" si="7"/>
        <v>1</v>
      </c>
      <c r="D51" s="877"/>
      <c r="E51" s="49">
        <f t="shared" si="8"/>
        <v>1</v>
      </c>
      <c r="F51" s="877"/>
      <c r="G51" s="49">
        <f t="shared" si="9"/>
        <v>1</v>
      </c>
      <c r="H51" s="877"/>
      <c r="I51" s="49">
        <f t="shared" si="10"/>
        <v>1</v>
      </c>
      <c r="J51" s="877"/>
      <c r="K51" s="49">
        <f t="shared" si="11"/>
        <v>1</v>
      </c>
      <c r="L51" s="877"/>
      <c r="M51" s="49">
        <f t="shared" si="12"/>
        <v>1</v>
      </c>
      <c r="N51" s="877"/>
      <c r="O51" s="49">
        <f t="shared" si="13"/>
        <v>1</v>
      </c>
      <c r="P51" s="877"/>
      <c r="Q51" s="49">
        <f t="shared" si="14"/>
        <v>1</v>
      </c>
      <c r="R51" s="49">
        <f t="shared" si="15"/>
        <v>0</v>
      </c>
      <c r="S51" s="732">
        <f t="shared" si="6"/>
        <v>0</v>
      </c>
    </row>
    <row r="52" spans="1:19">
      <c r="A52" s="878"/>
      <c r="B52" s="126"/>
      <c r="C52" s="49">
        <f t="shared" si="7"/>
        <v>1</v>
      </c>
      <c r="D52" s="877"/>
      <c r="E52" s="49">
        <f t="shared" si="8"/>
        <v>1</v>
      </c>
      <c r="F52" s="877"/>
      <c r="G52" s="49">
        <f t="shared" si="9"/>
        <v>1</v>
      </c>
      <c r="H52" s="877"/>
      <c r="I52" s="49">
        <f t="shared" si="10"/>
        <v>1</v>
      </c>
      <c r="J52" s="877"/>
      <c r="K52" s="49">
        <f t="shared" si="11"/>
        <v>1</v>
      </c>
      <c r="L52" s="877"/>
      <c r="M52" s="49">
        <f t="shared" si="12"/>
        <v>1</v>
      </c>
      <c r="N52" s="877"/>
      <c r="O52" s="49">
        <f t="shared" si="13"/>
        <v>1</v>
      </c>
      <c r="P52" s="877"/>
      <c r="Q52" s="49">
        <f t="shared" si="14"/>
        <v>1</v>
      </c>
      <c r="R52" s="49">
        <f t="shared" si="15"/>
        <v>0</v>
      </c>
      <c r="S52" s="732">
        <f t="shared" si="6"/>
        <v>0</v>
      </c>
    </row>
    <row r="53" spans="1:19">
      <c r="A53" s="878"/>
      <c r="B53" s="126"/>
      <c r="C53" s="49">
        <f t="shared" si="7"/>
        <v>1</v>
      </c>
      <c r="D53" s="877"/>
      <c r="E53" s="49">
        <f t="shared" si="8"/>
        <v>1</v>
      </c>
      <c r="F53" s="877"/>
      <c r="G53" s="49">
        <f t="shared" si="9"/>
        <v>1</v>
      </c>
      <c r="H53" s="877"/>
      <c r="I53" s="49">
        <f t="shared" si="10"/>
        <v>1</v>
      </c>
      <c r="J53" s="877"/>
      <c r="K53" s="49">
        <f t="shared" si="11"/>
        <v>1</v>
      </c>
      <c r="L53" s="877"/>
      <c r="M53" s="49">
        <f t="shared" si="12"/>
        <v>1</v>
      </c>
      <c r="N53" s="877"/>
      <c r="O53" s="49">
        <f t="shared" si="13"/>
        <v>1</v>
      </c>
      <c r="P53" s="877"/>
      <c r="Q53" s="49">
        <f t="shared" si="14"/>
        <v>1</v>
      </c>
      <c r="R53" s="49">
        <f t="shared" si="15"/>
        <v>0</v>
      </c>
      <c r="S53" s="732">
        <f t="shared" si="6"/>
        <v>0</v>
      </c>
    </row>
    <row r="54" spans="1:19">
      <c r="A54" s="878"/>
      <c r="B54" s="126"/>
      <c r="C54" s="49">
        <f t="shared" si="7"/>
        <v>1</v>
      </c>
      <c r="D54" s="877"/>
      <c r="E54" s="49">
        <f t="shared" si="8"/>
        <v>1</v>
      </c>
      <c r="F54" s="877"/>
      <c r="G54" s="49">
        <f t="shared" si="9"/>
        <v>1</v>
      </c>
      <c r="H54" s="877"/>
      <c r="I54" s="49">
        <f t="shared" si="10"/>
        <v>1</v>
      </c>
      <c r="J54" s="877"/>
      <c r="K54" s="49">
        <f t="shared" si="11"/>
        <v>1</v>
      </c>
      <c r="L54" s="877"/>
      <c r="M54" s="49">
        <f t="shared" si="12"/>
        <v>1</v>
      </c>
      <c r="N54" s="877"/>
      <c r="O54" s="49">
        <f t="shared" si="13"/>
        <v>1</v>
      </c>
      <c r="P54" s="877"/>
      <c r="Q54" s="49">
        <f t="shared" si="14"/>
        <v>1</v>
      </c>
      <c r="R54" s="49">
        <f t="shared" si="15"/>
        <v>0</v>
      </c>
      <c r="S54" s="732">
        <f t="shared" si="6"/>
        <v>0</v>
      </c>
    </row>
    <row r="55" spans="1:19">
      <c r="A55" s="878"/>
      <c r="B55" s="126"/>
      <c r="C55" s="49">
        <f t="shared" si="7"/>
        <v>1</v>
      </c>
      <c r="D55" s="877"/>
      <c r="E55" s="49">
        <f t="shared" si="8"/>
        <v>1</v>
      </c>
      <c r="F55" s="877"/>
      <c r="G55" s="49">
        <f t="shared" si="9"/>
        <v>1</v>
      </c>
      <c r="H55" s="877"/>
      <c r="I55" s="49">
        <f t="shared" si="10"/>
        <v>1</v>
      </c>
      <c r="J55" s="877"/>
      <c r="K55" s="49">
        <f t="shared" si="11"/>
        <v>1</v>
      </c>
      <c r="L55" s="877"/>
      <c r="M55" s="49">
        <f t="shared" si="12"/>
        <v>1</v>
      </c>
      <c r="N55" s="877"/>
      <c r="O55" s="49">
        <f t="shared" si="13"/>
        <v>1</v>
      </c>
      <c r="P55" s="877"/>
      <c r="Q55" s="49">
        <f t="shared" si="14"/>
        <v>1</v>
      </c>
      <c r="R55" s="49">
        <f t="shared" si="15"/>
        <v>0</v>
      </c>
      <c r="S55" s="732">
        <f t="shared" ref="S55:S77" si="16">ROUND(R55*B55/10000,0)</f>
        <v>0</v>
      </c>
    </row>
    <row r="56" spans="1:19">
      <c r="A56" s="878"/>
      <c r="B56" s="126"/>
      <c r="C56" s="49">
        <f t="shared" si="7"/>
        <v>1</v>
      </c>
      <c r="D56" s="877"/>
      <c r="E56" s="49">
        <f t="shared" si="8"/>
        <v>1</v>
      </c>
      <c r="F56" s="877"/>
      <c r="G56" s="49">
        <f t="shared" si="9"/>
        <v>1</v>
      </c>
      <c r="H56" s="877"/>
      <c r="I56" s="49">
        <f t="shared" si="10"/>
        <v>1</v>
      </c>
      <c r="J56" s="877"/>
      <c r="K56" s="49">
        <f t="shared" si="11"/>
        <v>1</v>
      </c>
      <c r="L56" s="877"/>
      <c r="M56" s="49">
        <f t="shared" si="12"/>
        <v>1</v>
      </c>
      <c r="N56" s="877"/>
      <c r="O56" s="49">
        <f t="shared" si="13"/>
        <v>1</v>
      </c>
      <c r="P56" s="877"/>
      <c r="Q56" s="49">
        <f t="shared" si="14"/>
        <v>1</v>
      </c>
      <c r="R56" s="49">
        <f t="shared" si="15"/>
        <v>0</v>
      </c>
      <c r="S56" s="732">
        <f t="shared" si="16"/>
        <v>0</v>
      </c>
    </row>
    <row r="57" spans="1:19">
      <c r="A57" s="878"/>
      <c r="B57" s="126"/>
      <c r="C57" s="49">
        <f t="shared" si="7"/>
        <v>1</v>
      </c>
      <c r="D57" s="877"/>
      <c r="E57" s="49">
        <f t="shared" si="8"/>
        <v>1</v>
      </c>
      <c r="F57" s="877"/>
      <c r="G57" s="49">
        <f t="shared" si="9"/>
        <v>1</v>
      </c>
      <c r="H57" s="877"/>
      <c r="I57" s="49">
        <f t="shared" si="10"/>
        <v>1</v>
      </c>
      <c r="J57" s="877"/>
      <c r="K57" s="49">
        <f t="shared" si="11"/>
        <v>1</v>
      </c>
      <c r="L57" s="877"/>
      <c r="M57" s="49">
        <f t="shared" si="12"/>
        <v>1</v>
      </c>
      <c r="N57" s="877"/>
      <c r="O57" s="49">
        <f t="shared" si="13"/>
        <v>1</v>
      </c>
      <c r="P57" s="877"/>
      <c r="Q57" s="49">
        <f t="shared" si="14"/>
        <v>1</v>
      </c>
      <c r="R57" s="49">
        <f t="shared" si="15"/>
        <v>0</v>
      </c>
      <c r="S57" s="732">
        <f t="shared" si="16"/>
        <v>0</v>
      </c>
    </row>
    <row r="58" spans="1:19">
      <c r="A58" s="878"/>
      <c r="B58" s="126"/>
      <c r="C58" s="49">
        <f t="shared" si="7"/>
        <v>1</v>
      </c>
      <c r="D58" s="877"/>
      <c r="E58" s="49">
        <f t="shared" si="8"/>
        <v>1</v>
      </c>
      <c r="F58" s="877"/>
      <c r="G58" s="49">
        <f t="shared" si="9"/>
        <v>1</v>
      </c>
      <c r="H58" s="877"/>
      <c r="I58" s="49">
        <f t="shared" si="10"/>
        <v>1</v>
      </c>
      <c r="J58" s="877"/>
      <c r="K58" s="49">
        <f t="shared" si="11"/>
        <v>1</v>
      </c>
      <c r="L58" s="877"/>
      <c r="M58" s="49">
        <f t="shared" si="12"/>
        <v>1</v>
      </c>
      <c r="N58" s="877"/>
      <c r="O58" s="49">
        <f t="shared" si="13"/>
        <v>1</v>
      </c>
      <c r="P58" s="877"/>
      <c r="Q58" s="49">
        <f t="shared" si="14"/>
        <v>1</v>
      </c>
      <c r="R58" s="49">
        <f t="shared" si="15"/>
        <v>0</v>
      </c>
      <c r="S58" s="732">
        <f t="shared" si="16"/>
        <v>0</v>
      </c>
    </row>
    <row r="59" spans="1:19">
      <c r="A59" s="878"/>
      <c r="B59" s="126"/>
      <c r="C59" s="49">
        <f t="shared" si="7"/>
        <v>1</v>
      </c>
      <c r="D59" s="877"/>
      <c r="E59" s="49">
        <f t="shared" si="8"/>
        <v>1</v>
      </c>
      <c r="F59" s="877"/>
      <c r="G59" s="49">
        <f t="shared" si="9"/>
        <v>1</v>
      </c>
      <c r="H59" s="877"/>
      <c r="I59" s="49">
        <f t="shared" si="10"/>
        <v>1</v>
      </c>
      <c r="J59" s="877"/>
      <c r="K59" s="49">
        <f t="shared" si="11"/>
        <v>1</v>
      </c>
      <c r="L59" s="877"/>
      <c r="M59" s="49">
        <f t="shared" si="12"/>
        <v>1</v>
      </c>
      <c r="N59" s="877"/>
      <c r="O59" s="49">
        <f t="shared" si="13"/>
        <v>1</v>
      </c>
      <c r="P59" s="877"/>
      <c r="Q59" s="49">
        <f t="shared" si="14"/>
        <v>1</v>
      </c>
      <c r="R59" s="49">
        <f t="shared" si="15"/>
        <v>0</v>
      </c>
      <c r="S59" s="732">
        <f t="shared" si="16"/>
        <v>0</v>
      </c>
    </row>
    <row r="60" spans="1:19">
      <c r="A60" s="878"/>
      <c r="B60" s="126"/>
      <c r="C60" s="49">
        <f t="shared" si="7"/>
        <v>1</v>
      </c>
      <c r="D60" s="877"/>
      <c r="E60" s="49">
        <f t="shared" si="8"/>
        <v>1</v>
      </c>
      <c r="F60" s="877"/>
      <c r="G60" s="49">
        <f t="shared" si="9"/>
        <v>1</v>
      </c>
      <c r="H60" s="877"/>
      <c r="I60" s="49">
        <f t="shared" si="10"/>
        <v>1</v>
      </c>
      <c r="J60" s="877"/>
      <c r="K60" s="49">
        <f t="shared" si="11"/>
        <v>1</v>
      </c>
      <c r="L60" s="877"/>
      <c r="M60" s="49">
        <f t="shared" si="12"/>
        <v>1</v>
      </c>
      <c r="N60" s="877"/>
      <c r="O60" s="49">
        <f t="shared" si="13"/>
        <v>1</v>
      </c>
      <c r="P60" s="877"/>
      <c r="Q60" s="49">
        <f t="shared" si="14"/>
        <v>1</v>
      </c>
      <c r="R60" s="49">
        <f t="shared" si="15"/>
        <v>0</v>
      </c>
      <c r="S60" s="732">
        <f t="shared" si="16"/>
        <v>0</v>
      </c>
    </row>
    <row r="61" spans="1:19">
      <c r="A61" s="878"/>
      <c r="B61" s="126"/>
      <c r="C61" s="49">
        <f t="shared" si="7"/>
        <v>1</v>
      </c>
      <c r="D61" s="877"/>
      <c r="E61" s="49">
        <f t="shared" si="8"/>
        <v>1</v>
      </c>
      <c r="F61" s="877"/>
      <c r="G61" s="49">
        <f t="shared" si="9"/>
        <v>1</v>
      </c>
      <c r="H61" s="877"/>
      <c r="I61" s="49">
        <f t="shared" si="10"/>
        <v>1</v>
      </c>
      <c r="J61" s="877"/>
      <c r="K61" s="49">
        <f t="shared" si="11"/>
        <v>1</v>
      </c>
      <c r="L61" s="877"/>
      <c r="M61" s="49">
        <f t="shared" si="12"/>
        <v>1</v>
      </c>
      <c r="N61" s="877"/>
      <c r="O61" s="49">
        <f t="shared" si="13"/>
        <v>1</v>
      </c>
      <c r="P61" s="877"/>
      <c r="Q61" s="49">
        <f t="shared" si="14"/>
        <v>1</v>
      </c>
      <c r="R61" s="49">
        <f t="shared" si="15"/>
        <v>0</v>
      </c>
      <c r="S61" s="732">
        <f t="shared" si="16"/>
        <v>0</v>
      </c>
    </row>
    <row r="62" spans="1:19">
      <c r="A62" s="878"/>
      <c r="B62" s="126"/>
      <c r="C62" s="49">
        <f t="shared" si="7"/>
        <v>1</v>
      </c>
      <c r="D62" s="877"/>
      <c r="E62" s="49">
        <f t="shared" si="8"/>
        <v>1</v>
      </c>
      <c r="F62" s="877"/>
      <c r="G62" s="49">
        <f t="shared" si="9"/>
        <v>1</v>
      </c>
      <c r="H62" s="877"/>
      <c r="I62" s="49">
        <f t="shared" si="10"/>
        <v>1</v>
      </c>
      <c r="J62" s="877"/>
      <c r="K62" s="49">
        <f t="shared" si="11"/>
        <v>1</v>
      </c>
      <c r="L62" s="877"/>
      <c r="M62" s="49">
        <f t="shared" si="12"/>
        <v>1</v>
      </c>
      <c r="N62" s="877"/>
      <c r="O62" s="49">
        <f t="shared" si="13"/>
        <v>1</v>
      </c>
      <c r="P62" s="877"/>
      <c r="Q62" s="49">
        <f t="shared" si="14"/>
        <v>1</v>
      </c>
      <c r="R62" s="49">
        <f t="shared" si="15"/>
        <v>0</v>
      </c>
      <c r="S62" s="732">
        <f t="shared" si="16"/>
        <v>0</v>
      </c>
    </row>
    <row r="63" spans="1:19">
      <c r="A63" s="878"/>
      <c r="B63" s="126"/>
      <c r="C63" s="49">
        <f t="shared" si="7"/>
        <v>1</v>
      </c>
      <c r="D63" s="877"/>
      <c r="E63" s="49">
        <f t="shared" si="8"/>
        <v>1</v>
      </c>
      <c r="F63" s="877"/>
      <c r="G63" s="49">
        <f t="shared" si="9"/>
        <v>1</v>
      </c>
      <c r="H63" s="877"/>
      <c r="I63" s="49">
        <f t="shared" si="10"/>
        <v>1</v>
      </c>
      <c r="J63" s="877"/>
      <c r="K63" s="49">
        <f t="shared" si="11"/>
        <v>1</v>
      </c>
      <c r="L63" s="877"/>
      <c r="M63" s="49">
        <f t="shared" si="12"/>
        <v>1</v>
      </c>
      <c r="N63" s="877"/>
      <c r="O63" s="49">
        <f t="shared" si="13"/>
        <v>1</v>
      </c>
      <c r="P63" s="877"/>
      <c r="Q63" s="49">
        <f t="shared" si="14"/>
        <v>1</v>
      </c>
      <c r="R63" s="49">
        <f t="shared" si="15"/>
        <v>0</v>
      </c>
      <c r="S63" s="732">
        <f t="shared" si="16"/>
        <v>0</v>
      </c>
    </row>
    <row r="64" spans="1:19">
      <c r="A64" s="878"/>
      <c r="B64" s="126"/>
      <c r="C64" s="49">
        <f t="shared" si="7"/>
        <v>1</v>
      </c>
      <c r="D64" s="877"/>
      <c r="E64" s="49">
        <f t="shared" si="8"/>
        <v>1</v>
      </c>
      <c r="F64" s="877"/>
      <c r="G64" s="49">
        <f t="shared" si="9"/>
        <v>1</v>
      </c>
      <c r="H64" s="877"/>
      <c r="I64" s="49">
        <f t="shared" si="10"/>
        <v>1</v>
      </c>
      <c r="J64" s="877"/>
      <c r="K64" s="49">
        <f t="shared" si="11"/>
        <v>1</v>
      </c>
      <c r="L64" s="877"/>
      <c r="M64" s="49">
        <f t="shared" si="12"/>
        <v>1</v>
      </c>
      <c r="N64" s="877"/>
      <c r="O64" s="49">
        <f t="shared" si="13"/>
        <v>1</v>
      </c>
      <c r="P64" s="877"/>
      <c r="Q64" s="49">
        <f t="shared" si="14"/>
        <v>1</v>
      </c>
      <c r="R64" s="49">
        <f t="shared" si="15"/>
        <v>0</v>
      </c>
      <c r="S64" s="732">
        <f t="shared" si="16"/>
        <v>0</v>
      </c>
    </row>
    <row r="65" spans="1:19">
      <c r="A65" s="878"/>
      <c r="B65" s="126"/>
      <c r="C65" s="49">
        <f t="shared" si="7"/>
        <v>1</v>
      </c>
      <c r="D65" s="877"/>
      <c r="E65" s="49">
        <f t="shared" si="8"/>
        <v>1</v>
      </c>
      <c r="F65" s="877"/>
      <c r="G65" s="49">
        <f t="shared" si="9"/>
        <v>1</v>
      </c>
      <c r="H65" s="877"/>
      <c r="I65" s="49">
        <f t="shared" si="10"/>
        <v>1</v>
      </c>
      <c r="J65" s="877"/>
      <c r="K65" s="49">
        <f t="shared" si="11"/>
        <v>1</v>
      </c>
      <c r="L65" s="877"/>
      <c r="M65" s="49">
        <f t="shared" si="12"/>
        <v>1</v>
      </c>
      <c r="N65" s="877"/>
      <c r="O65" s="49">
        <f t="shared" si="13"/>
        <v>1</v>
      </c>
      <c r="P65" s="877"/>
      <c r="Q65" s="49">
        <f t="shared" si="14"/>
        <v>1</v>
      </c>
      <c r="R65" s="49">
        <f t="shared" si="15"/>
        <v>0</v>
      </c>
      <c r="S65" s="732">
        <f t="shared" si="16"/>
        <v>0</v>
      </c>
    </row>
    <row r="66" spans="1:19">
      <c r="A66" s="878"/>
      <c r="B66" s="126"/>
      <c r="C66" s="49">
        <f t="shared" si="7"/>
        <v>1</v>
      </c>
      <c r="D66" s="877"/>
      <c r="E66" s="49">
        <f t="shared" si="8"/>
        <v>1</v>
      </c>
      <c r="F66" s="877"/>
      <c r="G66" s="49">
        <f t="shared" si="9"/>
        <v>1</v>
      </c>
      <c r="H66" s="877"/>
      <c r="I66" s="49">
        <f t="shared" si="10"/>
        <v>1</v>
      </c>
      <c r="J66" s="877"/>
      <c r="K66" s="49">
        <f t="shared" si="11"/>
        <v>1</v>
      </c>
      <c r="L66" s="877"/>
      <c r="M66" s="49">
        <f t="shared" si="12"/>
        <v>1</v>
      </c>
      <c r="N66" s="877"/>
      <c r="O66" s="49">
        <f t="shared" si="13"/>
        <v>1</v>
      </c>
      <c r="P66" s="877"/>
      <c r="Q66" s="49">
        <f t="shared" si="14"/>
        <v>1</v>
      </c>
      <c r="R66" s="49">
        <f t="shared" si="15"/>
        <v>0</v>
      </c>
      <c r="S66" s="732">
        <f t="shared" si="16"/>
        <v>0</v>
      </c>
    </row>
    <row r="67" spans="1:19">
      <c r="A67" s="878"/>
      <c r="B67" s="126"/>
      <c r="C67" s="49">
        <f t="shared" si="7"/>
        <v>1</v>
      </c>
      <c r="D67" s="877"/>
      <c r="E67" s="49">
        <f t="shared" si="8"/>
        <v>1</v>
      </c>
      <c r="F67" s="877"/>
      <c r="G67" s="49">
        <f t="shared" si="9"/>
        <v>1</v>
      </c>
      <c r="H67" s="877"/>
      <c r="I67" s="49">
        <f t="shared" si="10"/>
        <v>1</v>
      </c>
      <c r="J67" s="877"/>
      <c r="K67" s="49">
        <f t="shared" si="11"/>
        <v>1</v>
      </c>
      <c r="L67" s="877"/>
      <c r="M67" s="49">
        <f t="shared" si="12"/>
        <v>1</v>
      </c>
      <c r="N67" s="877"/>
      <c r="O67" s="49">
        <f t="shared" si="13"/>
        <v>1</v>
      </c>
      <c r="P67" s="877"/>
      <c r="Q67" s="49">
        <f t="shared" si="14"/>
        <v>1</v>
      </c>
      <c r="R67" s="49">
        <f t="shared" si="15"/>
        <v>0</v>
      </c>
      <c r="S67" s="732">
        <f t="shared" si="16"/>
        <v>0</v>
      </c>
    </row>
    <row r="68" spans="1:19">
      <c r="A68" s="878"/>
      <c r="B68" s="126"/>
      <c r="C68" s="49">
        <f t="shared" si="7"/>
        <v>1</v>
      </c>
      <c r="D68" s="877"/>
      <c r="E68" s="49">
        <f t="shared" si="8"/>
        <v>1</v>
      </c>
      <c r="F68" s="877"/>
      <c r="G68" s="49">
        <f t="shared" si="9"/>
        <v>1</v>
      </c>
      <c r="H68" s="877"/>
      <c r="I68" s="49">
        <f t="shared" si="10"/>
        <v>1</v>
      </c>
      <c r="J68" s="877"/>
      <c r="K68" s="49">
        <f t="shared" si="11"/>
        <v>1</v>
      </c>
      <c r="L68" s="877"/>
      <c r="M68" s="49">
        <f t="shared" si="12"/>
        <v>1</v>
      </c>
      <c r="N68" s="877"/>
      <c r="O68" s="49">
        <f t="shared" si="13"/>
        <v>1</v>
      </c>
      <c r="P68" s="877"/>
      <c r="Q68" s="49">
        <f t="shared" si="14"/>
        <v>1</v>
      </c>
      <c r="R68" s="49">
        <f t="shared" si="15"/>
        <v>0</v>
      </c>
      <c r="S68" s="732">
        <f t="shared" si="16"/>
        <v>0</v>
      </c>
    </row>
    <row r="69" spans="1:19">
      <c r="A69" s="878"/>
      <c r="B69" s="126"/>
      <c r="C69" s="49">
        <f t="shared" si="7"/>
        <v>1</v>
      </c>
      <c r="D69" s="877"/>
      <c r="E69" s="49">
        <f t="shared" si="8"/>
        <v>1</v>
      </c>
      <c r="F69" s="877"/>
      <c r="G69" s="49">
        <f t="shared" si="9"/>
        <v>1</v>
      </c>
      <c r="H69" s="877"/>
      <c r="I69" s="49">
        <f t="shared" si="10"/>
        <v>1</v>
      </c>
      <c r="J69" s="877"/>
      <c r="K69" s="49">
        <f t="shared" si="11"/>
        <v>1</v>
      </c>
      <c r="L69" s="877"/>
      <c r="M69" s="49">
        <f t="shared" si="12"/>
        <v>1</v>
      </c>
      <c r="N69" s="877"/>
      <c r="O69" s="49">
        <f t="shared" si="13"/>
        <v>1</v>
      </c>
      <c r="P69" s="877"/>
      <c r="Q69" s="49">
        <f t="shared" si="14"/>
        <v>1</v>
      </c>
      <c r="R69" s="49">
        <f t="shared" si="15"/>
        <v>0</v>
      </c>
      <c r="S69" s="732">
        <f t="shared" si="16"/>
        <v>0</v>
      </c>
    </row>
    <row r="70" spans="1:19">
      <c r="A70" s="878"/>
      <c r="B70" s="126"/>
      <c r="C70" s="49">
        <f t="shared" si="7"/>
        <v>1</v>
      </c>
      <c r="D70" s="877"/>
      <c r="E70" s="49">
        <f t="shared" si="8"/>
        <v>1</v>
      </c>
      <c r="F70" s="877"/>
      <c r="G70" s="49">
        <f t="shared" si="9"/>
        <v>1</v>
      </c>
      <c r="H70" s="877"/>
      <c r="I70" s="49">
        <f t="shared" si="10"/>
        <v>1</v>
      </c>
      <c r="J70" s="877"/>
      <c r="K70" s="49">
        <f t="shared" si="11"/>
        <v>1</v>
      </c>
      <c r="L70" s="877"/>
      <c r="M70" s="49">
        <f t="shared" si="12"/>
        <v>1</v>
      </c>
      <c r="N70" s="877"/>
      <c r="O70" s="49">
        <f t="shared" si="13"/>
        <v>1</v>
      </c>
      <c r="P70" s="877"/>
      <c r="Q70" s="49">
        <f t="shared" si="14"/>
        <v>1</v>
      </c>
      <c r="R70" s="49">
        <f t="shared" si="15"/>
        <v>0</v>
      </c>
      <c r="S70" s="732">
        <f t="shared" si="16"/>
        <v>0</v>
      </c>
    </row>
    <row r="71" spans="1:19">
      <c r="A71" s="878"/>
      <c r="B71" s="126"/>
      <c r="C71" s="49">
        <f t="shared" si="7"/>
        <v>1</v>
      </c>
      <c r="D71" s="877"/>
      <c r="E71" s="49">
        <f t="shared" si="8"/>
        <v>1</v>
      </c>
      <c r="F71" s="877"/>
      <c r="G71" s="49">
        <f t="shared" si="9"/>
        <v>1</v>
      </c>
      <c r="H71" s="877"/>
      <c r="I71" s="49">
        <f t="shared" si="10"/>
        <v>1</v>
      </c>
      <c r="J71" s="877"/>
      <c r="K71" s="49">
        <f t="shared" si="11"/>
        <v>1</v>
      </c>
      <c r="L71" s="877"/>
      <c r="M71" s="49">
        <f t="shared" si="12"/>
        <v>1</v>
      </c>
      <c r="N71" s="877"/>
      <c r="O71" s="49">
        <f t="shared" si="13"/>
        <v>1</v>
      </c>
      <c r="P71" s="877"/>
      <c r="Q71" s="49">
        <f t="shared" si="14"/>
        <v>1</v>
      </c>
      <c r="R71" s="49">
        <f t="shared" si="15"/>
        <v>0</v>
      </c>
      <c r="S71" s="732">
        <f t="shared" si="16"/>
        <v>0</v>
      </c>
    </row>
    <row r="72" spans="1:19">
      <c r="A72" s="878"/>
      <c r="B72" s="126"/>
      <c r="C72" s="49">
        <f t="shared" si="7"/>
        <v>1</v>
      </c>
      <c r="D72" s="877"/>
      <c r="E72" s="49">
        <f t="shared" si="8"/>
        <v>1</v>
      </c>
      <c r="F72" s="877"/>
      <c r="G72" s="49">
        <f t="shared" si="9"/>
        <v>1</v>
      </c>
      <c r="H72" s="877"/>
      <c r="I72" s="49">
        <f t="shared" si="10"/>
        <v>1</v>
      </c>
      <c r="J72" s="877"/>
      <c r="K72" s="49">
        <f t="shared" si="11"/>
        <v>1</v>
      </c>
      <c r="L72" s="877"/>
      <c r="M72" s="49">
        <f t="shared" si="12"/>
        <v>1</v>
      </c>
      <c r="N72" s="877"/>
      <c r="O72" s="49">
        <f t="shared" si="13"/>
        <v>1</v>
      </c>
      <c r="P72" s="877"/>
      <c r="Q72" s="49">
        <f t="shared" si="14"/>
        <v>1</v>
      </c>
      <c r="R72" s="49">
        <f t="shared" si="15"/>
        <v>0</v>
      </c>
      <c r="S72" s="732">
        <f t="shared" si="16"/>
        <v>0</v>
      </c>
    </row>
    <row r="73" spans="1:19">
      <c r="A73" s="878"/>
      <c r="B73" s="126"/>
      <c r="C73" s="49">
        <f t="shared" si="7"/>
        <v>1</v>
      </c>
      <c r="D73" s="877"/>
      <c r="E73" s="49">
        <f t="shared" si="8"/>
        <v>1</v>
      </c>
      <c r="F73" s="877"/>
      <c r="G73" s="49">
        <f t="shared" si="9"/>
        <v>1</v>
      </c>
      <c r="H73" s="877"/>
      <c r="I73" s="49">
        <f t="shared" si="10"/>
        <v>1</v>
      </c>
      <c r="J73" s="877"/>
      <c r="K73" s="49">
        <f t="shared" si="11"/>
        <v>1</v>
      </c>
      <c r="L73" s="877"/>
      <c r="M73" s="49">
        <f t="shared" si="12"/>
        <v>1</v>
      </c>
      <c r="N73" s="877"/>
      <c r="O73" s="49">
        <f t="shared" si="13"/>
        <v>1</v>
      </c>
      <c r="P73" s="877"/>
      <c r="Q73" s="49">
        <f t="shared" si="14"/>
        <v>1</v>
      </c>
      <c r="R73" s="49">
        <f t="shared" si="15"/>
        <v>0</v>
      </c>
      <c r="S73" s="732">
        <f t="shared" si="16"/>
        <v>0</v>
      </c>
    </row>
    <row r="74" spans="1:19">
      <c r="A74" s="878"/>
      <c r="B74" s="126"/>
      <c r="C74" s="49">
        <f t="shared" si="7"/>
        <v>1</v>
      </c>
      <c r="D74" s="877"/>
      <c r="E74" s="49">
        <f t="shared" si="8"/>
        <v>1</v>
      </c>
      <c r="F74" s="877"/>
      <c r="G74" s="49">
        <f t="shared" si="9"/>
        <v>1</v>
      </c>
      <c r="H74" s="877"/>
      <c r="I74" s="49">
        <f t="shared" si="10"/>
        <v>1</v>
      </c>
      <c r="J74" s="877"/>
      <c r="K74" s="49">
        <f t="shared" si="11"/>
        <v>1</v>
      </c>
      <c r="L74" s="877"/>
      <c r="M74" s="49">
        <f t="shared" si="12"/>
        <v>1</v>
      </c>
      <c r="N74" s="877"/>
      <c r="O74" s="49">
        <f t="shared" si="13"/>
        <v>1</v>
      </c>
      <c r="P74" s="877"/>
      <c r="Q74" s="49">
        <f t="shared" si="14"/>
        <v>1</v>
      </c>
      <c r="R74" s="49">
        <f t="shared" si="15"/>
        <v>0</v>
      </c>
      <c r="S74" s="732">
        <f t="shared" si="16"/>
        <v>0</v>
      </c>
    </row>
    <row r="75" spans="1:19">
      <c r="A75" s="878"/>
      <c r="B75" s="126"/>
      <c r="C75" s="49">
        <f t="shared" si="7"/>
        <v>1</v>
      </c>
      <c r="D75" s="877"/>
      <c r="E75" s="49">
        <f t="shared" si="8"/>
        <v>1</v>
      </c>
      <c r="F75" s="877"/>
      <c r="G75" s="49">
        <f t="shared" si="9"/>
        <v>1</v>
      </c>
      <c r="H75" s="877"/>
      <c r="I75" s="49">
        <f t="shared" si="10"/>
        <v>1</v>
      </c>
      <c r="J75" s="877"/>
      <c r="K75" s="49">
        <f t="shared" si="11"/>
        <v>1</v>
      </c>
      <c r="L75" s="877"/>
      <c r="M75" s="49">
        <f t="shared" si="12"/>
        <v>1</v>
      </c>
      <c r="N75" s="877"/>
      <c r="O75" s="49">
        <f t="shared" si="13"/>
        <v>1</v>
      </c>
      <c r="P75" s="877"/>
      <c r="Q75" s="49">
        <f t="shared" si="14"/>
        <v>1</v>
      </c>
      <c r="R75" s="49">
        <f t="shared" si="15"/>
        <v>0</v>
      </c>
      <c r="S75" s="732">
        <f t="shared" si="16"/>
        <v>0</v>
      </c>
    </row>
    <row r="76" spans="1:19">
      <c r="A76" s="878"/>
      <c r="B76" s="126"/>
      <c r="C76" s="49">
        <f t="shared" si="7"/>
        <v>1</v>
      </c>
      <c r="D76" s="877"/>
      <c r="E76" s="49">
        <f t="shared" si="8"/>
        <v>1</v>
      </c>
      <c r="F76" s="877"/>
      <c r="G76" s="49">
        <f t="shared" si="9"/>
        <v>1</v>
      </c>
      <c r="H76" s="877"/>
      <c r="I76" s="49">
        <f t="shared" si="10"/>
        <v>1</v>
      </c>
      <c r="J76" s="877"/>
      <c r="K76" s="49">
        <f t="shared" si="11"/>
        <v>1</v>
      </c>
      <c r="L76" s="877"/>
      <c r="M76" s="49">
        <f t="shared" si="12"/>
        <v>1</v>
      </c>
      <c r="N76" s="877"/>
      <c r="O76" s="49">
        <f t="shared" si="13"/>
        <v>1</v>
      </c>
      <c r="P76" s="877"/>
      <c r="Q76" s="49">
        <f t="shared" si="14"/>
        <v>1</v>
      </c>
      <c r="R76" s="49">
        <f t="shared" si="15"/>
        <v>0</v>
      </c>
      <c r="S76" s="732">
        <f t="shared" si="16"/>
        <v>0</v>
      </c>
    </row>
    <row r="77" spans="1:19">
      <c r="A77" s="878"/>
      <c r="B77" s="126"/>
      <c r="C77" s="49">
        <f t="shared" si="7"/>
        <v>1</v>
      </c>
      <c r="D77" s="877"/>
      <c r="E77" s="49">
        <f t="shared" si="8"/>
        <v>1</v>
      </c>
      <c r="F77" s="877"/>
      <c r="G77" s="49">
        <f t="shared" si="9"/>
        <v>1</v>
      </c>
      <c r="H77" s="877"/>
      <c r="I77" s="49">
        <f t="shared" si="10"/>
        <v>1</v>
      </c>
      <c r="J77" s="877"/>
      <c r="K77" s="49">
        <f t="shared" si="11"/>
        <v>1</v>
      </c>
      <c r="L77" s="877"/>
      <c r="M77" s="49">
        <f t="shared" si="12"/>
        <v>1</v>
      </c>
      <c r="N77" s="877"/>
      <c r="O77" s="49">
        <f t="shared" si="13"/>
        <v>1</v>
      </c>
      <c r="P77" s="877"/>
      <c r="Q77" s="49">
        <f t="shared" si="14"/>
        <v>1</v>
      </c>
      <c r="R77" s="49">
        <f t="shared" si="15"/>
        <v>0</v>
      </c>
      <c r="S77" s="732">
        <f t="shared" si="16"/>
        <v>0</v>
      </c>
    </row>
    <row r="78" spans="1:19">
      <c r="A78" s="878"/>
      <c r="B78" s="126"/>
      <c r="C78" s="49">
        <f t="shared" si="7"/>
        <v>1</v>
      </c>
      <c r="D78" s="877"/>
      <c r="E78" s="49">
        <f t="shared" si="8"/>
        <v>1</v>
      </c>
      <c r="F78" s="877"/>
      <c r="G78" s="49">
        <f t="shared" si="9"/>
        <v>1</v>
      </c>
      <c r="H78" s="877"/>
      <c r="I78" s="49">
        <f t="shared" si="10"/>
        <v>1</v>
      </c>
      <c r="J78" s="877"/>
      <c r="K78" s="49">
        <f t="shared" si="11"/>
        <v>1</v>
      </c>
      <c r="L78" s="877"/>
      <c r="M78" s="49">
        <f t="shared" si="12"/>
        <v>1</v>
      </c>
      <c r="N78" s="877"/>
      <c r="O78" s="49">
        <f t="shared" si="13"/>
        <v>1</v>
      </c>
      <c r="P78" s="877"/>
      <c r="Q78" s="49">
        <f t="shared" si="14"/>
        <v>1</v>
      </c>
      <c r="R78" s="49">
        <f t="shared" si="15"/>
        <v>0</v>
      </c>
      <c r="S78" s="732">
        <f t="shared" ref="S78:S122" si="17">ROUND(R78*B78/10000,0)</f>
        <v>0</v>
      </c>
    </row>
    <row r="79" spans="1:19">
      <c r="A79" s="878"/>
      <c r="B79" s="126"/>
      <c r="C79" s="49">
        <f t="shared" si="7"/>
        <v>1</v>
      </c>
      <c r="D79" s="877"/>
      <c r="E79" s="49">
        <f t="shared" si="8"/>
        <v>1</v>
      </c>
      <c r="F79" s="877"/>
      <c r="G79" s="49">
        <f t="shared" si="9"/>
        <v>1</v>
      </c>
      <c r="H79" s="877"/>
      <c r="I79" s="49">
        <f t="shared" si="10"/>
        <v>1</v>
      </c>
      <c r="J79" s="877"/>
      <c r="K79" s="49">
        <f t="shared" si="11"/>
        <v>1</v>
      </c>
      <c r="L79" s="877"/>
      <c r="M79" s="49">
        <f t="shared" si="12"/>
        <v>1</v>
      </c>
      <c r="N79" s="877"/>
      <c r="O79" s="49">
        <f t="shared" si="13"/>
        <v>1</v>
      </c>
      <c r="P79" s="877"/>
      <c r="Q79" s="49">
        <f t="shared" si="14"/>
        <v>1</v>
      </c>
      <c r="R79" s="49">
        <f t="shared" si="15"/>
        <v>0</v>
      </c>
      <c r="S79" s="732">
        <f t="shared" si="17"/>
        <v>0</v>
      </c>
    </row>
    <row r="80" spans="1:19">
      <c r="A80" s="878"/>
      <c r="B80" s="126"/>
      <c r="C80" s="49">
        <f t="shared" si="7"/>
        <v>1</v>
      </c>
      <c r="D80" s="877"/>
      <c r="E80" s="49">
        <f t="shared" si="8"/>
        <v>1</v>
      </c>
      <c r="F80" s="877"/>
      <c r="G80" s="49">
        <f t="shared" si="9"/>
        <v>1</v>
      </c>
      <c r="H80" s="877"/>
      <c r="I80" s="49">
        <f t="shared" si="10"/>
        <v>1</v>
      </c>
      <c r="J80" s="877"/>
      <c r="K80" s="49">
        <f t="shared" si="11"/>
        <v>1</v>
      </c>
      <c r="L80" s="877"/>
      <c r="M80" s="49">
        <f t="shared" si="12"/>
        <v>1</v>
      </c>
      <c r="N80" s="877"/>
      <c r="O80" s="49">
        <f t="shared" si="13"/>
        <v>1</v>
      </c>
      <c r="P80" s="877"/>
      <c r="Q80" s="49">
        <f t="shared" si="14"/>
        <v>1</v>
      </c>
      <c r="R80" s="49">
        <f t="shared" si="15"/>
        <v>0</v>
      </c>
      <c r="S80" s="732">
        <f t="shared" si="17"/>
        <v>0</v>
      </c>
    </row>
    <row r="81" spans="1:19">
      <c r="A81" s="878"/>
      <c r="B81" s="126"/>
      <c r="C81" s="49">
        <f t="shared" si="7"/>
        <v>1</v>
      </c>
      <c r="D81" s="877"/>
      <c r="E81" s="49">
        <f t="shared" si="8"/>
        <v>1</v>
      </c>
      <c r="F81" s="877"/>
      <c r="G81" s="49">
        <f t="shared" si="9"/>
        <v>1</v>
      </c>
      <c r="H81" s="877"/>
      <c r="I81" s="49">
        <f t="shared" si="10"/>
        <v>1</v>
      </c>
      <c r="J81" s="877"/>
      <c r="K81" s="49">
        <f t="shared" si="11"/>
        <v>1</v>
      </c>
      <c r="L81" s="877"/>
      <c r="M81" s="49">
        <f t="shared" si="12"/>
        <v>1</v>
      </c>
      <c r="N81" s="877"/>
      <c r="O81" s="49">
        <f t="shared" si="13"/>
        <v>1</v>
      </c>
      <c r="P81" s="877"/>
      <c r="Q81" s="49">
        <f t="shared" si="14"/>
        <v>1</v>
      </c>
      <c r="R81" s="49">
        <f t="shared" si="15"/>
        <v>0</v>
      </c>
      <c r="S81" s="732">
        <f t="shared" si="17"/>
        <v>0</v>
      </c>
    </row>
    <row r="82" spans="1:19">
      <c r="A82" s="878"/>
      <c r="B82" s="126"/>
      <c r="C82" s="49">
        <f t="shared" si="7"/>
        <v>1</v>
      </c>
      <c r="D82" s="877"/>
      <c r="E82" s="49">
        <f t="shared" si="8"/>
        <v>1</v>
      </c>
      <c r="F82" s="877"/>
      <c r="G82" s="49">
        <f t="shared" si="9"/>
        <v>1</v>
      </c>
      <c r="H82" s="877"/>
      <c r="I82" s="49">
        <f t="shared" si="10"/>
        <v>1</v>
      </c>
      <c r="J82" s="877"/>
      <c r="K82" s="49">
        <f t="shared" si="11"/>
        <v>1</v>
      </c>
      <c r="L82" s="877"/>
      <c r="M82" s="49">
        <f t="shared" si="12"/>
        <v>1</v>
      </c>
      <c r="N82" s="877"/>
      <c r="O82" s="49">
        <f t="shared" si="13"/>
        <v>1</v>
      </c>
      <c r="P82" s="877"/>
      <c r="Q82" s="49">
        <f t="shared" si="14"/>
        <v>1</v>
      </c>
      <c r="R82" s="49">
        <f t="shared" si="15"/>
        <v>0</v>
      </c>
      <c r="S82" s="732">
        <f t="shared" si="17"/>
        <v>0</v>
      </c>
    </row>
    <row r="83" spans="1:19">
      <c r="A83" s="878"/>
      <c r="B83" s="126"/>
      <c r="C83" s="49">
        <f t="shared" si="7"/>
        <v>1</v>
      </c>
      <c r="D83" s="877"/>
      <c r="E83" s="49">
        <f t="shared" si="8"/>
        <v>1</v>
      </c>
      <c r="F83" s="877"/>
      <c r="G83" s="49">
        <f t="shared" si="9"/>
        <v>1</v>
      </c>
      <c r="H83" s="877"/>
      <c r="I83" s="49">
        <f t="shared" si="10"/>
        <v>1</v>
      </c>
      <c r="J83" s="877"/>
      <c r="K83" s="49">
        <f t="shared" si="11"/>
        <v>1</v>
      </c>
      <c r="L83" s="877"/>
      <c r="M83" s="49">
        <f t="shared" si="12"/>
        <v>1</v>
      </c>
      <c r="N83" s="877"/>
      <c r="O83" s="49">
        <f t="shared" si="13"/>
        <v>1</v>
      </c>
      <c r="P83" s="877"/>
      <c r="Q83" s="49">
        <f t="shared" si="14"/>
        <v>1</v>
      </c>
      <c r="R83" s="49">
        <f t="shared" si="15"/>
        <v>0</v>
      </c>
      <c r="S83" s="732">
        <f t="shared" si="17"/>
        <v>0</v>
      </c>
    </row>
    <row r="84" spans="1:19">
      <c r="A84" s="878"/>
      <c r="B84" s="126"/>
      <c r="C84" s="49">
        <f t="shared" si="7"/>
        <v>1</v>
      </c>
      <c r="D84" s="877"/>
      <c r="E84" s="49">
        <f t="shared" si="8"/>
        <v>1</v>
      </c>
      <c r="F84" s="877"/>
      <c r="G84" s="49">
        <f t="shared" si="9"/>
        <v>1</v>
      </c>
      <c r="H84" s="877"/>
      <c r="I84" s="49">
        <f t="shared" si="10"/>
        <v>1</v>
      </c>
      <c r="J84" s="877"/>
      <c r="K84" s="49">
        <f t="shared" si="11"/>
        <v>1</v>
      </c>
      <c r="L84" s="877"/>
      <c r="M84" s="49">
        <f t="shared" si="12"/>
        <v>1</v>
      </c>
      <c r="N84" s="877"/>
      <c r="O84" s="49">
        <f t="shared" si="13"/>
        <v>1</v>
      </c>
      <c r="P84" s="877"/>
      <c r="Q84" s="49">
        <f t="shared" si="14"/>
        <v>1</v>
      </c>
      <c r="R84" s="49">
        <f t="shared" si="15"/>
        <v>0</v>
      </c>
      <c r="S84" s="732">
        <f t="shared" si="17"/>
        <v>0</v>
      </c>
    </row>
    <row r="85" spans="1:19">
      <c r="A85" s="878"/>
      <c r="B85" s="126"/>
      <c r="C85" s="49">
        <f t="shared" si="7"/>
        <v>1</v>
      </c>
      <c r="D85" s="877"/>
      <c r="E85" s="49">
        <f t="shared" si="8"/>
        <v>1</v>
      </c>
      <c r="F85" s="877"/>
      <c r="G85" s="49">
        <f t="shared" si="9"/>
        <v>1</v>
      </c>
      <c r="H85" s="877"/>
      <c r="I85" s="49">
        <f t="shared" si="10"/>
        <v>1</v>
      </c>
      <c r="J85" s="877"/>
      <c r="K85" s="49">
        <f t="shared" si="11"/>
        <v>1</v>
      </c>
      <c r="L85" s="877"/>
      <c r="M85" s="49">
        <f t="shared" si="12"/>
        <v>1</v>
      </c>
      <c r="N85" s="877"/>
      <c r="O85" s="49">
        <f t="shared" si="13"/>
        <v>1</v>
      </c>
      <c r="P85" s="877"/>
      <c r="Q85" s="49">
        <f t="shared" si="14"/>
        <v>1</v>
      </c>
      <c r="R85" s="49">
        <f t="shared" si="15"/>
        <v>0</v>
      </c>
      <c r="S85" s="732">
        <f t="shared" si="17"/>
        <v>0</v>
      </c>
    </row>
    <row r="86" spans="1:19">
      <c r="A86" s="878"/>
      <c r="B86" s="126"/>
      <c r="C86" s="49">
        <f t="shared" si="7"/>
        <v>1</v>
      </c>
      <c r="D86" s="877"/>
      <c r="E86" s="49">
        <f t="shared" si="8"/>
        <v>1</v>
      </c>
      <c r="F86" s="877"/>
      <c r="G86" s="49">
        <f t="shared" si="9"/>
        <v>1</v>
      </c>
      <c r="H86" s="877"/>
      <c r="I86" s="49">
        <f t="shared" si="10"/>
        <v>1</v>
      </c>
      <c r="J86" s="877"/>
      <c r="K86" s="49">
        <f t="shared" si="11"/>
        <v>1</v>
      </c>
      <c r="L86" s="877"/>
      <c r="M86" s="49">
        <f t="shared" si="12"/>
        <v>1</v>
      </c>
      <c r="N86" s="877"/>
      <c r="O86" s="49">
        <f t="shared" si="13"/>
        <v>1</v>
      </c>
      <c r="P86" s="877"/>
      <c r="Q86" s="49">
        <f t="shared" si="14"/>
        <v>1</v>
      </c>
      <c r="R86" s="49">
        <f t="shared" si="15"/>
        <v>0</v>
      </c>
      <c r="S86" s="732">
        <f t="shared" si="17"/>
        <v>0</v>
      </c>
    </row>
    <row r="87" spans="1:19">
      <c r="A87" s="878"/>
      <c r="B87" s="126"/>
      <c r="C87" s="49">
        <f t="shared" si="7"/>
        <v>1</v>
      </c>
      <c r="D87" s="877"/>
      <c r="E87" s="49">
        <f t="shared" si="8"/>
        <v>1</v>
      </c>
      <c r="F87" s="877"/>
      <c r="G87" s="49">
        <f t="shared" si="9"/>
        <v>1</v>
      </c>
      <c r="H87" s="877"/>
      <c r="I87" s="49">
        <f t="shared" si="10"/>
        <v>1</v>
      </c>
      <c r="J87" s="877"/>
      <c r="K87" s="49">
        <f t="shared" si="11"/>
        <v>1</v>
      </c>
      <c r="L87" s="877"/>
      <c r="M87" s="49">
        <f t="shared" si="12"/>
        <v>1</v>
      </c>
      <c r="N87" s="877"/>
      <c r="O87" s="49">
        <f t="shared" si="13"/>
        <v>1</v>
      </c>
      <c r="P87" s="877"/>
      <c r="Q87" s="49">
        <f t="shared" si="14"/>
        <v>1</v>
      </c>
      <c r="R87" s="49">
        <f t="shared" si="15"/>
        <v>0</v>
      </c>
      <c r="S87" s="732">
        <f t="shared" si="17"/>
        <v>0</v>
      </c>
    </row>
    <row r="88" spans="1:19">
      <c r="A88" s="878"/>
      <c r="B88" s="126"/>
      <c r="C88" s="49">
        <f t="shared" si="7"/>
        <v>1</v>
      </c>
      <c r="D88" s="877"/>
      <c r="E88" s="49">
        <f t="shared" si="8"/>
        <v>1</v>
      </c>
      <c r="F88" s="877"/>
      <c r="G88" s="49">
        <f t="shared" si="9"/>
        <v>1</v>
      </c>
      <c r="H88" s="877"/>
      <c r="I88" s="49">
        <f t="shared" si="10"/>
        <v>1</v>
      </c>
      <c r="J88" s="877"/>
      <c r="K88" s="49">
        <f t="shared" si="11"/>
        <v>1</v>
      </c>
      <c r="L88" s="877"/>
      <c r="M88" s="49">
        <f t="shared" si="12"/>
        <v>1</v>
      </c>
      <c r="N88" s="877"/>
      <c r="O88" s="49">
        <f t="shared" si="13"/>
        <v>1</v>
      </c>
      <c r="P88" s="877"/>
      <c r="Q88" s="49">
        <f t="shared" si="14"/>
        <v>1</v>
      </c>
      <c r="R88" s="49">
        <f t="shared" si="15"/>
        <v>0</v>
      </c>
      <c r="S88" s="732">
        <f t="shared" si="17"/>
        <v>0</v>
      </c>
    </row>
    <row r="89" spans="1:19">
      <c r="A89" s="878"/>
      <c r="B89" s="126"/>
      <c r="C89" s="49">
        <f t="shared" si="7"/>
        <v>1</v>
      </c>
      <c r="D89" s="877"/>
      <c r="E89" s="49">
        <f t="shared" si="8"/>
        <v>1</v>
      </c>
      <c r="F89" s="877"/>
      <c r="G89" s="49">
        <f t="shared" si="9"/>
        <v>1</v>
      </c>
      <c r="H89" s="877"/>
      <c r="I89" s="49">
        <f t="shared" si="10"/>
        <v>1</v>
      </c>
      <c r="J89" s="877"/>
      <c r="K89" s="49">
        <f t="shared" si="11"/>
        <v>1</v>
      </c>
      <c r="L89" s="877"/>
      <c r="M89" s="49">
        <f t="shared" si="12"/>
        <v>1</v>
      </c>
      <c r="N89" s="877"/>
      <c r="O89" s="49">
        <f t="shared" si="13"/>
        <v>1</v>
      </c>
      <c r="P89" s="877"/>
      <c r="Q89" s="49">
        <f t="shared" si="14"/>
        <v>1</v>
      </c>
      <c r="R89" s="49">
        <f t="shared" si="15"/>
        <v>0</v>
      </c>
      <c r="S89" s="732">
        <f t="shared" si="17"/>
        <v>0</v>
      </c>
    </row>
    <row r="90" spans="1:19">
      <c r="A90" s="878"/>
      <c r="B90" s="126"/>
      <c r="C90" s="49">
        <f t="shared" ref="C90:C153" si="18">IF(B90="",1,(LOOKUP(B90,$3:$3,$4:$4)-LOOKUP($B$24,$3:$3,$4:$4)+100)/100)</f>
        <v>1</v>
      </c>
      <c r="D90" s="877"/>
      <c r="E90" s="49">
        <f t="shared" ref="E90:E153" si="19">(SUMIF($5:$5,D90,$6:$6)-SUMIF($5:$5,$D$24,$6:$6)+100)/100</f>
        <v>1</v>
      </c>
      <c r="F90" s="877"/>
      <c r="G90" s="49">
        <f t="shared" ref="G90:G153" si="20">(SUMIF($7:$7,F90,$8:$8)-SUMIF($7:$7,$F$24,$8:$8)+100)/100</f>
        <v>1</v>
      </c>
      <c r="H90" s="877"/>
      <c r="I90" s="49">
        <f t="shared" ref="I90:I153" si="21">(SUMIF($9:$9,H90,$10:$10)-SUMIF($9:$9,$H$24,$10:$10)+100)/100</f>
        <v>1</v>
      </c>
      <c r="J90" s="877"/>
      <c r="K90" s="49">
        <f t="shared" ref="K90:K153" si="22">(SUMIF($11:$11,J90,$12:$12)-SUMIF($11:$11,$J$24,$12:$12)+100)/100</f>
        <v>1</v>
      </c>
      <c r="L90" s="877"/>
      <c r="M90" s="49">
        <f t="shared" ref="M90:M153" si="23">(SUMIF($13:$13,L90,$14:$14)-SUMIF($13:$13,$L$24,$14:$14)+100)/100</f>
        <v>1</v>
      </c>
      <c r="N90" s="877"/>
      <c r="O90" s="49">
        <f t="shared" ref="O90:O153" si="24">(SUMIF($15:$15,N90,$16:$16)-SUMIF($15:$15,$N$24,$16:$16)+100)/100</f>
        <v>1</v>
      </c>
      <c r="P90" s="877"/>
      <c r="Q90" s="49">
        <f t="shared" ref="Q90:Q153" si="25">(SUMIF($17:$17,P90,$18:$18)-SUMIF($17:$17,$P$24,$18:$18)+100)/100</f>
        <v>1</v>
      </c>
      <c r="R90" s="49">
        <f t="shared" ref="R90:R153" si="26">IF(B90="",0,ROUND($R$24*C90*E90*G90*I90*K90*M90*O90*Q90,0))</f>
        <v>0</v>
      </c>
      <c r="S90" s="732">
        <f t="shared" si="17"/>
        <v>0</v>
      </c>
    </row>
    <row r="91" spans="1:19">
      <c r="A91" s="878"/>
      <c r="B91" s="126"/>
      <c r="C91" s="49">
        <f t="shared" si="18"/>
        <v>1</v>
      </c>
      <c r="D91" s="877"/>
      <c r="E91" s="49">
        <f t="shared" si="19"/>
        <v>1</v>
      </c>
      <c r="F91" s="877"/>
      <c r="G91" s="49">
        <f t="shared" si="20"/>
        <v>1</v>
      </c>
      <c r="H91" s="877"/>
      <c r="I91" s="49">
        <f t="shared" si="21"/>
        <v>1</v>
      </c>
      <c r="J91" s="877"/>
      <c r="K91" s="49">
        <f t="shared" si="22"/>
        <v>1</v>
      </c>
      <c r="L91" s="877"/>
      <c r="M91" s="49">
        <f t="shared" si="23"/>
        <v>1</v>
      </c>
      <c r="N91" s="877"/>
      <c r="O91" s="49">
        <f t="shared" si="24"/>
        <v>1</v>
      </c>
      <c r="P91" s="877"/>
      <c r="Q91" s="49">
        <f t="shared" si="25"/>
        <v>1</v>
      </c>
      <c r="R91" s="49">
        <f t="shared" si="26"/>
        <v>0</v>
      </c>
      <c r="S91" s="732">
        <f t="shared" si="17"/>
        <v>0</v>
      </c>
    </row>
    <row r="92" spans="1:19">
      <c r="A92" s="878"/>
      <c r="B92" s="126"/>
      <c r="C92" s="49">
        <f t="shared" si="18"/>
        <v>1</v>
      </c>
      <c r="D92" s="877"/>
      <c r="E92" s="49">
        <f t="shared" si="19"/>
        <v>1</v>
      </c>
      <c r="F92" s="877"/>
      <c r="G92" s="49">
        <f t="shared" si="20"/>
        <v>1</v>
      </c>
      <c r="H92" s="877"/>
      <c r="I92" s="49">
        <f t="shared" si="21"/>
        <v>1</v>
      </c>
      <c r="J92" s="877"/>
      <c r="K92" s="49">
        <f t="shared" si="22"/>
        <v>1</v>
      </c>
      <c r="L92" s="877"/>
      <c r="M92" s="49">
        <f t="shared" si="23"/>
        <v>1</v>
      </c>
      <c r="N92" s="877"/>
      <c r="O92" s="49">
        <f t="shared" si="24"/>
        <v>1</v>
      </c>
      <c r="P92" s="877"/>
      <c r="Q92" s="49">
        <f t="shared" si="25"/>
        <v>1</v>
      </c>
      <c r="R92" s="49">
        <f t="shared" si="26"/>
        <v>0</v>
      </c>
      <c r="S92" s="732">
        <f t="shared" si="17"/>
        <v>0</v>
      </c>
    </row>
    <row r="93" spans="1:19">
      <c r="A93" s="878"/>
      <c r="B93" s="126"/>
      <c r="C93" s="49">
        <f t="shared" si="18"/>
        <v>1</v>
      </c>
      <c r="D93" s="877"/>
      <c r="E93" s="49">
        <f t="shared" si="19"/>
        <v>1</v>
      </c>
      <c r="F93" s="877"/>
      <c r="G93" s="49">
        <f t="shared" si="20"/>
        <v>1</v>
      </c>
      <c r="H93" s="877"/>
      <c r="I93" s="49">
        <f t="shared" si="21"/>
        <v>1</v>
      </c>
      <c r="J93" s="877"/>
      <c r="K93" s="49">
        <f t="shared" si="22"/>
        <v>1</v>
      </c>
      <c r="L93" s="877"/>
      <c r="M93" s="49">
        <f t="shared" si="23"/>
        <v>1</v>
      </c>
      <c r="N93" s="877"/>
      <c r="O93" s="49">
        <f t="shared" si="24"/>
        <v>1</v>
      </c>
      <c r="P93" s="877"/>
      <c r="Q93" s="49">
        <f t="shared" si="25"/>
        <v>1</v>
      </c>
      <c r="R93" s="49">
        <f t="shared" si="26"/>
        <v>0</v>
      </c>
      <c r="S93" s="732">
        <f t="shared" si="17"/>
        <v>0</v>
      </c>
    </row>
    <row r="94" spans="1:19">
      <c r="A94" s="878"/>
      <c r="B94" s="126"/>
      <c r="C94" s="49">
        <f t="shared" si="18"/>
        <v>1</v>
      </c>
      <c r="D94" s="877"/>
      <c r="E94" s="49">
        <f t="shared" si="19"/>
        <v>1</v>
      </c>
      <c r="F94" s="877"/>
      <c r="G94" s="49">
        <f t="shared" si="20"/>
        <v>1</v>
      </c>
      <c r="H94" s="877"/>
      <c r="I94" s="49">
        <f t="shared" si="21"/>
        <v>1</v>
      </c>
      <c r="J94" s="877"/>
      <c r="K94" s="49">
        <f t="shared" si="22"/>
        <v>1</v>
      </c>
      <c r="L94" s="877"/>
      <c r="M94" s="49">
        <f t="shared" si="23"/>
        <v>1</v>
      </c>
      <c r="N94" s="877"/>
      <c r="O94" s="49">
        <f t="shared" si="24"/>
        <v>1</v>
      </c>
      <c r="P94" s="877"/>
      <c r="Q94" s="49">
        <f t="shared" si="25"/>
        <v>1</v>
      </c>
      <c r="R94" s="49">
        <f t="shared" si="26"/>
        <v>0</v>
      </c>
      <c r="S94" s="732">
        <f t="shared" si="17"/>
        <v>0</v>
      </c>
    </row>
    <row r="95" spans="1:19">
      <c r="A95" s="878"/>
      <c r="B95" s="126"/>
      <c r="C95" s="49">
        <f t="shared" si="18"/>
        <v>1</v>
      </c>
      <c r="D95" s="877"/>
      <c r="E95" s="49">
        <f t="shared" si="19"/>
        <v>1</v>
      </c>
      <c r="F95" s="877"/>
      <c r="G95" s="49">
        <f t="shared" si="20"/>
        <v>1</v>
      </c>
      <c r="H95" s="877"/>
      <c r="I95" s="49">
        <f t="shared" si="21"/>
        <v>1</v>
      </c>
      <c r="J95" s="877"/>
      <c r="K95" s="49">
        <f t="shared" si="22"/>
        <v>1</v>
      </c>
      <c r="L95" s="877"/>
      <c r="M95" s="49">
        <f t="shared" si="23"/>
        <v>1</v>
      </c>
      <c r="N95" s="877"/>
      <c r="O95" s="49">
        <f t="shared" si="24"/>
        <v>1</v>
      </c>
      <c r="P95" s="877"/>
      <c r="Q95" s="49">
        <f t="shared" si="25"/>
        <v>1</v>
      </c>
      <c r="R95" s="49">
        <f t="shared" si="26"/>
        <v>0</v>
      </c>
      <c r="S95" s="732">
        <f t="shared" si="17"/>
        <v>0</v>
      </c>
    </row>
    <row r="96" spans="1:19">
      <c r="A96" s="878"/>
      <c r="B96" s="126"/>
      <c r="C96" s="49">
        <f t="shared" si="18"/>
        <v>1</v>
      </c>
      <c r="D96" s="877"/>
      <c r="E96" s="49">
        <f t="shared" si="19"/>
        <v>1</v>
      </c>
      <c r="F96" s="877"/>
      <c r="G96" s="49">
        <f t="shared" si="20"/>
        <v>1</v>
      </c>
      <c r="H96" s="877"/>
      <c r="I96" s="49">
        <f t="shared" si="21"/>
        <v>1</v>
      </c>
      <c r="J96" s="877"/>
      <c r="K96" s="49">
        <f t="shared" si="22"/>
        <v>1</v>
      </c>
      <c r="L96" s="877"/>
      <c r="M96" s="49">
        <f t="shared" si="23"/>
        <v>1</v>
      </c>
      <c r="N96" s="877"/>
      <c r="O96" s="49">
        <f t="shared" si="24"/>
        <v>1</v>
      </c>
      <c r="P96" s="877"/>
      <c r="Q96" s="49">
        <f t="shared" si="25"/>
        <v>1</v>
      </c>
      <c r="R96" s="49">
        <f t="shared" si="26"/>
        <v>0</v>
      </c>
      <c r="S96" s="732">
        <f t="shared" si="17"/>
        <v>0</v>
      </c>
    </row>
    <row r="97" spans="1:19">
      <c r="A97" s="878"/>
      <c r="B97" s="126"/>
      <c r="C97" s="49">
        <f t="shared" si="18"/>
        <v>1</v>
      </c>
      <c r="D97" s="877"/>
      <c r="E97" s="49">
        <f t="shared" si="19"/>
        <v>1</v>
      </c>
      <c r="F97" s="877"/>
      <c r="G97" s="49">
        <f t="shared" si="20"/>
        <v>1</v>
      </c>
      <c r="H97" s="877"/>
      <c r="I97" s="49">
        <f t="shared" si="21"/>
        <v>1</v>
      </c>
      <c r="J97" s="877"/>
      <c r="K97" s="49">
        <f t="shared" si="22"/>
        <v>1</v>
      </c>
      <c r="L97" s="877"/>
      <c r="M97" s="49">
        <f t="shared" si="23"/>
        <v>1</v>
      </c>
      <c r="N97" s="877"/>
      <c r="O97" s="49">
        <f t="shared" si="24"/>
        <v>1</v>
      </c>
      <c r="P97" s="877"/>
      <c r="Q97" s="49">
        <f t="shared" si="25"/>
        <v>1</v>
      </c>
      <c r="R97" s="49">
        <f t="shared" si="26"/>
        <v>0</v>
      </c>
      <c r="S97" s="732">
        <f t="shared" si="17"/>
        <v>0</v>
      </c>
    </row>
    <row r="98" spans="1:19">
      <c r="A98" s="878"/>
      <c r="B98" s="126"/>
      <c r="C98" s="49">
        <f t="shared" si="18"/>
        <v>1</v>
      </c>
      <c r="D98" s="877"/>
      <c r="E98" s="49">
        <f t="shared" si="19"/>
        <v>1</v>
      </c>
      <c r="F98" s="877"/>
      <c r="G98" s="49">
        <f t="shared" si="20"/>
        <v>1</v>
      </c>
      <c r="H98" s="877"/>
      <c r="I98" s="49">
        <f t="shared" si="21"/>
        <v>1</v>
      </c>
      <c r="J98" s="877"/>
      <c r="K98" s="49">
        <f t="shared" si="22"/>
        <v>1</v>
      </c>
      <c r="L98" s="877"/>
      <c r="M98" s="49">
        <f t="shared" si="23"/>
        <v>1</v>
      </c>
      <c r="N98" s="877"/>
      <c r="O98" s="49">
        <f t="shared" si="24"/>
        <v>1</v>
      </c>
      <c r="P98" s="877"/>
      <c r="Q98" s="49">
        <f t="shared" si="25"/>
        <v>1</v>
      </c>
      <c r="R98" s="49">
        <f t="shared" si="26"/>
        <v>0</v>
      </c>
      <c r="S98" s="732">
        <f t="shared" si="17"/>
        <v>0</v>
      </c>
    </row>
    <row r="99" spans="1:19">
      <c r="A99" s="878"/>
      <c r="B99" s="126"/>
      <c r="C99" s="49">
        <f t="shared" si="18"/>
        <v>1</v>
      </c>
      <c r="D99" s="877"/>
      <c r="E99" s="49">
        <f t="shared" si="19"/>
        <v>1</v>
      </c>
      <c r="F99" s="877"/>
      <c r="G99" s="49">
        <f t="shared" si="20"/>
        <v>1</v>
      </c>
      <c r="H99" s="877"/>
      <c r="I99" s="49">
        <f t="shared" si="21"/>
        <v>1</v>
      </c>
      <c r="J99" s="877"/>
      <c r="K99" s="49">
        <f t="shared" si="22"/>
        <v>1</v>
      </c>
      <c r="L99" s="877"/>
      <c r="M99" s="49">
        <f t="shared" si="23"/>
        <v>1</v>
      </c>
      <c r="N99" s="877"/>
      <c r="O99" s="49">
        <f t="shared" si="24"/>
        <v>1</v>
      </c>
      <c r="P99" s="877"/>
      <c r="Q99" s="49">
        <f t="shared" si="25"/>
        <v>1</v>
      </c>
      <c r="R99" s="49">
        <f t="shared" si="26"/>
        <v>0</v>
      </c>
      <c r="S99" s="732">
        <f t="shared" si="17"/>
        <v>0</v>
      </c>
    </row>
    <row r="100" spans="1:19">
      <c r="A100" s="878"/>
      <c r="B100" s="126"/>
      <c r="C100" s="49">
        <f t="shared" si="18"/>
        <v>1</v>
      </c>
      <c r="D100" s="877"/>
      <c r="E100" s="49">
        <f t="shared" si="19"/>
        <v>1</v>
      </c>
      <c r="F100" s="877"/>
      <c r="G100" s="49">
        <f t="shared" si="20"/>
        <v>1</v>
      </c>
      <c r="H100" s="877"/>
      <c r="I100" s="49">
        <f t="shared" si="21"/>
        <v>1</v>
      </c>
      <c r="J100" s="877"/>
      <c r="K100" s="49">
        <f t="shared" si="22"/>
        <v>1</v>
      </c>
      <c r="L100" s="877"/>
      <c r="M100" s="49">
        <f t="shared" si="23"/>
        <v>1</v>
      </c>
      <c r="N100" s="877"/>
      <c r="O100" s="49">
        <f t="shared" si="24"/>
        <v>1</v>
      </c>
      <c r="P100" s="877"/>
      <c r="Q100" s="49">
        <f t="shared" si="25"/>
        <v>1</v>
      </c>
      <c r="R100" s="49">
        <f t="shared" si="26"/>
        <v>0</v>
      </c>
      <c r="S100" s="732">
        <f t="shared" si="17"/>
        <v>0</v>
      </c>
    </row>
    <row r="101" spans="1:19">
      <c r="A101" s="878"/>
      <c r="B101" s="126"/>
      <c r="C101" s="49">
        <f t="shared" si="18"/>
        <v>1</v>
      </c>
      <c r="D101" s="877"/>
      <c r="E101" s="49">
        <f t="shared" si="19"/>
        <v>1</v>
      </c>
      <c r="F101" s="877"/>
      <c r="G101" s="49">
        <f t="shared" si="20"/>
        <v>1</v>
      </c>
      <c r="H101" s="877"/>
      <c r="I101" s="49">
        <f t="shared" si="21"/>
        <v>1</v>
      </c>
      <c r="J101" s="877"/>
      <c r="K101" s="49">
        <f t="shared" si="22"/>
        <v>1</v>
      </c>
      <c r="L101" s="877"/>
      <c r="M101" s="49">
        <f t="shared" si="23"/>
        <v>1</v>
      </c>
      <c r="N101" s="877"/>
      <c r="O101" s="49">
        <f t="shared" si="24"/>
        <v>1</v>
      </c>
      <c r="P101" s="877"/>
      <c r="Q101" s="49">
        <f t="shared" si="25"/>
        <v>1</v>
      </c>
      <c r="R101" s="49">
        <f t="shared" si="26"/>
        <v>0</v>
      </c>
      <c r="S101" s="732">
        <f t="shared" si="17"/>
        <v>0</v>
      </c>
    </row>
    <row r="102" spans="1:19">
      <c r="A102" s="878"/>
      <c r="B102" s="126"/>
      <c r="C102" s="49">
        <f t="shared" si="18"/>
        <v>1</v>
      </c>
      <c r="D102" s="877"/>
      <c r="E102" s="49">
        <f t="shared" si="19"/>
        <v>1</v>
      </c>
      <c r="F102" s="877"/>
      <c r="G102" s="49">
        <f t="shared" si="20"/>
        <v>1</v>
      </c>
      <c r="H102" s="877"/>
      <c r="I102" s="49">
        <f t="shared" si="21"/>
        <v>1</v>
      </c>
      <c r="J102" s="877"/>
      <c r="K102" s="49">
        <f t="shared" si="22"/>
        <v>1</v>
      </c>
      <c r="L102" s="877"/>
      <c r="M102" s="49">
        <f t="shared" si="23"/>
        <v>1</v>
      </c>
      <c r="N102" s="877"/>
      <c r="O102" s="49">
        <f t="shared" si="24"/>
        <v>1</v>
      </c>
      <c r="P102" s="877"/>
      <c r="Q102" s="49">
        <f t="shared" si="25"/>
        <v>1</v>
      </c>
      <c r="R102" s="49">
        <f t="shared" si="26"/>
        <v>0</v>
      </c>
      <c r="S102" s="732">
        <f t="shared" si="17"/>
        <v>0</v>
      </c>
    </row>
    <row r="103" spans="1:19">
      <c r="A103" s="878"/>
      <c r="B103" s="126"/>
      <c r="C103" s="49">
        <f t="shared" si="18"/>
        <v>1</v>
      </c>
      <c r="D103" s="877"/>
      <c r="E103" s="49">
        <f t="shared" si="19"/>
        <v>1</v>
      </c>
      <c r="F103" s="877"/>
      <c r="G103" s="49">
        <f t="shared" si="20"/>
        <v>1</v>
      </c>
      <c r="H103" s="877"/>
      <c r="I103" s="49">
        <f t="shared" si="21"/>
        <v>1</v>
      </c>
      <c r="J103" s="877"/>
      <c r="K103" s="49">
        <f t="shared" si="22"/>
        <v>1</v>
      </c>
      <c r="L103" s="877"/>
      <c r="M103" s="49">
        <f t="shared" si="23"/>
        <v>1</v>
      </c>
      <c r="N103" s="877"/>
      <c r="O103" s="49">
        <f t="shared" si="24"/>
        <v>1</v>
      </c>
      <c r="P103" s="877"/>
      <c r="Q103" s="49">
        <f t="shared" si="25"/>
        <v>1</v>
      </c>
      <c r="R103" s="49">
        <f t="shared" si="26"/>
        <v>0</v>
      </c>
      <c r="S103" s="732">
        <f t="shared" si="17"/>
        <v>0</v>
      </c>
    </row>
    <row r="104" spans="1:19">
      <c r="A104" s="878"/>
      <c r="B104" s="126"/>
      <c r="C104" s="49">
        <f t="shared" si="18"/>
        <v>1</v>
      </c>
      <c r="D104" s="877"/>
      <c r="E104" s="49">
        <f t="shared" si="19"/>
        <v>1</v>
      </c>
      <c r="F104" s="877"/>
      <c r="G104" s="49">
        <f t="shared" si="20"/>
        <v>1</v>
      </c>
      <c r="H104" s="877"/>
      <c r="I104" s="49">
        <f t="shared" si="21"/>
        <v>1</v>
      </c>
      <c r="J104" s="877"/>
      <c r="K104" s="49">
        <f t="shared" si="22"/>
        <v>1</v>
      </c>
      <c r="L104" s="877"/>
      <c r="M104" s="49">
        <f t="shared" si="23"/>
        <v>1</v>
      </c>
      <c r="N104" s="877"/>
      <c r="O104" s="49">
        <f t="shared" si="24"/>
        <v>1</v>
      </c>
      <c r="P104" s="877"/>
      <c r="Q104" s="49">
        <f t="shared" si="25"/>
        <v>1</v>
      </c>
      <c r="R104" s="49">
        <f t="shared" si="26"/>
        <v>0</v>
      </c>
      <c r="S104" s="732">
        <f t="shared" si="17"/>
        <v>0</v>
      </c>
    </row>
    <row r="105" spans="1:19">
      <c r="A105" s="878"/>
      <c r="B105" s="126"/>
      <c r="C105" s="49">
        <f t="shared" si="18"/>
        <v>1</v>
      </c>
      <c r="D105" s="877"/>
      <c r="E105" s="49">
        <f t="shared" si="19"/>
        <v>1</v>
      </c>
      <c r="F105" s="877"/>
      <c r="G105" s="49">
        <f t="shared" si="20"/>
        <v>1</v>
      </c>
      <c r="H105" s="877"/>
      <c r="I105" s="49">
        <f t="shared" si="21"/>
        <v>1</v>
      </c>
      <c r="J105" s="877"/>
      <c r="K105" s="49">
        <f t="shared" si="22"/>
        <v>1</v>
      </c>
      <c r="L105" s="877"/>
      <c r="M105" s="49">
        <f t="shared" si="23"/>
        <v>1</v>
      </c>
      <c r="N105" s="877"/>
      <c r="O105" s="49">
        <f t="shared" si="24"/>
        <v>1</v>
      </c>
      <c r="P105" s="877"/>
      <c r="Q105" s="49">
        <f t="shared" si="25"/>
        <v>1</v>
      </c>
      <c r="R105" s="49">
        <f t="shared" si="26"/>
        <v>0</v>
      </c>
      <c r="S105" s="732">
        <f t="shared" si="17"/>
        <v>0</v>
      </c>
    </row>
    <row r="106" spans="1:19">
      <c r="A106" s="878"/>
      <c r="B106" s="126"/>
      <c r="C106" s="49">
        <f t="shared" si="18"/>
        <v>1</v>
      </c>
      <c r="D106" s="877"/>
      <c r="E106" s="49">
        <f t="shared" si="19"/>
        <v>1</v>
      </c>
      <c r="F106" s="877"/>
      <c r="G106" s="49">
        <f t="shared" si="20"/>
        <v>1</v>
      </c>
      <c r="H106" s="877"/>
      <c r="I106" s="49">
        <f t="shared" si="21"/>
        <v>1</v>
      </c>
      <c r="J106" s="877"/>
      <c r="K106" s="49">
        <f t="shared" si="22"/>
        <v>1</v>
      </c>
      <c r="L106" s="877"/>
      <c r="M106" s="49">
        <f t="shared" si="23"/>
        <v>1</v>
      </c>
      <c r="N106" s="877"/>
      <c r="O106" s="49">
        <f t="shared" si="24"/>
        <v>1</v>
      </c>
      <c r="P106" s="877"/>
      <c r="Q106" s="49">
        <f t="shared" si="25"/>
        <v>1</v>
      </c>
      <c r="R106" s="49">
        <f t="shared" si="26"/>
        <v>0</v>
      </c>
      <c r="S106" s="732">
        <f t="shared" si="17"/>
        <v>0</v>
      </c>
    </row>
    <row r="107" spans="1:19">
      <c r="A107" s="878"/>
      <c r="B107" s="126"/>
      <c r="C107" s="49">
        <f t="shared" si="18"/>
        <v>1</v>
      </c>
      <c r="D107" s="877"/>
      <c r="E107" s="49">
        <f t="shared" si="19"/>
        <v>1</v>
      </c>
      <c r="F107" s="877"/>
      <c r="G107" s="49">
        <f t="shared" si="20"/>
        <v>1</v>
      </c>
      <c r="H107" s="877"/>
      <c r="I107" s="49">
        <f t="shared" si="21"/>
        <v>1</v>
      </c>
      <c r="J107" s="877"/>
      <c r="K107" s="49">
        <f t="shared" si="22"/>
        <v>1</v>
      </c>
      <c r="L107" s="877"/>
      <c r="M107" s="49">
        <f t="shared" si="23"/>
        <v>1</v>
      </c>
      <c r="N107" s="877"/>
      <c r="O107" s="49">
        <f t="shared" si="24"/>
        <v>1</v>
      </c>
      <c r="P107" s="877"/>
      <c r="Q107" s="49">
        <f t="shared" si="25"/>
        <v>1</v>
      </c>
      <c r="R107" s="49">
        <f t="shared" si="26"/>
        <v>0</v>
      </c>
      <c r="S107" s="732">
        <f t="shared" si="17"/>
        <v>0</v>
      </c>
    </row>
    <row r="108" spans="1:19">
      <c r="A108" s="878"/>
      <c r="B108" s="126"/>
      <c r="C108" s="49">
        <f t="shared" si="18"/>
        <v>1</v>
      </c>
      <c r="D108" s="877"/>
      <c r="E108" s="49">
        <f t="shared" si="19"/>
        <v>1</v>
      </c>
      <c r="F108" s="877"/>
      <c r="G108" s="49">
        <f t="shared" si="20"/>
        <v>1</v>
      </c>
      <c r="H108" s="877"/>
      <c r="I108" s="49">
        <f t="shared" si="21"/>
        <v>1</v>
      </c>
      <c r="J108" s="877"/>
      <c r="K108" s="49">
        <f t="shared" si="22"/>
        <v>1</v>
      </c>
      <c r="L108" s="877"/>
      <c r="M108" s="49">
        <f t="shared" si="23"/>
        <v>1</v>
      </c>
      <c r="N108" s="877"/>
      <c r="O108" s="49">
        <f t="shared" si="24"/>
        <v>1</v>
      </c>
      <c r="P108" s="877"/>
      <c r="Q108" s="49">
        <f t="shared" si="25"/>
        <v>1</v>
      </c>
      <c r="R108" s="49">
        <f t="shared" si="26"/>
        <v>0</v>
      </c>
      <c r="S108" s="732">
        <f t="shared" si="17"/>
        <v>0</v>
      </c>
    </row>
    <row r="109" spans="1:19">
      <c r="A109" s="878"/>
      <c r="B109" s="126"/>
      <c r="C109" s="49">
        <f t="shared" si="18"/>
        <v>1</v>
      </c>
      <c r="D109" s="877"/>
      <c r="E109" s="49">
        <f t="shared" si="19"/>
        <v>1</v>
      </c>
      <c r="F109" s="877"/>
      <c r="G109" s="49">
        <f t="shared" si="20"/>
        <v>1</v>
      </c>
      <c r="H109" s="877"/>
      <c r="I109" s="49">
        <f t="shared" si="21"/>
        <v>1</v>
      </c>
      <c r="J109" s="877"/>
      <c r="K109" s="49">
        <f t="shared" si="22"/>
        <v>1</v>
      </c>
      <c r="L109" s="877"/>
      <c r="M109" s="49">
        <f t="shared" si="23"/>
        <v>1</v>
      </c>
      <c r="N109" s="877"/>
      <c r="O109" s="49">
        <f t="shared" si="24"/>
        <v>1</v>
      </c>
      <c r="P109" s="877"/>
      <c r="Q109" s="49">
        <f t="shared" si="25"/>
        <v>1</v>
      </c>
      <c r="R109" s="49">
        <f t="shared" si="26"/>
        <v>0</v>
      </c>
      <c r="S109" s="732">
        <f t="shared" si="17"/>
        <v>0</v>
      </c>
    </row>
    <row r="110" spans="1:19">
      <c r="A110" s="878"/>
      <c r="B110" s="126"/>
      <c r="C110" s="49">
        <f t="shared" si="18"/>
        <v>1</v>
      </c>
      <c r="D110" s="877"/>
      <c r="E110" s="49">
        <f t="shared" si="19"/>
        <v>1</v>
      </c>
      <c r="F110" s="877"/>
      <c r="G110" s="49">
        <f t="shared" si="20"/>
        <v>1</v>
      </c>
      <c r="H110" s="877"/>
      <c r="I110" s="49">
        <f t="shared" si="21"/>
        <v>1</v>
      </c>
      <c r="J110" s="877"/>
      <c r="K110" s="49">
        <f t="shared" si="22"/>
        <v>1</v>
      </c>
      <c r="L110" s="877"/>
      <c r="M110" s="49">
        <f t="shared" si="23"/>
        <v>1</v>
      </c>
      <c r="N110" s="877"/>
      <c r="O110" s="49">
        <f t="shared" si="24"/>
        <v>1</v>
      </c>
      <c r="P110" s="877"/>
      <c r="Q110" s="49">
        <f t="shared" si="25"/>
        <v>1</v>
      </c>
      <c r="R110" s="49">
        <f t="shared" si="26"/>
        <v>0</v>
      </c>
      <c r="S110" s="732">
        <f t="shared" si="17"/>
        <v>0</v>
      </c>
    </row>
    <row r="111" spans="1:19">
      <c r="A111" s="878"/>
      <c r="B111" s="126"/>
      <c r="C111" s="49">
        <f t="shared" si="18"/>
        <v>1</v>
      </c>
      <c r="D111" s="877"/>
      <c r="E111" s="49">
        <f t="shared" si="19"/>
        <v>1</v>
      </c>
      <c r="F111" s="877"/>
      <c r="G111" s="49">
        <f t="shared" si="20"/>
        <v>1</v>
      </c>
      <c r="H111" s="877"/>
      <c r="I111" s="49">
        <f t="shared" si="21"/>
        <v>1</v>
      </c>
      <c r="J111" s="877"/>
      <c r="K111" s="49">
        <f t="shared" si="22"/>
        <v>1</v>
      </c>
      <c r="L111" s="877"/>
      <c r="M111" s="49">
        <f t="shared" si="23"/>
        <v>1</v>
      </c>
      <c r="N111" s="877"/>
      <c r="O111" s="49">
        <f t="shared" si="24"/>
        <v>1</v>
      </c>
      <c r="P111" s="877"/>
      <c r="Q111" s="49">
        <f t="shared" si="25"/>
        <v>1</v>
      </c>
      <c r="R111" s="49">
        <f t="shared" si="26"/>
        <v>0</v>
      </c>
      <c r="S111" s="732">
        <f t="shared" si="17"/>
        <v>0</v>
      </c>
    </row>
    <row r="112" spans="1:19">
      <c r="A112" s="878"/>
      <c r="B112" s="126"/>
      <c r="C112" s="49">
        <f t="shared" si="18"/>
        <v>1</v>
      </c>
      <c r="D112" s="877"/>
      <c r="E112" s="49">
        <f t="shared" si="19"/>
        <v>1</v>
      </c>
      <c r="F112" s="877"/>
      <c r="G112" s="49">
        <f t="shared" si="20"/>
        <v>1</v>
      </c>
      <c r="H112" s="877"/>
      <c r="I112" s="49">
        <f t="shared" si="21"/>
        <v>1</v>
      </c>
      <c r="J112" s="877"/>
      <c r="K112" s="49">
        <f t="shared" si="22"/>
        <v>1</v>
      </c>
      <c r="L112" s="877"/>
      <c r="M112" s="49">
        <f t="shared" si="23"/>
        <v>1</v>
      </c>
      <c r="N112" s="877"/>
      <c r="O112" s="49">
        <f t="shared" si="24"/>
        <v>1</v>
      </c>
      <c r="P112" s="877"/>
      <c r="Q112" s="49">
        <f t="shared" si="25"/>
        <v>1</v>
      </c>
      <c r="R112" s="49">
        <f t="shared" si="26"/>
        <v>0</v>
      </c>
      <c r="S112" s="732">
        <f t="shared" si="17"/>
        <v>0</v>
      </c>
    </row>
    <row r="113" spans="1:19">
      <c r="A113" s="878"/>
      <c r="B113" s="126"/>
      <c r="C113" s="49">
        <f t="shared" si="18"/>
        <v>1</v>
      </c>
      <c r="D113" s="877"/>
      <c r="E113" s="49">
        <f t="shared" si="19"/>
        <v>1</v>
      </c>
      <c r="F113" s="877"/>
      <c r="G113" s="49">
        <f t="shared" si="20"/>
        <v>1</v>
      </c>
      <c r="H113" s="877"/>
      <c r="I113" s="49">
        <f t="shared" si="21"/>
        <v>1</v>
      </c>
      <c r="J113" s="877"/>
      <c r="K113" s="49">
        <f t="shared" si="22"/>
        <v>1</v>
      </c>
      <c r="L113" s="877"/>
      <c r="M113" s="49">
        <f t="shared" si="23"/>
        <v>1</v>
      </c>
      <c r="N113" s="877"/>
      <c r="O113" s="49">
        <f t="shared" si="24"/>
        <v>1</v>
      </c>
      <c r="P113" s="877"/>
      <c r="Q113" s="49">
        <f t="shared" si="25"/>
        <v>1</v>
      </c>
      <c r="R113" s="49">
        <f t="shared" si="26"/>
        <v>0</v>
      </c>
      <c r="S113" s="732">
        <f t="shared" si="17"/>
        <v>0</v>
      </c>
    </row>
    <row r="114" spans="1:19">
      <c r="A114" s="878"/>
      <c r="B114" s="126"/>
      <c r="C114" s="49">
        <f t="shared" si="18"/>
        <v>1</v>
      </c>
      <c r="D114" s="877"/>
      <c r="E114" s="49">
        <f t="shared" si="19"/>
        <v>1</v>
      </c>
      <c r="F114" s="877"/>
      <c r="G114" s="49">
        <f t="shared" si="20"/>
        <v>1</v>
      </c>
      <c r="H114" s="877"/>
      <c r="I114" s="49">
        <f t="shared" si="21"/>
        <v>1</v>
      </c>
      <c r="J114" s="877"/>
      <c r="K114" s="49">
        <f t="shared" si="22"/>
        <v>1</v>
      </c>
      <c r="L114" s="877"/>
      <c r="M114" s="49">
        <f t="shared" si="23"/>
        <v>1</v>
      </c>
      <c r="N114" s="877"/>
      <c r="O114" s="49">
        <f t="shared" si="24"/>
        <v>1</v>
      </c>
      <c r="P114" s="877"/>
      <c r="Q114" s="49">
        <f t="shared" si="25"/>
        <v>1</v>
      </c>
      <c r="R114" s="49">
        <f t="shared" si="26"/>
        <v>0</v>
      </c>
      <c r="S114" s="732">
        <f t="shared" si="17"/>
        <v>0</v>
      </c>
    </row>
    <row r="115" spans="1:19">
      <c r="A115" s="878"/>
      <c r="B115" s="126"/>
      <c r="C115" s="49">
        <f t="shared" si="18"/>
        <v>1</v>
      </c>
      <c r="D115" s="877"/>
      <c r="E115" s="49">
        <f t="shared" si="19"/>
        <v>1</v>
      </c>
      <c r="F115" s="877"/>
      <c r="G115" s="49">
        <f t="shared" si="20"/>
        <v>1</v>
      </c>
      <c r="H115" s="877"/>
      <c r="I115" s="49">
        <f t="shared" si="21"/>
        <v>1</v>
      </c>
      <c r="J115" s="877"/>
      <c r="K115" s="49">
        <f t="shared" si="22"/>
        <v>1</v>
      </c>
      <c r="L115" s="877"/>
      <c r="M115" s="49">
        <f t="shared" si="23"/>
        <v>1</v>
      </c>
      <c r="N115" s="877"/>
      <c r="O115" s="49">
        <f t="shared" si="24"/>
        <v>1</v>
      </c>
      <c r="P115" s="877"/>
      <c r="Q115" s="49">
        <f t="shared" si="25"/>
        <v>1</v>
      </c>
      <c r="R115" s="49">
        <f t="shared" si="26"/>
        <v>0</v>
      </c>
      <c r="S115" s="732">
        <f t="shared" si="17"/>
        <v>0</v>
      </c>
    </row>
    <row r="116" spans="1:19">
      <c r="A116" s="878"/>
      <c r="B116" s="126"/>
      <c r="C116" s="49">
        <f t="shared" si="18"/>
        <v>1</v>
      </c>
      <c r="D116" s="877"/>
      <c r="E116" s="49">
        <f t="shared" si="19"/>
        <v>1</v>
      </c>
      <c r="F116" s="877"/>
      <c r="G116" s="49">
        <f t="shared" si="20"/>
        <v>1</v>
      </c>
      <c r="H116" s="877"/>
      <c r="I116" s="49">
        <f t="shared" si="21"/>
        <v>1</v>
      </c>
      <c r="J116" s="877"/>
      <c r="K116" s="49">
        <f t="shared" si="22"/>
        <v>1</v>
      </c>
      <c r="L116" s="877"/>
      <c r="M116" s="49">
        <f t="shared" si="23"/>
        <v>1</v>
      </c>
      <c r="N116" s="877"/>
      <c r="O116" s="49">
        <f t="shared" si="24"/>
        <v>1</v>
      </c>
      <c r="P116" s="877"/>
      <c r="Q116" s="49">
        <f t="shared" si="25"/>
        <v>1</v>
      </c>
      <c r="R116" s="49">
        <f t="shared" si="26"/>
        <v>0</v>
      </c>
      <c r="S116" s="732">
        <f t="shared" si="17"/>
        <v>0</v>
      </c>
    </row>
    <row r="117" spans="1:19">
      <c r="A117" s="878"/>
      <c r="B117" s="126"/>
      <c r="C117" s="49">
        <f t="shared" si="18"/>
        <v>1</v>
      </c>
      <c r="D117" s="877"/>
      <c r="E117" s="49">
        <f t="shared" si="19"/>
        <v>1</v>
      </c>
      <c r="F117" s="877"/>
      <c r="G117" s="49">
        <f t="shared" si="20"/>
        <v>1</v>
      </c>
      <c r="H117" s="877"/>
      <c r="I117" s="49">
        <f t="shared" si="21"/>
        <v>1</v>
      </c>
      <c r="J117" s="877"/>
      <c r="K117" s="49">
        <f t="shared" si="22"/>
        <v>1</v>
      </c>
      <c r="L117" s="877"/>
      <c r="M117" s="49">
        <f t="shared" si="23"/>
        <v>1</v>
      </c>
      <c r="N117" s="877"/>
      <c r="O117" s="49">
        <f t="shared" si="24"/>
        <v>1</v>
      </c>
      <c r="P117" s="877"/>
      <c r="Q117" s="49">
        <f t="shared" si="25"/>
        <v>1</v>
      </c>
      <c r="R117" s="49">
        <f t="shared" si="26"/>
        <v>0</v>
      </c>
      <c r="S117" s="732">
        <f t="shared" si="17"/>
        <v>0</v>
      </c>
    </row>
    <row r="118" spans="1:19">
      <c r="A118" s="878"/>
      <c r="B118" s="126"/>
      <c r="C118" s="49">
        <f t="shared" si="18"/>
        <v>1</v>
      </c>
      <c r="D118" s="877"/>
      <c r="E118" s="49">
        <f t="shared" si="19"/>
        <v>1</v>
      </c>
      <c r="F118" s="877"/>
      <c r="G118" s="49">
        <f t="shared" si="20"/>
        <v>1</v>
      </c>
      <c r="H118" s="877"/>
      <c r="I118" s="49">
        <f t="shared" si="21"/>
        <v>1</v>
      </c>
      <c r="J118" s="877"/>
      <c r="K118" s="49">
        <f t="shared" si="22"/>
        <v>1</v>
      </c>
      <c r="L118" s="877"/>
      <c r="M118" s="49">
        <f t="shared" si="23"/>
        <v>1</v>
      </c>
      <c r="N118" s="877"/>
      <c r="O118" s="49">
        <f t="shared" si="24"/>
        <v>1</v>
      </c>
      <c r="P118" s="877"/>
      <c r="Q118" s="49">
        <f t="shared" si="25"/>
        <v>1</v>
      </c>
      <c r="R118" s="49">
        <f t="shared" si="26"/>
        <v>0</v>
      </c>
      <c r="S118" s="732">
        <f t="shared" si="17"/>
        <v>0</v>
      </c>
    </row>
    <row r="119" spans="1:19">
      <c r="A119" s="878"/>
      <c r="B119" s="126"/>
      <c r="C119" s="49">
        <f t="shared" si="18"/>
        <v>1</v>
      </c>
      <c r="D119" s="877"/>
      <c r="E119" s="49">
        <f t="shared" si="19"/>
        <v>1</v>
      </c>
      <c r="F119" s="877"/>
      <c r="G119" s="49">
        <f t="shared" si="20"/>
        <v>1</v>
      </c>
      <c r="H119" s="877"/>
      <c r="I119" s="49">
        <f t="shared" si="21"/>
        <v>1</v>
      </c>
      <c r="J119" s="877"/>
      <c r="K119" s="49">
        <f t="shared" si="22"/>
        <v>1</v>
      </c>
      <c r="L119" s="877"/>
      <c r="M119" s="49">
        <f t="shared" si="23"/>
        <v>1</v>
      </c>
      <c r="N119" s="877"/>
      <c r="O119" s="49">
        <f t="shared" si="24"/>
        <v>1</v>
      </c>
      <c r="P119" s="877"/>
      <c r="Q119" s="49">
        <f t="shared" si="25"/>
        <v>1</v>
      </c>
      <c r="R119" s="49">
        <f t="shared" si="26"/>
        <v>0</v>
      </c>
      <c r="S119" s="732">
        <f t="shared" si="17"/>
        <v>0</v>
      </c>
    </row>
    <row r="120" spans="1:19">
      <c r="A120" s="878"/>
      <c r="B120" s="126"/>
      <c r="C120" s="49">
        <f t="shared" si="18"/>
        <v>1</v>
      </c>
      <c r="D120" s="877"/>
      <c r="E120" s="49">
        <f t="shared" si="19"/>
        <v>1</v>
      </c>
      <c r="F120" s="877"/>
      <c r="G120" s="49">
        <f t="shared" si="20"/>
        <v>1</v>
      </c>
      <c r="H120" s="877"/>
      <c r="I120" s="49">
        <f t="shared" si="21"/>
        <v>1</v>
      </c>
      <c r="J120" s="877"/>
      <c r="K120" s="49">
        <f t="shared" si="22"/>
        <v>1</v>
      </c>
      <c r="L120" s="877"/>
      <c r="M120" s="49">
        <f t="shared" si="23"/>
        <v>1</v>
      </c>
      <c r="N120" s="877"/>
      <c r="O120" s="49">
        <f t="shared" si="24"/>
        <v>1</v>
      </c>
      <c r="P120" s="877"/>
      <c r="Q120" s="49">
        <f t="shared" si="25"/>
        <v>1</v>
      </c>
      <c r="R120" s="49">
        <f t="shared" si="26"/>
        <v>0</v>
      </c>
      <c r="S120" s="732">
        <f t="shared" si="17"/>
        <v>0</v>
      </c>
    </row>
    <row r="121" spans="1:19">
      <c r="A121" s="878"/>
      <c r="B121" s="126"/>
      <c r="C121" s="49">
        <f t="shared" si="18"/>
        <v>1</v>
      </c>
      <c r="D121" s="877"/>
      <c r="E121" s="49">
        <f t="shared" si="19"/>
        <v>1</v>
      </c>
      <c r="F121" s="877"/>
      <c r="G121" s="49">
        <f t="shared" si="20"/>
        <v>1</v>
      </c>
      <c r="H121" s="877"/>
      <c r="I121" s="49">
        <f t="shared" si="21"/>
        <v>1</v>
      </c>
      <c r="J121" s="877"/>
      <c r="K121" s="49">
        <f t="shared" si="22"/>
        <v>1</v>
      </c>
      <c r="L121" s="877"/>
      <c r="M121" s="49">
        <f t="shared" si="23"/>
        <v>1</v>
      </c>
      <c r="N121" s="877"/>
      <c r="O121" s="49">
        <f t="shared" si="24"/>
        <v>1</v>
      </c>
      <c r="P121" s="877"/>
      <c r="Q121" s="49">
        <f t="shared" si="25"/>
        <v>1</v>
      </c>
      <c r="R121" s="49">
        <f t="shared" si="26"/>
        <v>0</v>
      </c>
      <c r="S121" s="732">
        <f t="shared" si="17"/>
        <v>0</v>
      </c>
    </row>
    <row r="122" spans="1:19">
      <c r="A122" s="878"/>
      <c r="B122" s="126"/>
      <c r="C122" s="49">
        <f t="shared" si="18"/>
        <v>1</v>
      </c>
      <c r="D122" s="877"/>
      <c r="E122" s="49">
        <f t="shared" si="19"/>
        <v>1</v>
      </c>
      <c r="F122" s="877"/>
      <c r="G122" s="49">
        <f t="shared" si="20"/>
        <v>1</v>
      </c>
      <c r="H122" s="877"/>
      <c r="I122" s="49">
        <f t="shared" si="21"/>
        <v>1</v>
      </c>
      <c r="J122" s="877"/>
      <c r="K122" s="49">
        <f t="shared" si="22"/>
        <v>1</v>
      </c>
      <c r="L122" s="877"/>
      <c r="M122" s="49">
        <f t="shared" si="23"/>
        <v>1</v>
      </c>
      <c r="N122" s="877"/>
      <c r="O122" s="49">
        <f t="shared" si="24"/>
        <v>1</v>
      </c>
      <c r="P122" s="877"/>
      <c r="Q122" s="49">
        <f t="shared" si="25"/>
        <v>1</v>
      </c>
      <c r="R122" s="49">
        <f t="shared" si="26"/>
        <v>0</v>
      </c>
      <c r="S122" s="732">
        <f t="shared" si="17"/>
        <v>0</v>
      </c>
    </row>
    <row r="123" spans="1:19">
      <c r="A123" s="878"/>
      <c r="B123" s="126"/>
      <c r="C123" s="49">
        <f t="shared" si="18"/>
        <v>1</v>
      </c>
      <c r="D123" s="877"/>
      <c r="E123" s="49">
        <f t="shared" si="19"/>
        <v>1</v>
      </c>
      <c r="F123" s="877"/>
      <c r="G123" s="49">
        <f t="shared" si="20"/>
        <v>1</v>
      </c>
      <c r="H123" s="877"/>
      <c r="I123" s="49">
        <f t="shared" si="21"/>
        <v>1</v>
      </c>
      <c r="J123" s="877"/>
      <c r="K123" s="49">
        <f t="shared" si="22"/>
        <v>1</v>
      </c>
      <c r="L123" s="877"/>
      <c r="M123" s="49">
        <f t="shared" si="23"/>
        <v>1</v>
      </c>
      <c r="N123" s="877"/>
      <c r="O123" s="49">
        <f t="shared" si="24"/>
        <v>1</v>
      </c>
      <c r="P123" s="877"/>
      <c r="Q123" s="49">
        <f t="shared" si="25"/>
        <v>1</v>
      </c>
      <c r="R123" s="49">
        <f t="shared" si="26"/>
        <v>0</v>
      </c>
      <c r="S123" s="732">
        <f t="shared" ref="S123:S186" si="27">ROUND(R123*B123/10000,0)</f>
        <v>0</v>
      </c>
    </row>
    <row r="124" spans="1:19">
      <c r="A124" s="878"/>
      <c r="B124" s="126"/>
      <c r="C124" s="49">
        <f t="shared" si="18"/>
        <v>1</v>
      </c>
      <c r="D124" s="877"/>
      <c r="E124" s="49">
        <f t="shared" si="19"/>
        <v>1</v>
      </c>
      <c r="F124" s="877"/>
      <c r="G124" s="49">
        <f t="shared" si="20"/>
        <v>1</v>
      </c>
      <c r="H124" s="877"/>
      <c r="I124" s="49">
        <f t="shared" si="21"/>
        <v>1</v>
      </c>
      <c r="J124" s="877"/>
      <c r="K124" s="49">
        <f t="shared" si="22"/>
        <v>1</v>
      </c>
      <c r="L124" s="877"/>
      <c r="M124" s="49">
        <f t="shared" si="23"/>
        <v>1</v>
      </c>
      <c r="N124" s="877"/>
      <c r="O124" s="49">
        <f t="shared" si="24"/>
        <v>1</v>
      </c>
      <c r="P124" s="877"/>
      <c r="Q124" s="49">
        <f t="shared" si="25"/>
        <v>1</v>
      </c>
      <c r="R124" s="49">
        <f t="shared" si="26"/>
        <v>0</v>
      </c>
      <c r="S124" s="732">
        <f t="shared" si="27"/>
        <v>0</v>
      </c>
    </row>
    <row r="125" spans="1:19">
      <c r="A125" s="878"/>
      <c r="B125" s="126"/>
      <c r="C125" s="49">
        <f t="shared" si="18"/>
        <v>1</v>
      </c>
      <c r="D125" s="877"/>
      <c r="E125" s="49">
        <f t="shared" si="19"/>
        <v>1</v>
      </c>
      <c r="F125" s="877"/>
      <c r="G125" s="49">
        <f t="shared" si="20"/>
        <v>1</v>
      </c>
      <c r="H125" s="877"/>
      <c r="I125" s="49">
        <f t="shared" si="21"/>
        <v>1</v>
      </c>
      <c r="J125" s="877"/>
      <c r="K125" s="49">
        <f t="shared" si="22"/>
        <v>1</v>
      </c>
      <c r="L125" s="877"/>
      <c r="M125" s="49">
        <f t="shared" si="23"/>
        <v>1</v>
      </c>
      <c r="N125" s="877"/>
      <c r="O125" s="49">
        <f t="shared" si="24"/>
        <v>1</v>
      </c>
      <c r="P125" s="877"/>
      <c r="Q125" s="49">
        <f t="shared" si="25"/>
        <v>1</v>
      </c>
      <c r="R125" s="49">
        <f t="shared" si="26"/>
        <v>0</v>
      </c>
      <c r="S125" s="732">
        <f t="shared" si="27"/>
        <v>0</v>
      </c>
    </row>
    <row r="126" spans="1:19">
      <c r="A126" s="878"/>
      <c r="B126" s="126"/>
      <c r="C126" s="49">
        <f t="shared" si="18"/>
        <v>1</v>
      </c>
      <c r="D126" s="877"/>
      <c r="E126" s="49">
        <f t="shared" si="19"/>
        <v>1</v>
      </c>
      <c r="F126" s="877"/>
      <c r="G126" s="49">
        <f t="shared" si="20"/>
        <v>1</v>
      </c>
      <c r="H126" s="877"/>
      <c r="I126" s="49">
        <f t="shared" si="21"/>
        <v>1</v>
      </c>
      <c r="J126" s="877"/>
      <c r="K126" s="49">
        <f t="shared" si="22"/>
        <v>1</v>
      </c>
      <c r="L126" s="877"/>
      <c r="M126" s="49">
        <f t="shared" si="23"/>
        <v>1</v>
      </c>
      <c r="N126" s="877"/>
      <c r="O126" s="49">
        <f t="shared" si="24"/>
        <v>1</v>
      </c>
      <c r="P126" s="877"/>
      <c r="Q126" s="49">
        <f t="shared" si="25"/>
        <v>1</v>
      </c>
      <c r="R126" s="49">
        <f t="shared" si="26"/>
        <v>0</v>
      </c>
      <c r="S126" s="732">
        <f t="shared" si="27"/>
        <v>0</v>
      </c>
    </row>
    <row r="127" spans="1:19">
      <c r="A127" s="878"/>
      <c r="B127" s="126"/>
      <c r="C127" s="49">
        <f t="shared" si="18"/>
        <v>1</v>
      </c>
      <c r="D127" s="877"/>
      <c r="E127" s="49">
        <f t="shared" si="19"/>
        <v>1</v>
      </c>
      <c r="F127" s="877"/>
      <c r="G127" s="49">
        <f t="shared" si="20"/>
        <v>1</v>
      </c>
      <c r="H127" s="877"/>
      <c r="I127" s="49">
        <f t="shared" si="21"/>
        <v>1</v>
      </c>
      <c r="J127" s="877"/>
      <c r="K127" s="49">
        <f t="shared" si="22"/>
        <v>1</v>
      </c>
      <c r="L127" s="877"/>
      <c r="M127" s="49">
        <f t="shared" si="23"/>
        <v>1</v>
      </c>
      <c r="N127" s="877"/>
      <c r="O127" s="49">
        <f t="shared" si="24"/>
        <v>1</v>
      </c>
      <c r="P127" s="877"/>
      <c r="Q127" s="49">
        <f t="shared" si="25"/>
        <v>1</v>
      </c>
      <c r="R127" s="49">
        <f t="shared" si="26"/>
        <v>0</v>
      </c>
      <c r="S127" s="732">
        <f t="shared" si="27"/>
        <v>0</v>
      </c>
    </row>
    <row r="128" spans="1:19">
      <c r="A128" s="878"/>
      <c r="B128" s="126"/>
      <c r="C128" s="49">
        <f t="shared" si="18"/>
        <v>1</v>
      </c>
      <c r="D128" s="877"/>
      <c r="E128" s="49">
        <f t="shared" si="19"/>
        <v>1</v>
      </c>
      <c r="F128" s="877"/>
      <c r="G128" s="49">
        <f t="shared" si="20"/>
        <v>1</v>
      </c>
      <c r="H128" s="877"/>
      <c r="I128" s="49">
        <f t="shared" si="21"/>
        <v>1</v>
      </c>
      <c r="J128" s="877"/>
      <c r="K128" s="49">
        <f t="shared" si="22"/>
        <v>1</v>
      </c>
      <c r="L128" s="877"/>
      <c r="M128" s="49">
        <f t="shared" si="23"/>
        <v>1</v>
      </c>
      <c r="N128" s="877"/>
      <c r="O128" s="49">
        <f t="shared" si="24"/>
        <v>1</v>
      </c>
      <c r="P128" s="877"/>
      <c r="Q128" s="49">
        <f t="shared" si="25"/>
        <v>1</v>
      </c>
      <c r="R128" s="49">
        <f t="shared" si="26"/>
        <v>0</v>
      </c>
      <c r="S128" s="732">
        <f t="shared" si="27"/>
        <v>0</v>
      </c>
    </row>
    <row r="129" spans="1:19">
      <c r="A129" s="878"/>
      <c r="B129" s="126"/>
      <c r="C129" s="49">
        <f t="shared" si="18"/>
        <v>1</v>
      </c>
      <c r="D129" s="877"/>
      <c r="E129" s="49">
        <f t="shared" si="19"/>
        <v>1</v>
      </c>
      <c r="F129" s="877"/>
      <c r="G129" s="49">
        <f t="shared" si="20"/>
        <v>1</v>
      </c>
      <c r="H129" s="877"/>
      <c r="I129" s="49">
        <f t="shared" si="21"/>
        <v>1</v>
      </c>
      <c r="J129" s="877"/>
      <c r="K129" s="49">
        <f t="shared" si="22"/>
        <v>1</v>
      </c>
      <c r="L129" s="877"/>
      <c r="M129" s="49">
        <f t="shared" si="23"/>
        <v>1</v>
      </c>
      <c r="N129" s="877"/>
      <c r="O129" s="49">
        <f t="shared" si="24"/>
        <v>1</v>
      </c>
      <c r="P129" s="877"/>
      <c r="Q129" s="49">
        <f t="shared" si="25"/>
        <v>1</v>
      </c>
      <c r="R129" s="49">
        <f t="shared" si="26"/>
        <v>0</v>
      </c>
      <c r="S129" s="732">
        <f t="shared" si="27"/>
        <v>0</v>
      </c>
    </row>
    <row r="130" spans="1:19">
      <c r="A130" s="878"/>
      <c r="B130" s="126"/>
      <c r="C130" s="49">
        <f t="shared" si="18"/>
        <v>1</v>
      </c>
      <c r="D130" s="877"/>
      <c r="E130" s="49">
        <f t="shared" si="19"/>
        <v>1</v>
      </c>
      <c r="F130" s="877"/>
      <c r="G130" s="49">
        <f t="shared" si="20"/>
        <v>1</v>
      </c>
      <c r="H130" s="877"/>
      <c r="I130" s="49">
        <f t="shared" si="21"/>
        <v>1</v>
      </c>
      <c r="J130" s="877"/>
      <c r="K130" s="49">
        <f t="shared" si="22"/>
        <v>1</v>
      </c>
      <c r="L130" s="877"/>
      <c r="M130" s="49">
        <f t="shared" si="23"/>
        <v>1</v>
      </c>
      <c r="N130" s="877"/>
      <c r="O130" s="49">
        <f t="shared" si="24"/>
        <v>1</v>
      </c>
      <c r="P130" s="877"/>
      <c r="Q130" s="49">
        <f t="shared" si="25"/>
        <v>1</v>
      </c>
      <c r="R130" s="49">
        <f t="shared" si="26"/>
        <v>0</v>
      </c>
      <c r="S130" s="732">
        <f t="shared" si="27"/>
        <v>0</v>
      </c>
    </row>
    <row r="131" spans="1:19">
      <c r="A131" s="878"/>
      <c r="B131" s="126"/>
      <c r="C131" s="49">
        <f t="shared" si="18"/>
        <v>1</v>
      </c>
      <c r="D131" s="877"/>
      <c r="E131" s="49">
        <f t="shared" si="19"/>
        <v>1</v>
      </c>
      <c r="F131" s="877"/>
      <c r="G131" s="49">
        <f t="shared" si="20"/>
        <v>1</v>
      </c>
      <c r="H131" s="877"/>
      <c r="I131" s="49">
        <f t="shared" si="21"/>
        <v>1</v>
      </c>
      <c r="J131" s="877"/>
      <c r="K131" s="49">
        <f t="shared" si="22"/>
        <v>1</v>
      </c>
      <c r="L131" s="877"/>
      <c r="M131" s="49">
        <f t="shared" si="23"/>
        <v>1</v>
      </c>
      <c r="N131" s="877"/>
      <c r="O131" s="49">
        <f t="shared" si="24"/>
        <v>1</v>
      </c>
      <c r="P131" s="877"/>
      <c r="Q131" s="49">
        <f t="shared" si="25"/>
        <v>1</v>
      </c>
      <c r="R131" s="49">
        <f t="shared" si="26"/>
        <v>0</v>
      </c>
      <c r="S131" s="732">
        <f t="shared" si="27"/>
        <v>0</v>
      </c>
    </row>
    <row r="132" spans="1:19">
      <c r="A132" s="878"/>
      <c r="B132" s="126"/>
      <c r="C132" s="49">
        <f t="shared" si="18"/>
        <v>1</v>
      </c>
      <c r="D132" s="877"/>
      <c r="E132" s="49">
        <f t="shared" si="19"/>
        <v>1</v>
      </c>
      <c r="F132" s="877"/>
      <c r="G132" s="49">
        <f t="shared" si="20"/>
        <v>1</v>
      </c>
      <c r="H132" s="877"/>
      <c r="I132" s="49">
        <f t="shared" si="21"/>
        <v>1</v>
      </c>
      <c r="J132" s="877"/>
      <c r="K132" s="49">
        <f t="shared" si="22"/>
        <v>1</v>
      </c>
      <c r="L132" s="877"/>
      <c r="M132" s="49">
        <f t="shared" si="23"/>
        <v>1</v>
      </c>
      <c r="N132" s="877"/>
      <c r="O132" s="49">
        <f t="shared" si="24"/>
        <v>1</v>
      </c>
      <c r="P132" s="877"/>
      <c r="Q132" s="49">
        <f t="shared" si="25"/>
        <v>1</v>
      </c>
      <c r="R132" s="49">
        <f t="shared" si="26"/>
        <v>0</v>
      </c>
      <c r="S132" s="732">
        <f t="shared" si="27"/>
        <v>0</v>
      </c>
    </row>
    <row r="133" spans="1:19">
      <c r="A133" s="878"/>
      <c r="B133" s="126"/>
      <c r="C133" s="49">
        <f t="shared" si="18"/>
        <v>1</v>
      </c>
      <c r="D133" s="877"/>
      <c r="E133" s="49">
        <f t="shared" si="19"/>
        <v>1</v>
      </c>
      <c r="F133" s="877"/>
      <c r="G133" s="49">
        <f t="shared" si="20"/>
        <v>1</v>
      </c>
      <c r="H133" s="877"/>
      <c r="I133" s="49">
        <f t="shared" si="21"/>
        <v>1</v>
      </c>
      <c r="J133" s="877"/>
      <c r="K133" s="49">
        <f t="shared" si="22"/>
        <v>1</v>
      </c>
      <c r="L133" s="877"/>
      <c r="M133" s="49">
        <f t="shared" si="23"/>
        <v>1</v>
      </c>
      <c r="N133" s="877"/>
      <c r="O133" s="49">
        <f t="shared" si="24"/>
        <v>1</v>
      </c>
      <c r="P133" s="877"/>
      <c r="Q133" s="49">
        <f t="shared" si="25"/>
        <v>1</v>
      </c>
      <c r="R133" s="49">
        <f t="shared" si="26"/>
        <v>0</v>
      </c>
      <c r="S133" s="732">
        <f t="shared" si="27"/>
        <v>0</v>
      </c>
    </row>
    <row r="134" spans="1:19">
      <c r="A134" s="878"/>
      <c r="B134" s="126"/>
      <c r="C134" s="49">
        <f t="shared" si="18"/>
        <v>1</v>
      </c>
      <c r="D134" s="877"/>
      <c r="E134" s="49">
        <f t="shared" si="19"/>
        <v>1</v>
      </c>
      <c r="F134" s="877"/>
      <c r="G134" s="49">
        <f t="shared" si="20"/>
        <v>1</v>
      </c>
      <c r="H134" s="877"/>
      <c r="I134" s="49">
        <f t="shared" si="21"/>
        <v>1</v>
      </c>
      <c r="J134" s="877"/>
      <c r="K134" s="49">
        <f t="shared" si="22"/>
        <v>1</v>
      </c>
      <c r="L134" s="877"/>
      <c r="M134" s="49">
        <f t="shared" si="23"/>
        <v>1</v>
      </c>
      <c r="N134" s="877"/>
      <c r="O134" s="49">
        <f t="shared" si="24"/>
        <v>1</v>
      </c>
      <c r="P134" s="877"/>
      <c r="Q134" s="49">
        <f t="shared" si="25"/>
        <v>1</v>
      </c>
      <c r="R134" s="49">
        <f t="shared" si="26"/>
        <v>0</v>
      </c>
      <c r="S134" s="732">
        <f t="shared" si="27"/>
        <v>0</v>
      </c>
    </row>
    <row r="135" spans="1:19">
      <c r="A135" s="878"/>
      <c r="B135" s="126"/>
      <c r="C135" s="49">
        <f t="shared" si="18"/>
        <v>1</v>
      </c>
      <c r="D135" s="877"/>
      <c r="E135" s="49">
        <f t="shared" si="19"/>
        <v>1</v>
      </c>
      <c r="F135" s="877"/>
      <c r="G135" s="49">
        <f t="shared" si="20"/>
        <v>1</v>
      </c>
      <c r="H135" s="877"/>
      <c r="I135" s="49">
        <f t="shared" si="21"/>
        <v>1</v>
      </c>
      <c r="J135" s="877"/>
      <c r="K135" s="49">
        <f t="shared" si="22"/>
        <v>1</v>
      </c>
      <c r="L135" s="877"/>
      <c r="M135" s="49">
        <f t="shared" si="23"/>
        <v>1</v>
      </c>
      <c r="N135" s="877"/>
      <c r="O135" s="49">
        <f t="shared" si="24"/>
        <v>1</v>
      </c>
      <c r="P135" s="877"/>
      <c r="Q135" s="49">
        <f t="shared" si="25"/>
        <v>1</v>
      </c>
      <c r="R135" s="49">
        <f t="shared" si="26"/>
        <v>0</v>
      </c>
      <c r="S135" s="732">
        <f t="shared" si="27"/>
        <v>0</v>
      </c>
    </row>
    <row r="136" spans="1:19">
      <c r="A136" s="878"/>
      <c r="B136" s="126"/>
      <c r="C136" s="49">
        <f t="shared" si="18"/>
        <v>1</v>
      </c>
      <c r="D136" s="877"/>
      <c r="E136" s="49">
        <f t="shared" si="19"/>
        <v>1</v>
      </c>
      <c r="F136" s="877"/>
      <c r="G136" s="49">
        <f t="shared" si="20"/>
        <v>1</v>
      </c>
      <c r="H136" s="877"/>
      <c r="I136" s="49">
        <f t="shared" si="21"/>
        <v>1</v>
      </c>
      <c r="J136" s="877"/>
      <c r="K136" s="49">
        <f t="shared" si="22"/>
        <v>1</v>
      </c>
      <c r="L136" s="877"/>
      <c r="M136" s="49">
        <f t="shared" si="23"/>
        <v>1</v>
      </c>
      <c r="N136" s="877"/>
      <c r="O136" s="49">
        <f t="shared" si="24"/>
        <v>1</v>
      </c>
      <c r="P136" s="877"/>
      <c r="Q136" s="49">
        <f t="shared" si="25"/>
        <v>1</v>
      </c>
      <c r="R136" s="49">
        <f t="shared" si="26"/>
        <v>0</v>
      </c>
      <c r="S136" s="732">
        <f t="shared" si="27"/>
        <v>0</v>
      </c>
    </row>
    <row r="137" spans="1:19">
      <c r="A137" s="878"/>
      <c r="B137" s="126"/>
      <c r="C137" s="49">
        <f t="shared" si="18"/>
        <v>1</v>
      </c>
      <c r="D137" s="877"/>
      <c r="E137" s="49">
        <f t="shared" si="19"/>
        <v>1</v>
      </c>
      <c r="F137" s="877"/>
      <c r="G137" s="49">
        <f t="shared" si="20"/>
        <v>1</v>
      </c>
      <c r="H137" s="877"/>
      <c r="I137" s="49">
        <f t="shared" si="21"/>
        <v>1</v>
      </c>
      <c r="J137" s="877"/>
      <c r="K137" s="49">
        <f t="shared" si="22"/>
        <v>1</v>
      </c>
      <c r="L137" s="877"/>
      <c r="M137" s="49">
        <f t="shared" si="23"/>
        <v>1</v>
      </c>
      <c r="N137" s="877"/>
      <c r="O137" s="49">
        <f t="shared" si="24"/>
        <v>1</v>
      </c>
      <c r="P137" s="877"/>
      <c r="Q137" s="49">
        <f t="shared" si="25"/>
        <v>1</v>
      </c>
      <c r="R137" s="49">
        <f t="shared" si="26"/>
        <v>0</v>
      </c>
      <c r="S137" s="732">
        <f t="shared" si="27"/>
        <v>0</v>
      </c>
    </row>
    <row r="138" spans="1:19">
      <c r="A138" s="878"/>
      <c r="B138" s="126"/>
      <c r="C138" s="49">
        <f t="shared" si="18"/>
        <v>1</v>
      </c>
      <c r="D138" s="877"/>
      <c r="E138" s="49">
        <f t="shared" si="19"/>
        <v>1</v>
      </c>
      <c r="F138" s="877"/>
      <c r="G138" s="49">
        <f t="shared" si="20"/>
        <v>1</v>
      </c>
      <c r="H138" s="877"/>
      <c r="I138" s="49">
        <f t="shared" si="21"/>
        <v>1</v>
      </c>
      <c r="J138" s="877"/>
      <c r="K138" s="49">
        <f t="shared" si="22"/>
        <v>1</v>
      </c>
      <c r="L138" s="877"/>
      <c r="M138" s="49">
        <f t="shared" si="23"/>
        <v>1</v>
      </c>
      <c r="N138" s="877"/>
      <c r="O138" s="49">
        <f t="shared" si="24"/>
        <v>1</v>
      </c>
      <c r="P138" s="877"/>
      <c r="Q138" s="49">
        <f t="shared" si="25"/>
        <v>1</v>
      </c>
      <c r="R138" s="49">
        <f t="shared" si="26"/>
        <v>0</v>
      </c>
      <c r="S138" s="732">
        <f t="shared" si="27"/>
        <v>0</v>
      </c>
    </row>
    <row r="139" spans="1:19">
      <c r="A139" s="878"/>
      <c r="B139" s="126"/>
      <c r="C139" s="49">
        <f t="shared" si="18"/>
        <v>1</v>
      </c>
      <c r="D139" s="877"/>
      <c r="E139" s="49">
        <f t="shared" si="19"/>
        <v>1</v>
      </c>
      <c r="F139" s="877"/>
      <c r="G139" s="49">
        <f t="shared" si="20"/>
        <v>1</v>
      </c>
      <c r="H139" s="877"/>
      <c r="I139" s="49">
        <f t="shared" si="21"/>
        <v>1</v>
      </c>
      <c r="J139" s="877"/>
      <c r="K139" s="49">
        <f t="shared" si="22"/>
        <v>1</v>
      </c>
      <c r="L139" s="877"/>
      <c r="M139" s="49">
        <f t="shared" si="23"/>
        <v>1</v>
      </c>
      <c r="N139" s="877"/>
      <c r="O139" s="49">
        <f t="shared" si="24"/>
        <v>1</v>
      </c>
      <c r="P139" s="877"/>
      <c r="Q139" s="49">
        <f t="shared" si="25"/>
        <v>1</v>
      </c>
      <c r="R139" s="49">
        <f t="shared" si="26"/>
        <v>0</v>
      </c>
      <c r="S139" s="732">
        <f t="shared" si="27"/>
        <v>0</v>
      </c>
    </row>
    <row r="140" spans="1:19">
      <c r="A140" s="878"/>
      <c r="B140" s="126"/>
      <c r="C140" s="49">
        <f t="shared" si="18"/>
        <v>1</v>
      </c>
      <c r="D140" s="877"/>
      <c r="E140" s="49">
        <f t="shared" si="19"/>
        <v>1</v>
      </c>
      <c r="F140" s="877"/>
      <c r="G140" s="49">
        <f t="shared" si="20"/>
        <v>1</v>
      </c>
      <c r="H140" s="877"/>
      <c r="I140" s="49">
        <f t="shared" si="21"/>
        <v>1</v>
      </c>
      <c r="J140" s="877"/>
      <c r="K140" s="49">
        <f t="shared" si="22"/>
        <v>1</v>
      </c>
      <c r="L140" s="877"/>
      <c r="M140" s="49">
        <f t="shared" si="23"/>
        <v>1</v>
      </c>
      <c r="N140" s="877"/>
      <c r="O140" s="49">
        <f t="shared" si="24"/>
        <v>1</v>
      </c>
      <c r="P140" s="877"/>
      <c r="Q140" s="49">
        <f t="shared" si="25"/>
        <v>1</v>
      </c>
      <c r="R140" s="49">
        <f t="shared" si="26"/>
        <v>0</v>
      </c>
      <c r="S140" s="732">
        <f t="shared" si="27"/>
        <v>0</v>
      </c>
    </row>
    <row r="141" spans="1:19">
      <c r="A141" s="878"/>
      <c r="B141" s="126"/>
      <c r="C141" s="49">
        <f t="shared" si="18"/>
        <v>1</v>
      </c>
      <c r="D141" s="877"/>
      <c r="E141" s="49">
        <f t="shared" si="19"/>
        <v>1</v>
      </c>
      <c r="F141" s="877"/>
      <c r="G141" s="49">
        <f t="shared" si="20"/>
        <v>1</v>
      </c>
      <c r="H141" s="877"/>
      <c r="I141" s="49">
        <f t="shared" si="21"/>
        <v>1</v>
      </c>
      <c r="J141" s="877"/>
      <c r="K141" s="49">
        <f t="shared" si="22"/>
        <v>1</v>
      </c>
      <c r="L141" s="877"/>
      <c r="M141" s="49">
        <f t="shared" si="23"/>
        <v>1</v>
      </c>
      <c r="N141" s="877"/>
      <c r="O141" s="49">
        <f t="shared" si="24"/>
        <v>1</v>
      </c>
      <c r="P141" s="877"/>
      <c r="Q141" s="49">
        <f t="shared" si="25"/>
        <v>1</v>
      </c>
      <c r="R141" s="49">
        <f t="shared" si="26"/>
        <v>0</v>
      </c>
      <c r="S141" s="732">
        <f t="shared" si="27"/>
        <v>0</v>
      </c>
    </row>
    <row r="142" spans="1:19">
      <c r="A142" s="878"/>
      <c r="B142" s="126"/>
      <c r="C142" s="49">
        <f t="shared" si="18"/>
        <v>1</v>
      </c>
      <c r="D142" s="877"/>
      <c r="E142" s="49">
        <f t="shared" si="19"/>
        <v>1</v>
      </c>
      <c r="F142" s="877"/>
      <c r="G142" s="49">
        <f t="shared" si="20"/>
        <v>1</v>
      </c>
      <c r="H142" s="877"/>
      <c r="I142" s="49">
        <f t="shared" si="21"/>
        <v>1</v>
      </c>
      <c r="J142" s="877"/>
      <c r="K142" s="49">
        <f t="shared" si="22"/>
        <v>1</v>
      </c>
      <c r="L142" s="877"/>
      <c r="M142" s="49">
        <f t="shared" si="23"/>
        <v>1</v>
      </c>
      <c r="N142" s="877"/>
      <c r="O142" s="49">
        <f t="shared" si="24"/>
        <v>1</v>
      </c>
      <c r="P142" s="877"/>
      <c r="Q142" s="49">
        <f t="shared" si="25"/>
        <v>1</v>
      </c>
      <c r="R142" s="49">
        <f t="shared" si="26"/>
        <v>0</v>
      </c>
      <c r="S142" s="732">
        <f t="shared" si="27"/>
        <v>0</v>
      </c>
    </row>
    <row r="143" spans="1:19">
      <c r="A143" s="878"/>
      <c r="B143" s="126"/>
      <c r="C143" s="49">
        <f t="shared" si="18"/>
        <v>1</v>
      </c>
      <c r="D143" s="877"/>
      <c r="E143" s="49">
        <f t="shared" si="19"/>
        <v>1</v>
      </c>
      <c r="F143" s="877"/>
      <c r="G143" s="49">
        <f t="shared" si="20"/>
        <v>1</v>
      </c>
      <c r="H143" s="877"/>
      <c r="I143" s="49">
        <f t="shared" si="21"/>
        <v>1</v>
      </c>
      <c r="J143" s="877"/>
      <c r="K143" s="49">
        <f t="shared" si="22"/>
        <v>1</v>
      </c>
      <c r="L143" s="877"/>
      <c r="M143" s="49">
        <f t="shared" si="23"/>
        <v>1</v>
      </c>
      <c r="N143" s="877"/>
      <c r="O143" s="49">
        <f t="shared" si="24"/>
        <v>1</v>
      </c>
      <c r="P143" s="877"/>
      <c r="Q143" s="49">
        <f t="shared" si="25"/>
        <v>1</v>
      </c>
      <c r="R143" s="49">
        <f t="shared" si="26"/>
        <v>0</v>
      </c>
      <c r="S143" s="732">
        <f t="shared" si="27"/>
        <v>0</v>
      </c>
    </row>
    <row r="144" spans="1:19">
      <c r="A144" s="878"/>
      <c r="B144" s="126"/>
      <c r="C144" s="49">
        <f t="shared" si="18"/>
        <v>1</v>
      </c>
      <c r="D144" s="877"/>
      <c r="E144" s="49">
        <f t="shared" si="19"/>
        <v>1</v>
      </c>
      <c r="F144" s="877"/>
      <c r="G144" s="49">
        <f t="shared" si="20"/>
        <v>1</v>
      </c>
      <c r="H144" s="877"/>
      <c r="I144" s="49">
        <f t="shared" si="21"/>
        <v>1</v>
      </c>
      <c r="J144" s="877"/>
      <c r="K144" s="49">
        <f t="shared" si="22"/>
        <v>1</v>
      </c>
      <c r="L144" s="877"/>
      <c r="M144" s="49">
        <f t="shared" si="23"/>
        <v>1</v>
      </c>
      <c r="N144" s="877"/>
      <c r="O144" s="49">
        <f t="shared" si="24"/>
        <v>1</v>
      </c>
      <c r="P144" s="877"/>
      <c r="Q144" s="49">
        <f t="shared" si="25"/>
        <v>1</v>
      </c>
      <c r="R144" s="49">
        <f t="shared" si="26"/>
        <v>0</v>
      </c>
      <c r="S144" s="732">
        <f t="shared" si="27"/>
        <v>0</v>
      </c>
    </row>
    <row r="145" spans="1:19">
      <c r="A145" s="878"/>
      <c r="B145" s="126"/>
      <c r="C145" s="49">
        <f t="shared" si="18"/>
        <v>1</v>
      </c>
      <c r="D145" s="877"/>
      <c r="E145" s="49">
        <f t="shared" si="19"/>
        <v>1</v>
      </c>
      <c r="F145" s="877"/>
      <c r="G145" s="49">
        <f t="shared" si="20"/>
        <v>1</v>
      </c>
      <c r="H145" s="877"/>
      <c r="I145" s="49">
        <f t="shared" si="21"/>
        <v>1</v>
      </c>
      <c r="J145" s="877"/>
      <c r="K145" s="49">
        <f t="shared" si="22"/>
        <v>1</v>
      </c>
      <c r="L145" s="877"/>
      <c r="M145" s="49">
        <f t="shared" si="23"/>
        <v>1</v>
      </c>
      <c r="N145" s="877"/>
      <c r="O145" s="49">
        <f t="shared" si="24"/>
        <v>1</v>
      </c>
      <c r="P145" s="877"/>
      <c r="Q145" s="49">
        <f t="shared" si="25"/>
        <v>1</v>
      </c>
      <c r="R145" s="49">
        <f t="shared" si="26"/>
        <v>0</v>
      </c>
      <c r="S145" s="732">
        <f t="shared" si="27"/>
        <v>0</v>
      </c>
    </row>
    <row r="146" spans="1:19">
      <c r="A146" s="878"/>
      <c r="B146" s="126"/>
      <c r="C146" s="49">
        <f t="shared" si="18"/>
        <v>1</v>
      </c>
      <c r="D146" s="877"/>
      <c r="E146" s="49">
        <f t="shared" si="19"/>
        <v>1</v>
      </c>
      <c r="F146" s="877"/>
      <c r="G146" s="49">
        <f t="shared" si="20"/>
        <v>1</v>
      </c>
      <c r="H146" s="877"/>
      <c r="I146" s="49">
        <f t="shared" si="21"/>
        <v>1</v>
      </c>
      <c r="J146" s="877"/>
      <c r="K146" s="49">
        <f t="shared" si="22"/>
        <v>1</v>
      </c>
      <c r="L146" s="877"/>
      <c r="M146" s="49">
        <f t="shared" si="23"/>
        <v>1</v>
      </c>
      <c r="N146" s="877"/>
      <c r="O146" s="49">
        <f t="shared" si="24"/>
        <v>1</v>
      </c>
      <c r="P146" s="877"/>
      <c r="Q146" s="49">
        <f t="shared" si="25"/>
        <v>1</v>
      </c>
      <c r="R146" s="49">
        <f t="shared" si="26"/>
        <v>0</v>
      </c>
      <c r="S146" s="732">
        <f t="shared" si="27"/>
        <v>0</v>
      </c>
    </row>
    <row r="147" spans="1:19">
      <c r="A147" s="878"/>
      <c r="B147" s="126"/>
      <c r="C147" s="49">
        <f t="shared" si="18"/>
        <v>1</v>
      </c>
      <c r="D147" s="877"/>
      <c r="E147" s="49">
        <f t="shared" si="19"/>
        <v>1</v>
      </c>
      <c r="F147" s="877"/>
      <c r="G147" s="49">
        <f t="shared" si="20"/>
        <v>1</v>
      </c>
      <c r="H147" s="877"/>
      <c r="I147" s="49">
        <f t="shared" si="21"/>
        <v>1</v>
      </c>
      <c r="J147" s="877"/>
      <c r="K147" s="49">
        <f t="shared" si="22"/>
        <v>1</v>
      </c>
      <c r="L147" s="877"/>
      <c r="M147" s="49">
        <f t="shared" si="23"/>
        <v>1</v>
      </c>
      <c r="N147" s="877"/>
      <c r="O147" s="49">
        <f t="shared" si="24"/>
        <v>1</v>
      </c>
      <c r="P147" s="877"/>
      <c r="Q147" s="49">
        <f t="shared" si="25"/>
        <v>1</v>
      </c>
      <c r="R147" s="49">
        <f t="shared" si="26"/>
        <v>0</v>
      </c>
      <c r="S147" s="732">
        <f t="shared" si="27"/>
        <v>0</v>
      </c>
    </row>
    <row r="148" spans="1:19">
      <c r="A148" s="878"/>
      <c r="B148" s="126"/>
      <c r="C148" s="49">
        <f t="shared" si="18"/>
        <v>1</v>
      </c>
      <c r="D148" s="877"/>
      <c r="E148" s="49">
        <f t="shared" si="19"/>
        <v>1</v>
      </c>
      <c r="F148" s="877"/>
      <c r="G148" s="49">
        <f t="shared" si="20"/>
        <v>1</v>
      </c>
      <c r="H148" s="877"/>
      <c r="I148" s="49">
        <f t="shared" si="21"/>
        <v>1</v>
      </c>
      <c r="J148" s="877"/>
      <c r="K148" s="49">
        <f t="shared" si="22"/>
        <v>1</v>
      </c>
      <c r="L148" s="877"/>
      <c r="M148" s="49">
        <f t="shared" si="23"/>
        <v>1</v>
      </c>
      <c r="N148" s="877"/>
      <c r="O148" s="49">
        <f t="shared" si="24"/>
        <v>1</v>
      </c>
      <c r="P148" s="877"/>
      <c r="Q148" s="49">
        <f t="shared" si="25"/>
        <v>1</v>
      </c>
      <c r="R148" s="49">
        <f t="shared" si="26"/>
        <v>0</v>
      </c>
      <c r="S148" s="732">
        <f t="shared" si="27"/>
        <v>0</v>
      </c>
    </row>
    <row r="149" spans="1:19">
      <c r="A149" s="878"/>
      <c r="B149" s="126"/>
      <c r="C149" s="49">
        <f t="shared" si="18"/>
        <v>1</v>
      </c>
      <c r="D149" s="877"/>
      <c r="E149" s="49">
        <f t="shared" si="19"/>
        <v>1</v>
      </c>
      <c r="F149" s="877"/>
      <c r="G149" s="49">
        <f t="shared" si="20"/>
        <v>1</v>
      </c>
      <c r="H149" s="877"/>
      <c r="I149" s="49">
        <f t="shared" si="21"/>
        <v>1</v>
      </c>
      <c r="J149" s="877"/>
      <c r="K149" s="49">
        <f t="shared" si="22"/>
        <v>1</v>
      </c>
      <c r="L149" s="877"/>
      <c r="M149" s="49">
        <f t="shared" si="23"/>
        <v>1</v>
      </c>
      <c r="N149" s="877"/>
      <c r="O149" s="49">
        <f t="shared" si="24"/>
        <v>1</v>
      </c>
      <c r="P149" s="877"/>
      <c r="Q149" s="49">
        <f t="shared" si="25"/>
        <v>1</v>
      </c>
      <c r="R149" s="49">
        <f t="shared" si="26"/>
        <v>0</v>
      </c>
      <c r="S149" s="732">
        <f t="shared" si="27"/>
        <v>0</v>
      </c>
    </row>
    <row r="150" spans="1:19">
      <c r="A150" s="878"/>
      <c r="B150" s="126"/>
      <c r="C150" s="49">
        <f t="shared" si="18"/>
        <v>1</v>
      </c>
      <c r="D150" s="877"/>
      <c r="E150" s="49">
        <f t="shared" si="19"/>
        <v>1</v>
      </c>
      <c r="F150" s="877"/>
      <c r="G150" s="49">
        <f t="shared" si="20"/>
        <v>1</v>
      </c>
      <c r="H150" s="877"/>
      <c r="I150" s="49">
        <f t="shared" si="21"/>
        <v>1</v>
      </c>
      <c r="J150" s="877"/>
      <c r="K150" s="49">
        <f t="shared" si="22"/>
        <v>1</v>
      </c>
      <c r="L150" s="877"/>
      <c r="M150" s="49">
        <f t="shared" si="23"/>
        <v>1</v>
      </c>
      <c r="N150" s="877"/>
      <c r="O150" s="49">
        <f t="shared" si="24"/>
        <v>1</v>
      </c>
      <c r="P150" s="877"/>
      <c r="Q150" s="49">
        <f t="shared" si="25"/>
        <v>1</v>
      </c>
      <c r="R150" s="49">
        <f t="shared" si="26"/>
        <v>0</v>
      </c>
      <c r="S150" s="732">
        <f t="shared" si="27"/>
        <v>0</v>
      </c>
    </row>
    <row r="151" spans="1:19">
      <c r="A151" s="878"/>
      <c r="B151" s="126"/>
      <c r="C151" s="49">
        <f t="shared" si="18"/>
        <v>1</v>
      </c>
      <c r="D151" s="877"/>
      <c r="E151" s="49">
        <f t="shared" si="19"/>
        <v>1</v>
      </c>
      <c r="F151" s="877"/>
      <c r="G151" s="49">
        <f t="shared" si="20"/>
        <v>1</v>
      </c>
      <c r="H151" s="877"/>
      <c r="I151" s="49">
        <f t="shared" si="21"/>
        <v>1</v>
      </c>
      <c r="J151" s="877"/>
      <c r="K151" s="49">
        <f t="shared" si="22"/>
        <v>1</v>
      </c>
      <c r="L151" s="877"/>
      <c r="M151" s="49">
        <f t="shared" si="23"/>
        <v>1</v>
      </c>
      <c r="N151" s="877"/>
      <c r="O151" s="49">
        <f t="shared" si="24"/>
        <v>1</v>
      </c>
      <c r="P151" s="877"/>
      <c r="Q151" s="49">
        <f t="shared" si="25"/>
        <v>1</v>
      </c>
      <c r="R151" s="49">
        <f t="shared" si="26"/>
        <v>0</v>
      </c>
      <c r="S151" s="732">
        <f t="shared" si="27"/>
        <v>0</v>
      </c>
    </row>
    <row r="152" spans="1:19">
      <c r="A152" s="878"/>
      <c r="B152" s="126"/>
      <c r="C152" s="49">
        <f t="shared" si="18"/>
        <v>1</v>
      </c>
      <c r="D152" s="877"/>
      <c r="E152" s="49">
        <f t="shared" si="19"/>
        <v>1</v>
      </c>
      <c r="F152" s="877"/>
      <c r="G152" s="49">
        <f t="shared" si="20"/>
        <v>1</v>
      </c>
      <c r="H152" s="877"/>
      <c r="I152" s="49">
        <f t="shared" si="21"/>
        <v>1</v>
      </c>
      <c r="J152" s="877"/>
      <c r="K152" s="49">
        <f t="shared" si="22"/>
        <v>1</v>
      </c>
      <c r="L152" s="877"/>
      <c r="M152" s="49">
        <f t="shared" si="23"/>
        <v>1</v>
      </c>
      <c r="N152" s="877"/>
      <c r="O152" s="49">
        <f t="shared" si="24"/>
        <v>1</v>
      </c>
      <c r="P152" s="877"/>
      <c r="Q152" s="49">
        <f t="shared" si="25"/>
        <v>1</v>
      </c>
      <c r="R152" s="49">
        <f t="shared" si="26"/>
        <v>0</v>
      </c>
      <c r="S152" s="732">
        <f t="shared" si="27"/>
        <v>0</v>
      </c>
    </row>
    <row r="153" spans="1:19">
      <c r="A153" s="878"/>
      <c r="B153" s="126"/>
      <c r="C153" s="49">
        <f t="shared" si="18"/>
        <v>1</v>
      </c>
      <c r="D153" s="877"/>
      <c r="E153" s="49">
        <f t="shared" si="19"/>
        <v>1</v>
      </c>
      <c r="F153" s="877"/>
      <c r="G153" s="49">
        <f t="shared" si="20"/>
        <v>1</v>
      </c>
      <c r="H153" s="877"/>
      <c r="I153" s="49">
        <f t="shared" si="21"/>
        <v>1</v>
      </c>
      <c r="J153" s="877"/>
      <c r="K153" s="49">
        <f t="shared" si="22"/>
        <v>1</v>
      </c>
      <c r="L153" s="877"/>
      <c r="M153" s="49">
        <f t="shared" si="23"/>
        <v>1</v>
      </c>
      <c r="N153" s="877"/>
      <c r="O153" s="49">
        <f t="shared" si="24"/>
        <v>1</v>
      </c>
      <c r="P153" s="877"/>
      <c r="Q153" s="49">
        <f t="shared" si="25"/>
        <v>1</v>
      </c>
      <c r="R153" s="49">
        <f t="shared" si="26"/>
        <v>0</v>
      </c>
      <c r="S153" s="732">
        <f t="shared" si="27"/>
        <v>0</v>
      </c>
    </row>
    <row r="154" spans="1:19">
      <c r="A154" s="878"/>
      <c r="B154" s="126"/>
      <c r="C154" s="49">
        <f t="shared" ref="C154:C217" si="28">IF(B154="",1,(LOOKUP(B154,$3:$3,$4:$4)-LOOKUP($B$24,$3:$3,$4:$4)+100)/100)</f>
        <v>1</v>
      </c>
      <c r="D154" s="877"/>
      <c r="E154" s="49">
        <f t="shared" ref="E154:E217" si="29">(SUMIF($5:$5,D154,$6:$6)-SUMIF($5:$5,$D$24,$6:$6)+100)/100</f>
        <v>1</v>
      </c>
      <c r="F154" s="877"/>
      <c r="G154" s="49">
        <f t="shared" ref="G154:G217" si="30">(SUMIF($7:$7,F154,$8:$8)-SUMIF($7:$7,$F$24,$8:$8)+100)/100</f>
        <v>1</v>
      </c>
      <c r="H154" s="877"/>
      <c r="I154" s="49">
        <f t="shared" ref="I154:I217" si="31">(SUMIF($9:$9,H154,$10:$10)-SUMIF($9:$9,$H$24,$10:$10)+100)/100</f>
        <v>1</v>
      </c>
      <c r="J154" s="877"/>
      <c r="K154" s="49">
        <f t="shared" ref="K154:K217" si="32">(SUMIF($11:$11,J154,$12:$12)-SUMIF($11:$11,$J$24,$12:$12)+100)/100</f>
        <v>1</v>
      </c>
      <c r="L154" s="877"/>
      <c r="M154" s="49">
        <f t="shared" ref="M154:M217" si="33">(SUMIF($13:$13,L154,$14:$14)-SUMIF($13:$13,$L$24,$14:$14)+100)/100</f>
        <v>1</v>
      </c>
      <c r="N154" s="877"/>
      <c r="O154" s="49">
        <f t="shared" ref="O154:O217" si="34">(SUMIF($15:$15,N154,$16:$16)-SUMIF($15:$15,$N$24,$16:$16)+100)/100</f>
        <v>1</v>
      </c>
      <c r="P154" s="877"/>
      <c r="Q154" s="49">
        <f t="shared" ref="Q154:Q217" si="35">(SUMIF($17:$17,P154,$18:$18)-SUMIF($17:$17,$P$24,$18:$18)+100)/100</f>
        <v>1</v>
      </c>
      <c r="R154" s="49">
        <f t="shared" ref="R154:R217" si="36">IF(B154="",0,ROUND($R$24*C154*E154*G154*I154*K154*M154*O154*Q154,0))</f>
        <v>0</v>
      </c>
      <c r="S154" s="732">
        <f t="shared" si="27"/>
        <v>0</v>
      </c>
    </row>
    <row r="155" spans="1:19">
      <c r="A155" s="878"/>
      <c r="B155" s="126"/>
      <c r="C155" s="49">
        <f t="shared" si="28"/>
        <v>1</v>
      </c>
      <c r="D155" s="877"/>
      <c r="E155" s="49">
        <f t="shared" si="29"/>
        <v>1</v>
      </c>
      <c r="F155" s="877"/>
      <c r="G155" s="49">
        <f t="shared" si="30"/>
        <v>1</v>
      </c>
      <c r="H155" s="877"/>
      <c r="I155" s="49">
        <f t="shared" si="31"/>
        <v>1</v>
      </c>
      <c r="J155" s="877"/>
      <c r="K155" s="49">
        <f t="shared" si="32"/>
        <v>1</v>
      </c>
      <c r="L155" s="877"/>
      <c r="M155" s="49">
        <f t="shared" si="33"/>
        <v>1</v>
      </c>
      <c r="N155" s="877"/>
      <c r="O155" s="49">
        <f t="shared" si="34"/>
        <v>1</v>
      </c>
      <c r="P155" s="877"/>
      <c r="Q155" s="49">
        <f t="shared" si="35"/>
        <v>1</v>
      </c>
      <c r="R155" s="49">
        <f t="shared" si="36"/>
        <v>0</v>
      </c>
      <c r="S155" s="732">
        <f t="shared" si="27"/>
        <v>0</v>
      </c>
    </row>
    <row r="156" spans="1:19">
      <c r="A156" s="878"/>
      <c r="B156" s="126"/>
      <c r="C156" s="49">
        <f t="shared" si="28"/>
        <v>1</v>
      </c>
      <c r="D156" s="877"/>
      <c r="E156" s="49">
        <f t="shared" si="29"/>
        <v>1</v>
      </c>
      <c r="F156" s="877"/>
      <c r="G156" s="49">
        <f t="shared" si="30"/>
        <v>1</v>
      </c>
      <c r="H156" s="877"/>
      <c r="I156" s="49">
        <f t="shared" si="31"/>
        <v>1</v>
      </c>
      <c r="J156" s="877"/>
      <c r="K156" s="49">
        <f t="shared" si="32"/>
        <v>1</v>
      </c>
      <c r="L156" s="877"/>
      <c r="M156" s="49">
        <f t="shared" si="33"/>
        <v>1</v>
      </c>
      <c r="N156" s="877"/>
      <c r="O156" s="49">
        <f t="shared" si="34"/>
        <v>1</v>
      </c>
      <c r="P156" s="877"/>
      <c r="Q156" s="49">
        <f t="shared" si="35"/>
        <v>1</v>
      </c>
      <c r="R156" s="49">
        <f t="shared" si="36"/>
        <v>0</v>
      </c>
      <c r="S156" s="732">
        <f t="shared" si="27"/>
        <v>0</v>
      </c>
    </row>
    <row r="157" spans="1:19">
      <c r="A157" s="878"/>
      <c r="B157" s="126"/>
      <c r="C157" s="49">
        <f t="shared" si="28"/>
        <v>1</v>
      </c>
      <c r="D157" s="877"/>
      <c r="E157" s="49">
        <f t="shared" si="29"/>
        <v>1</v>
      </c>
      <c r="F157" s="877"/>
      <c r="G157" s="49">
        <f t="shared" si="30"/>
        <v>1</v>
      </c>
      <c r="H157" s="877"/>
      <c r="I157" s="49">
        <f t="shared" si="31"/>
        <v>1</v>
      </c>
      <c r="J157" s="877"/>
      <c r="K157" s="49">
        <f t="shared" si="32"/>
        <v>1</v>
      </c>
      <c r="L157" s="877"/>
      <c r="M157" s="49">
        <f t="shared" si="33"/>
        <v>1</v>
      </c>
      <c r="N157" s="877"/>
      <c r="O157" s="49">
        <f t="shared" si="34"/>
        <v>1</v>
      </c>
      <c r="P157" s="877"/>
      <c r="Q157" s="49">
        <f t="shared" si="35"/>
        <v>1</v>
      </c>
      <c r="R157" s="49">
        <f t="shared" si="36"/>
        <v>0</v>
      </c>
      <c r="S157" s="732">
        <f t="shared" si="27"/>
        <v>0</v>
      </c>
    </row>
    <row r="158" spans="1:19">
      <c r="A158" s="878"/>
      <c r="B158" s="126"/>
      <c r="C158" s="49">
        <f t="shared" si="28"/>
        <v>1</v>
      </c>
      <c r="D158" s="877"/>
      <c r="E158" s="49">
        <f t="shared" si="29"/>
        <v>1</v>
      </c>
      <c r="F158" s="877"/>
      <c r="G158" s="49">
        <f t="shared" si="30"/>
        <v>1</v>
      </c>
      <c r="H158" s="877"/>
      <c r="I158" s="49">
        <f t="shared" si="31"/>
        <v>1</v>
      </c>
      <c r="J158" s="877"/>
      <c r="K158" s="49">
        <f t="shared" si="32"/>
        <v>1</v>
      </c>
      <c r="L158" s="877"/>
      <c r="M158" s="49">
        <f t="shared" si="33"/>
        <v>1</v>
      </c>
      <c r="N158" s="877"/>
      <c r="O158" s="49">
        <f t="shared" si="34"/>
        <v>1</v>
      </c>
      <c r="P158" s="877"/>
      <c r="Q158" s="49">
        <f t="shared" si="35"/>
        <v>1</v>
      </c>
      <c r="R158" s="49">
        <f t="shared" si="36"/>
        <v>0</v>
      </c>
      <c r="S158" s="732">
        <f t="shared" si="27"/>
        <v>0</v>
      </c>
    </row>
    <row r="159" spans="1:19">
      <c r="A159" s="878"/>
      <c r="B159" s="126"/>
      <c r="C159" s="49">
        <f t="shared" si="28"/>
        <v>1</v>
      </c>
      <c r="D159" s="877"/>
      <c r="E159" s="49">
        <f t="shared" si="29"/>
        <v>1</v>
      </c>
      <c r="F159" s="877"/>
      <c r="G159" s="49">
        <f t="shared" si="30"/>
        <v>1</v>
      </c>
      <c r="H159" s="877"/>
      <c r="I159" s="49">
        <f t="shared" si="31"/>
        <v>1</v>
      </c>
      <c r="J159" s="877"/>
      <c r="K159" s="49">
        <f t="shared" si="32"/>
        <v>1</v>
      </c>
      <c r="L159" s="877"/>
      <c r="M159" s="49">
        <f t="shared" si="33"/>
        <v>1</v>
      </c>
      <c r="N159" s="877"/>
      <c r="O159" s="49">
        <f t="shared" si="34"/>
        <v>1</v>
      </c>
      <c r="P159" s="877"/>
      <c r="Q159" s="49">
        <f t="shared" si="35"/>
        <v>1</v>
      </c>
      <c r="R159" s="49">
        <f t="shared" si="36"/>
        <v>0</v>
      </c>
      <c r="S159" s="732">
        <f t="shared" si="27"/>
        <v>0</v>
      </c>
    </row>
    <row r="160" spans="1:19">
      <c r="A160" s="878"/>
      <c r="B160" s="126"/>
      <c r="C160" s="49">
        <f t="shared" si="28"/>
        <v>1</v>
      </c>
      <c r="D160" s="877"/>
      <c r="E160" s="49">
        <f t="shared" si="29"/>
        <v>1</v>
      </c>
      <c r="F160" s="877"/>
      <c r="G160" s="49">
        <f t="shared" si="30"/>
        <v>1</v>
      </c>
      <c r="H160" s="877"/>
      <c r="I160" s="49">
        <f t="shared" si="31"/>
        <v>1</v>
      </c>
      <c r="J160" s="877"/>
      <c r="K160" s="49">
        <f t="shared" si="32"/>
        <v>1</v>
      </c>
      <c r="L160" s="877"/>
      <c r="M160" s="49">
        <f t="shared" si="33"/>
        <v>1</v>
      </c>
      <c r="N160" s="877"/>
      <c r="O160" s="49">
        <f t="shared" si="34"/>
        <v>1</v>
      </c>
      <c r="P160" s="877"/>
      <c r="Q160" s="49">
        <f t="shared" si="35"/>
        <v>1</v>
      </c>
      <c r="R160" s="49">
        <f t="shared" si="36"/>
        <v>0</v>
      </c>
      <c r="S160" s="732">
        <f t="shared" si="27"/>
        <v>0</v>
      </c>
    </row>
    <row r="161" spans="1:19">
      <c r="A161" s="878"/>
      <c r="B161" s="126"/>
      <c r="C161" s="49">
        <f t="shared" si="28"/>
        <v>1</v>
      </c>
      <c r="D161" s="877"/>
      <c r="E161" s="49">
        <f t="shared" si="29"/>
        <v>1</v>
      </c>
      <c r="F161" s="877"/>
      <c r="G161" s="49">
        <f t="shared" si="30"/>
        <v>1</v>
      </c>
      <c r="H161" s="877"/>
      <c r="I161" s="49">
        <f t="shared" si="31"/>
        <v>1</v>
      </c>
      <c r="J161" s="877"/>
      <c r="K161" s="49">
        <f t="shared" si="32"/>
        <v>1</v>
      </c>
      <c r="L161" s="877"/>
      <c r="M161" s="49">
        <f t="shared" si="33"/>
        <v>1</v>
      </c>
      <c r="N161" s="877"/>
      <c r="O161" s="49">
        <f t="shared" si="34"/>
        <v>1</v>
      </c>
      <c r="P161" s="877"/>
      <c r="Q161" s="49">
        <f t="shared" si="35"/>
        <v>1</v>
      </c>
      <c r="R161" s="49">
        <f t="shared" si="36"/>
        <v>0</v>
      </c>
      <c r="S161" s="732">
        <f t="shared" si="27"/>
        <v>0</v>
      </c>
    </row>
    <row r="162" spans="1:19">
      <c r="A162" s="878"/>
      <c r="B162" s="126"/>
      <c r="C162" s="49">
        <f t="shared" si="28"/>
        <v>1</v>
      </c>
      <c r="D162" s="877"/>
      <c r="E162" s="49">
        <f t="shared" si="29"/>
        <v>1</v>
      </c>
      <c r="F162" s="877"/>
      <c r="G162" s="49">
        <f t="shared" si="30"/>
        <v>1</v>
      </c>
      <c r="H162" s="877"/>
      <c r="I162" s="49">
        <f t="shared" si="31"/>
        <v>1</v>
      </c>
      <c r="J162" s="877"/>
      <c r="K162" s="49">
        <f t="shared" si="32"/>
        <v>1</v>
      </c>
      <c r="L162" s="877"/>
      <c r="M162" s="49">
        <f t="shared" si="33"/>
        <v>1</v>
      </c>
      <c r="N162" s="877"/>
      <c r="O162" s="49">
        <f t="shared" si="34"/>
        <v>1</v>
      </c>
      <c r="P162" s="877"/>
      <c r="Q162" s="49">
        <f t="shared" si="35"/>
        <v>1</v>
      </c>
      <c r="R162" s="49">
        <f t="shared" si="36"/>
        <v>0</v>
      </c>
      <c r="S162" s="732">
        <f t="shared" si="27"/>
        <v>0</v>
      </c>
    </row>
    <row r="163" spans="1:19">
      <c r="A163" s="878"/>
      <c r="B163" s="126"/>
      <c r="C163" s="49">
        <f t="shared" si="28"/>
        <v>1</v>
      </c>
      <c r="D163" s="877"/>
      <c r="E163" s="49">
        <f t="shared" si="29"/>
        <v>1</v>
      </c>
      <c r="F163" s="877"/>
      <c r="G163" s="49">
        <f t="shared" si="30"/>
        <v>1</v>
      </c>
      <c r="H163" s="877"/>
      <c r="I163" s="49">
        <f t="shared" si="31"/>
        <v>1</v>
      </c>
      <c r="J163" s="877"/>
      <c r="K163" s="49">
        <f t="shared" si="32"/>
        <v>1</v>
      </c>
      <c r="L163" s="877"/>
      <c r="M163" s="49">
        <f t="shared" si="33"/>
        <v>1</v>
      </c>
      <c r="N163" s="877"/>
      <c r="O163" s="49">
        <f t="shared" si="34"/>
        <v>1</v>
      </c>
      <c r="P163" s="877"/>
      <c r="Q163" s="49">
        <f t="shared" si="35"/>
        <v>1</v>
      </c>
      <c r="R163" s="49">
        <f t="shared" si="36"/>
        <v>0</v>
      </c>
      <c r="S163" s="732">
        <f t="shared" si="27"/>
        <v>0</v>
      </c>
    </row>
    <row r="164" spans="1:19">
      <c r="A164" s="878"/>
      <c r="B164" s="126"/>
      <c r="C164" s="49">
        <f t="shared" si="28"/>
        <v>1</v>
      </c>
      <c r="D164" s="877"/>
      <c r="E164" s="49">
        <f t="shared" si="29"/>
        <v>1</v>
      </c>
      <c r="F164" s="877"/>
      <c r="G164" s="49">
        <f t="shared" si="30"/>
        <v>1</v>
      </c>
      <c r="H164" s="877"/>
      <c r="I164" s="49">
        <f t="shared" si="31"/>
        <v>1</v>
      </c>
      <c r="J164" s="877"/>
      <c r="K164" s="49">
        <f t="shared" si="32"/>
        <v>1</v>
      </c>
      <c r="L164" s="877"/>
      <c r="M164" s="49">
        <f t="shared" si="33"/>
        <v>1</v>
      </c>
      <c r="N164" s="877"/>
      <c r="O164" s="49">
        <f t="shared" si="34"/>
        <v>1</v>
      </c>
      <c r="P164" s="877"/>
      <c r="Q164" s="49">
        <f t="shared" si="35"/>
        <v>1</v>
      </c>
      <c r="R164" s="49">
        <f t="shared" si="36"/>
        <v>0</v>
      </c>
      <c r="S164" s="732">
        <f t="shared" si="27"/>
        <v>0</v>
      </c>
    </row>
    <row r="165" spans="1:19">
      <c r="A165" s="878"/>
      <c r="B165" s="126"/>
      <c r="C165" s="49">
        <f t="shared" si="28"/>
        <v>1</v>
      </c>
      <c r="D165" s="877"/>
      <c r="E165" s="49">
        <f t="shared" si="29"/>
        <v>1</v>
      </c>
      <c r="F165" s="877"/>
      <c r="G165" s="49">
        <f t="shared" si="30"/>
        <v>1</v>
      </c>
      <c r="H165" s="877"/>
      <c r="I165" s="49">
        <f t="shared" si="31"/>
        <v>1</v>
      </c>
      <c r="J165" s="877"/>
      <c r="K165" s="49">
        <f t="shared" si="32"/>
        <v>1</v>
      </c>
      <c r="L165" s="877"/>
      <c r="M165" s="49">
        <f t="shared" si="33"/>
        <v>1</v>
      </c>
      <c r="N165" s="877"/>
      <c r="O165" s="49">
        <f t="shared" si="34"/>
        <v>1</v>
      </c>
      <c r="P165" s="877"/>
      <c r="Q165" s="49">
        <f t="shared" si="35"/>
        <v>1</v>
      </c>
      <c r="R165" s="49">
        <f t="shared" si="36"/>
        <v>0</v>
      </c>
      <c r="S165" s="732">
        <f t="shared" si="27"/>
        <v>0</v>
      </c>
    </row>
    <row r="166" spans="1:19">
      <c r="A166" s="878"/>
      <c r="B166" s="126"/>
      <c r="C166" s="49">
        <f t="shared" si="28"/>
        <v>1</v>
      </c>
      <c r="D166" s="877"/>
      <c r="E166" s="49">
        <f t="shared" si="29"/>
        <v>1</v>
      </c>
      <c r="F166" s="877"/>
      <c r="G166" s="49">
        <f t="shared" si="30"/>
        <v>1</v>
      </c>
      <c r="H166" s="877"/>
      <c r="I166" s="49">
        <f t="shared" si="31"/>
        <v>1</v>
      </c>
      <c r="J166" s="877"/>
      <c r="K166" s="49">
        <f t="shared" si="32"/>
        <v>1</v>
      </c>
      <c r="L166" s="877"/>
      <c r="M166" s="49">
        <f t="shared" si="33"/>
        <v>1</v>
      </c>
      <c r="N166" s="877"/>
      <c r="O166" s="49">
        <f t="shared" si="34"/>
        <v>1</v>
      </c>
      <c r="P166" s="877"/>
      <c r="Q166" s="49">
        <f t="shared" si="35"/>
        <v>1</v>
      </c>
      <c r="R166" s="49">
        <f t="shared" si="36"/>
        <v>0</v>
      </c>
      <c r="S166" s="732">
        <f t="shared" si="27"/>
        <v>0</v>
      </c>
    </row>
    <row r="167" spans="1:19">
      <c r="A167" s="878"/>
      <c r="B167" s="126"/>
      <c r="C167" s="49">
        <f t="shared" si="28"/>
        <v>1</v>
      </c>
      <c r="D167" s="877"/>
      <c r="E167" s="49">
        <f t="shared" si="29"/>
        <v>1</v>
      </c>
      <c r="F167" s="877"/>
      <c r="G167" s="49">
        <f t="shared" si="30"/>
        <v>1</v>
      </c>
      <c r="H167" s="877"/>
      <c r="I167" s="49">
        <f t="shared" si="31"/>
        <v>1</v>
      </c>
      <c r="J167" s="877"/>
      <c r="K167" s="49">
        <f t="shared" si="32"/>
        <v>1</v>
      </c>
      <c r="L167" s="877"/>
      <c r="M167" s="49">
        <f t="shared" si="33"/>
        <v>1</v>
      </c>
      <c r="N167" s="877"/>
      <c r="O167" s="49">
        <f t="shared" si="34"/>
        <v>1</v>
      </c>
      <c r="P167" s="877"/>
      <c r="Q167" s="49">
        <f t="shared" si="35"/>
        <v>1</v>
      </c>
      <c r="R167" s="49">
        <f t="shared" si="36"/>
        <v>0</v>
      </c>
      <c r="S167" s="732">
        <f t="shared" si="27"/>
        <v>0</v>
      </c>
    </row>
    <row r="168" spans="1:19">
      <c r="A168" s="878"/>
      <c r="B168" s="126"/>
      <c r="C168" s="49">
        <f t="shared" si="28"/>
        <v>1</v>
      </c>
      <c r="D168" s="877"/>
      <c r="E168" s="49">
        <f t="shared" si="29"/>
        <v>1</v>
      </c>
      <c r="F168" s="877"/>
      <c r="G168" s="49">
        <f t="shared" si="30"/>
        <v>1</v>
      </c>
      <c r="H168" s="877"/>
      <c r="I168" s="49">
        <f t="shared" si="31"/>
        <v>1</v>
      </c>
      <c r="J168" s="877"/>
      <c r="K168" s="49">
        <f t="shared" si="32"/>
        <v>1</v>
      </c>
      <c r="L168" s="877"/>
      <c r="M168" s="49">
        <f t="shared" si="33"/>
        <v>1</v>
      </c>
      <c r="N168" s="877"/>
      <c r="O168" s="49">
        <f t="shared" si="34"/>
        <v>1</v>
      </c>
      <c r="P168" s="877"/>
      <c r="Q168" s="49">
        <f t="shared" si="35"/>
        <v>1</v>
      </c>
      <c r="R168" s="49">
        <f t="shared" si="36"/>
        <v>0</v>
      </c>
      <c r="S168" s="732">
        <f t="shared" si="27"/>
        <v>0</v>
      </c>
    </row>
    <row r="169" spans="1:19">
      <c r="A169" s="878"/>
      <c r="B169" s="126"/>
      <c r="C169" s="49">
        <f t="shared" si="28"/>
        <v>1</v>
      </c>
      <c r="D169" s="877"/>
      <c r="E169" s="49">
        <f t="shared" si="29"/>
        <v>1</v>
      </c>
      <c r="F169" s="877"/>
      <c r="G169" s="49">
        <f t="shared" si="30"/>
        <v>1</v>
      </c>
      <c r="H169" s="877"/>
      <c r="I169" s="49">
        <f t="shared" si="31"/>
        <v>1</v>
      </c>
      <c r="J169" s="877"/>
      <c r="K169" s="49">
        <f t="shared" si="32"/>
        <v>1</v>
      </c>
      <c r="L169" s="877"/>
      <c r="M169" s="49">
        <f t="shared" si="33"/>
        <v>1</v>
      </c>
      <c r="N169" s="877"/>
      <c r="O169" s="49">
        <f t="shared" si="34"/>
        <v>1</v>
      </c>
      <c r="P169" s="877"/>
      <c r="Q169" s="49">
        <f t="shared" si="35"/>
        <v>1</v>
      </c>
      <c r="R169" s="49">
        <f t="shared" si="36"/>
        <v>0</v>
      </c>
      <c r="S169" s="732">
        <f t="shared" si="27"/>
        <v>0</v>
      </c>
    </row>
    <row r="170" spans="1:19">
      <c r="A170" s="878"/>
      <c r="B170" s="126"/>
      <c r="C170" s="49">
        <f t="shared" si="28"/>
        <v>1</v>
      </c>
      <c r="D170" s="877"/>
      <c r="E170" s="49">
        <f t="shared" si="29"/>
        <v>1</v>
      </c>
      <c r="F170" s="877"/>
      <c r="G170" s="49">
        <f t="shared" si="30"/>
        <v>1</v>
      </c>
      <c r="H170" s="877"/>
      <c r="I170" s="49">
        <f t="shared" si="31"/>
        <v>1</v>
      </c>
      <c r="J170" s="877"/>
      <c r="K170" s="49">
        <f t="shared" si="32"/>
        <v>1</v>
      </c>
      <c r="L170" s="877"/>
      <c r="M170" s="49">
        <f t="shared" si="33"/>
        <v>1</v>
      </c>
      <c r="N170" s="877"/>
      <c r="O170" s="49">
        <f t="shared" si="34"/>
        <v>1</v>
      </c>
      <c r="P170" s="877"/>
      <c r="Q170" s="49">
        <f t="shared" si="35"/>
        <v>1</v>
      </c>
      <c r="R170" s="49">
        <f t="shared" si="36"/>
        <v>0</v>
      </c>
      <c r="S170" s="732">
        <f t="shared" si="27"/>
        <v>0</v>
      </c>
    </row>
    <row r="171" spans="1:19">
      <c r="A171" s="878"/>
      <c r="B171" s="126"/>
      <c r="C171" s="49">
        <f t="shared" si="28"/>
        <v>1</v>
      </c>
      <c r="D171" s="877"/>
      <c r="E171" s="49">
        <f t="shared" si="29"/>
        <v>1</v>
      </c>
      <c r="F171" s="877"/>
      <c r="G171" s="49">
        <f t="shared" si="30"/>
        <v>1</v>
      </c>
      <c r="H171" s="877"/>
      <c r="I171" s="49">
        <f t="shared" si="31"/>
        <v>1</v>
      </c>
      <c r="J171" s="877"/>
      <c r="K171" s="49">
        <f t="shared" si="32"/>
        <v>1</v>
      </c>
      <c r="L171" s="877"/>
      <c r="M171" s="49">
        <f t="shared" si="33"/>
        <v>1</v>
      </c>
      <c r="N171" s="877"/>
      <c r="O171" s="49">
        <f t="shared" si="34"/>
        <v>1</v>
      </c>
      <c r="P171" s="877"/>
      <c r="Q171" s="49">
        <f t="shared" si="35"/>
        <v>1</v>
      </c>
      <c r="R171" s="49">
        <f t="shared" si="36"/>
        <v>0</v>
      </c>
      <c r="S171" s="732">
        <f t="shared" si="27"/>
        <v>0</v>
      </c>
    </row>
    <row r="172" spans="1:19">
      <c r="A172" s="878"/>
      <c r="B172" s="126"/>
      <c r="C172" s="49">
        <f t="shared" si="28"/>
        <v>1</v>
      </c>
      <c r="D172" s="877"/>
      <c r="E172" s="49">
        <f t="shared" si="29"/>
        <v>1</v>
      </c>
      <c r="F172" s="877"/>
      <c r="G172" s="49">
        <f t="shared" si="30"/>
        <v>1</v>
      </c>
      <c r="H172" s="877"/>
      <c r="I172" s="49">
        <f t="shared" si="31"/>
        <v>1</v>
      </c>
      <c r="J172" s="877"/>
      <c r="K172" s="49">
        <f t="shared" si="32"/>
        <v>1</v>
      </c>
      <c r="L172" s="877"/>
      <c r="M172" s="49">
        <f t="shared" si="33"/>
        <v>1</v>
      </c>
      <c r="N172" s="877"/>
      <c r="O172" s="49">
        <f t="shared" si="34"/>
        <v>1</v>
      </c>
      <c r="P172" s="877"/>
      <c r="Q172" s="49">
        <f t="shared" si="35"/>
        <v>1</v>
      </c>
      <c r="R172" s="49">
        <f t="shared" si="36"/>
        <v>0</v>
      </c>
      <c r="S172" s="732">
        <f t="shared" si="27"/>
        <v>0</v>
      </c>
    </row>
    <row r="173" spans="1:19">
      <c r="A173" s="878"/>
      <c r="B173" s="126"/>
      <c r="C173" s="49">
        <f t="shared" si="28"/>
        <v>1</v>
      </c>
      <c r="D173" s="877"/>
      <c r="E173" s="49">
        <f t="shared" si="29"/>
        <v>1</v>
      </c>
      <c r="F173" s="877"/>
      <c r="G173" s="49">
        <f t="shared" si="30"/>
        <v>1</v>
      </c>
      <c r="H173" s="877"/>
      <c r="I173" s="49">
        <f t="shared" si="31"/>
        <v>1</v>
      </c>
      <c r="J173" s="877"/>
      <c r="K173" s="49">
        <f t="shared" si="32"/>
        <v>1</v>
      </c>
      <c r="L173" s="877"/>
      <c r="M173" s="49">
        <f t="shared" si="33"/>
        <v>1</v>
      </c>
      <c r="N173" s="877"/>
      <c r="O173" s="49">
        <f t="shared" si="34"/>
        <v>1</v>
      </c>
      <c r="P173" s="877"/>
      <c r="Q173" s="49">
        <f t="shared" si="35"/>
        <v>1</v>
      </c>
      <c r="R173" s="49">
        <f t="shared" si="36"/>
        <v>0</v>
      </c>
      <c r="S173" s="732">
        <f t="shared" si="27"/>
        <v>0</v>
      </c>
    </row>
    <row r="174" spans="1:19">
      <c r="A174" s="878"/>
      <c r="B174" s="126"/>
      <c r="C174" s="49">
        <f t="shared" si="28"/>
        <v>1</v>
      </c>
      <c r="D174" s="877"/>
      <c r="E174" s="49">
        <f t="shared" si="29"/>
        <v>1</v>
      </c>
      <c r="F174" s="877"/>
      <c r="G174" s="49">
        <f t="shared" si="30"/>
        <v>1</v>
      </c>
      <c r="H174" s="877"/>
      <c r="I174" s="49">
        <f t="shared" si="31"/>
        <v>1</v>
      </c>
      <c r="J174" s="877"/>
      <c r="K174" s="49">
        <f t="shared" si="32"/>
        <v>1</v>
      </c>
      <c r="L174" s="877"/>
      <c r="M174" s="49">
        <f t="shared" si="33"/>
        <v>1</v>
      </c>
      <c r="N174" s="877"/>
      <c r="O174" s="49">
        <f t="shared" si="34"/>
        <v>1</v>
      </c>
      <c r="P174" s="877"/>
      <c r="Q174" s="49">
        <f t="shared" si="35"/>
        <v>1</v>
      </c>
      <c r="R174" s="49">
        <f t="shared" si="36"/>
        <v>0</v>
      </c>
      <c r="S174" s="732">
        <f t="shared" si="27"/>
        <v>0</v>
      </c>
    </row>
    <row r="175" spans="1:19">
      <c r="A175" s="878"/>
      <c r="B175" s="126"/>
      <c r="C175" s="49">
        <f t="shared" si="28"/>
        <v>1</v>
      </c>
      <c r="D175" s="877"/>
      <c r="E175" s="49">
        <f t="shared" si="29"/>
        <v>1</v>
      </c>
      <c r="F175" s="877"/>
      <c r="G175" s="49">
        <f t="shared" si="30"/>
        <v>1</v>
      </c>
      <c r="H175" s="877"/>
      <c r="I175" s="49">
        <f t="shared" si="31"/>
        <v>1</v>
      </c>
      <c r="J175" s="877"/>
      <c r="K175" s="49">
        <f t="shared" si="32"/>
        <v>1</v>
      </c>
      <c r="L175" s="877"/>
      <c r="M175" s="49">
        <f t="shared" si="33"/>
        <v>1</v>
      </c>
      <c r="N175" s="877"/>
      <c r="O175" s="49">
        <f t="shared" si="34"/>
        <v>1</v>
      </c>
      <c r="P175" s="877"/>
      <c r="Q175" s="49">
        <f t="shared" si="35"/>
        <v>1</v>
      </c>
      <c r="R175" s="49">
        <f t="shared" si="36"/>
        <v>0</v>
      </c>
      <c r="S175" s="732">
        <f t="shared" si="27"/>
        <v>0</v>
      </c>
    </row>
    <row r="176" spans="1:19">
      <c r="A176" s="878"/>
      <c r="B176" s="126"/>
      <c r="C176" s="49">
        <f t="shared" si="28"/>
        <v>1</v>
      </c>
      <c r="D176" s="877"/>
      <c r="E176" s="49">
        <f t="shared" si="29"/>
        <v>1</v>
      </c>
      <c r="F176" s="877"/>
      <c r="G176" s="49">
        <f t="shared" si="30"/>
        <v>1</v>
      </c>
      <c r="H176" s="877"/>
      <c r="I176" s="49">
        <f t="shared" si="31"/>
        <v>1</v>
      </c>
      <c r="J176" s="877"/>
      <c r="K176" s="49">
        <f t="shared" si="32"/>
        <v>1</v>
      </c>
      <c r="L176" s="877"/>
      <c r="M176" s="49">
        <f t="shared" si="33"/>
        <v>1</v>
      </c>
      <c r="N176" s="877"/>
      <c r="O176" s="49">
        <f t="shared" si="34"/>
        <v>1</v>
      </c>
      <c r="P176" s="877"/>
      <c r="Q176" s="49">
        <f t="shared" si="35"/>
        <v>1</v>
      </c>
      <c r="R176" s="49">
        <f t="shared" si="36"/>
        <v>0</v>
      </c>
      <c r="S176" s="732">
        <f t="shared" si="27"/>
        <v>0</v>
      </c>
    </row>
    <row r="177" spans="1:19">
      <c r="A177" s="878"/>
      <c r="B177" s="126"/>
      <c r="C177" s="49">
        <f t="shared" si="28"/>
        <v>1</v>
      </c>
      <c r="D177" s="877"/>
      <c r="E177" s="49">
        <f t="shared" si="29"/>
        <v>1</v>
      </c>
      <c r="F177" s="877"/>
      <c r="G177" s="49">
        <f t="shared" si="30"/>
        <v>1</v>
      </c>
      <c r="H177" s="877"/>
      <c r="I177" s="49">
        <f t="shared" si="31"/>
        <v>1</v>
      </c>
      <c r="J177" s="877"/>
      <c r="K177" s="49">
        <f t="shared" si="32"/>
        <v>1</v>
      </c>
      <c r="L177" s="877"/>
      <c r="M177" s="49">
        <f t="shared" si="33"/>
        <v>1</v>
      </c>
      <c r="N177" s="877"/>
      <c r="O177" s="49">
        <f t="shared" si="34"/>
        <v>1</v>
      </c>
      <c r="P177" s="877"/>
      <c r="Q177" s="49">
        <f t="shared" si="35"/>
        <v>1</v>
      </c>
      <c r="R177" s="49">
        <f t="shared" si="36"/>
        <v>0</v>
      </c>
      <c r="S177" s="732">
        <f t="shared" si="27"/>
        <v>0</v>
      </c>
    </row>
    <row r="178" spans="1:19">
      <c r="A178" s="878"/>
      <c r="B178" s="126"/>
      <c r="C178" s="49">
        <f t="shared" si="28"/>
        <v>1</v>
      </c>
      <c r="D178" s="877"/>
      <c r="E178" s="49">
        <f t="shared" si="29"/>
        <v>1</v>
      </c>
      <c r="F178" s="877"/>
      <c r="G178" s="49">
        <f t="shared" si="30"/>
        <v>1</v>
      </c>
      <c r="H178" s="877"/>
      <c r="I178" s="49">
        <f t="shared" si="31"/>
        <v>1</v>
      </c>
      <c r="J178" s="877"/>
      <c r="K178" s="49">
        <f t="shared" si="32"/>
        <v>1</v>
      </c>
      <c r="L178" s="877"/>
      <c r="M178" s="49">
        <f t="shared" si="33"/>
        <v>1</v>
      </c>
      <c r="N178" s="877"/>
      <c r="O178" s="49">
        <f t="shared" si="34"/>
        <v>1</v>
      </c>
      <c r="P178" s="877"/>
      <c r="Q178" s="49">
        <f t="shared" si="35"/>
        <v>1</v>
      </c>
      <c r="R178" s="49">
        <f t="shared" si="36"/>
        <v>0</v>
      </c>
      <c r="S178" s="732">
        <f t="shared" si="27"/>
        <v>0</v>
      </c>
    </row>
    <row r="179" spans="1:19">
      <c r="A179" s="878"/>
      <c r="B179" s="126"/>
      <c r="C179" s="49">
        <f t="shared" si="28"/>
        <v>1</v>
      </c>
      <c r="D179" s="877"/>
      <c r="E179" s="49">
        <f t="shared" si="29"/>
        <v>1</v>
      </c>
      <c r="F179" s="877"/>
      <c r="G179" s="49">
        <f t="shared" si="30"/>
        <v>1</v>
      </c>
      <c r="H179" s="877"/>
      <c r="I179" s="49">
        <f t="shared" si="31"/>
        <v>1</v>
      </c>
      <c r="J179" s="877"/>
      <c r="K179" s="49">
        <f t="shared" si="32"/>
        <v>1</v>
      </c>
      <c r="L179" s="877"/>
      <c r="M179" s="49">
        <f t="shared" si="33"/>
        <v>1</v>
      </c>
      <c r="N179" s="877"/>
      <c r="O179" s="49">
        <f t="shared" si="34"/>
        <v>1</v>
      </c>
      <c r="P179" s="877"/>
      <c r="Q179" s="49">
        <f t="shared" si="35"/>
        <v>1</v>
      </c>
      <c r="R179" s="49">
        <f t="shared" si="36"/>
        <v>0</v>
      </c>
      <c r="S179" s="732">
        <f t="shared" si="27"/>
        <v>0</v>
      </c>
    </row>
    <row r="180" spans="1:19">
      <c r="A180" s="878"/>
      <c r="B180" s="126"/>
      <c r="C180" s="49">
        <f t="shared" si="28"/>
        <v>1</v>
      </c>
      <c r="D180" s="877"/>
      <c r="E180" s="49">
        <f t="shared" si="29"/>
        <v>1</v>
      </c>
      <c r="F180" s="877"/>
      <c r="G180" s="49">
        <f t="shared" si="30"/>
        <v>1</v>
      </c>
      <c r="H180" s="877"/>
      <c r="I180" s="49">
        <f t="shared" si="31"/>
        <v>1</v>
      </c>
      <c r="J180" s="877"/>
      <c r="K180" s="49">
        <f t="shared" si="32"/>
        <v>1</v>
      </c>
      <c r="L180" s="877"/>
      <c r="M180" s="49">
        <f t="shared" si="33"/>
        <v>1</v>
      </c>
      <c r="N180" s="877"/>
      <c r="O180" s="49">
        <f t="shared" si="34"/>
        <v>1</v>
      </c>
      <c r="P180" s="877"/>
      <c r="Q180" s="49">
        <f t="shared" si="35"/>
        <v>1</v>
      </c>
      <c r="R180" s="49">
        <f t="shared" si="36"/>
        <v>0</v>
      </c>
      <c r="S180" s="732">
        <f t="shared" si="27"/>
        <v>0</v>
      </c>
    </row>
    <row r="181" spans="1:19">
      <c r="A181" s="878"/>
      <c r="B181" s="126"/>
      <c r="C181" s="49">
        <f t="shared" si="28"/>
        <v>1</v>
      </c>
      <c r="D181" s="877"/>
      <c r="E181" s="49">
        <f t="shared" si="29"/>
        <v>1</v>
      </c>
      <c r="F181" s="877"/>
      <c r="G181" s="49">
        <f t="shared" si="30"/>
        <v>1</v>
      </c>
      <c r="H181" s="877"/>
      <c r="I181" s="49">
        <f t="shared" si="31"/>
        <v>1</v>
      </c>
      <c r="J181" s="877"/>
      <c r="K181" s="49">
        <f t="shared" si="32"/>
        <v>1</v>
      </c>
      <c r="L181" s="877"/>
      <c r="M181" s="49">
        <f t="shared" si="33"/>
        <v>1</v>
      </c>
      <c r="N181" s="877"/>
      <c r="O181" s="49">
        <f t="shared" si="34"/>
        <v>1</v>
      </c>
      <c r="P181" s="877"/>
      <c r="Q181" s="49">
        <f t="shared" si="35"/>
        <v>1</v>
      </c>
      <c r="R181" s="49">
        <f t="shared" si="36"/>
        <v>0</v>
      </c>
      <c r="S181" s="732">
        <f t="shared" si="27"/>
        <v>0</v>
      </c>
    </row>
    <row r="182" spans="1:19">
      <c r="A182" s="878"/>
      <c r="B182" s="126"/>
      <c r="C182" s="49">
        <f t="shared" si="28"/>
        <v>1</v>
      </c>
      <c r="D182" s="877"/>
      <c r="E182" s="49">
        <f t="shared" si="29"/>
        <v>1</v>
      </c>
      <c r="F182" s="877"/>
      <c r="G182" s="49">
        <f t="shared" si="30"/>
        <v>1</v>
      </c>
      <c r="H182" s="877"/>
      <c r="I182" s="49">
        <f t="shared" si="31"/>
        <v>1</v>
      </c>
      <c r="J182" s="877"/>
      <c r="K182" s="49">
        <f t="shared" si="32"/>
        <v>1</v>
      </c>
      <c r="L182" s="877"/>
      <c r="M182" s="49">
        <f t="shared" si="33"/>
        <v>1</v>
      </c>
      <c r="N182" s="877"/>
      <c r="O182" s="49">
        <f t="shared" si="34"/>
        <v>1</v>
      </c>
      <c r="P182" s="877"/>
      <c r="Q182" s="49">
        <f t="shared" si="35"/>
        <v>1</v>
      </c>
      <c r="R182" s="49">
        <f t="shared" si="36"/>
        <v>0</v>
      </c>
      <c r="S182" s="732">
        <f t="shared" si="27"/>
        <v>0</v>
      </c>
    </row>
    <row r="183" spans="1:19">
      <c r="A183" s="878"/>
      <c r="B183" s="126"/>
      <c r="C183" s="49">
        <f t="shared" si="28"/>
        <v>1</v>
      </c>
      <c r="D183" s="877"/>
      <c r="E183" s="49">
        <f t="shared" si="29"/>
        <v>1</v>
      </c>
      <c r="F183" s="877"/>
      <c r="G183" s="49">
        <f t="shared" si="30"/>
        <v>1</v>
      </c>
      <c r="H183" s="877"/>
      <c r="I183" s="49">
        <f t="shared" si="31"/>
        <v>1</v>
      </c>
      <c r="J183" s="877"/>
      <c r="K183" s="49">
        <f t="shared" si="32"/>
        <v>1</v>
      </c>
      <c r="L183" s="877"/>
      <c r="M183" s="49">
        <f t="shared" si="33"/>
        <v>1</v>
      </c>
      <c r="N183" s="877"/>
      <c r="O183" s="49">
        <f t="shared" si="34"/>
        <v>1</v>
      </c>
      <c r="P183" s="877"/>
      <c r="Q183" s="49">
        <f t="shared" si="35"/>
        <v>1</v>
      </c>
      <c r="R183" s="49">
        <f t="shared" si="36"/>
        <v>0</v>
      </c>
      <c r="S183" s="732">
        <f t="shared" si="27"/>
        <v>0</v>
      </c>
    </row>
    <row r="184" spans="1:19">
      <c r="A184" s="878"/>
      <c r="B184" s="126"/>
      <c r="C184" s="49">
        <f t="shared" si="28"/>
        <v>1</v>
      </c>
      <c r="D184" s="877"/>
      <c r="E184" s="49">
        <f t="shared" si="29"/>
        <v>1</v>
      </c>
      <c r="F184" s="877"/>
      <c r="G184" s="49">
        <f t="shared" si="30"/>
        <v>1</v>
      </c>
      <c r="H184" s="877"/>
      <c r="I184" s="49">
        <f t="shared" si="31"/>
        <v>1</v>
      </c>
      <c r="J184" s="877"/>
      <c r="K184" s="49">
        <f t="shared" si="32"/>
        <v>1</v>
      </c>
      <c r="L184" s="877"/>
      <c r="M184" s="49">
        <f t="shared" si="33"/>
        <v>1</v>
      </c>
      <c r="N184" s="877"/>
      <c r="O184" s="49">
        <f t="shared" si="34"/>
        <v>1</v>
      </c>
      <c r="P184" s="877"/>
      <c r="Q184" s="49">
        <f t="shared" si="35"/>
        <v>1</v>
      </c>
      <c r="R184" s="49">
        <f t="shared" si="36"/>
        <v>0</v>
      </c>
      <c r="S184" s="732">
        <f t="shared" si="27"/>
        <v>0</v>
      </c>
    </row>
    <row r="185" spans="1:19">
      <c r="A185" s="878"/>
      <c r="B185" s="126"/>
      <c r="C185" s="49">
        <f t="shared" si="28"/>
        <v>1</v>
      </c>
      <c r="D185" s="877"/>
      <c r="E185" s="49">
        <f t="shared" si="29"/>
        <v>1</v>
      </c>
      <c r="F185" s="877"/>
      <c r="G185" s="49">
        <f t="shared" si="30"/>
        <v>1</v>
      </c>
      <c r="H185" s="877"/>
      <c r="I185" s="49">
        <f t="shared" si="31"/>
        <v>1</v>
      </c>
      <c r="J185" s="877"/>
      <c r="K185" s="49">
        <f t="shared" si="32"/>
        <v>1</v>
      </c>
      <c r="L185" s="877"/>
      <c r="M185" s="49">
        <f t="shared" si="33"/>
        <v>1</v>
      </c>
      <c r="N185" s="877"/>
      <c r="O185" s="49">
        <f t="shared" si="34"/>
        <v>1</v>
      </c>
      <c r="P185" s="877"/>
      <c r="Q185" s="49">
        <f t="shared" si="35"/>
        <v>1</v>
      </c>
      <c r="R185" s="49">
        <f t="shared" si="36"/>
        <v>0</v>
      </c>
      <c r="S185" s="732">
        <f t="shared" si="27"/>
        <v>0</v>
      </c>
    </row>
    <row r="186" spans="1:19">
      <c r="A186" s="878"/>
      <c r="B186" s="126"/>
      <c r="C186" s="49">
        <f t="shared" si="28"/>
        <v>1</v>
      </c>
      <c r="D186" s="877"/>
      <c r="E186" s="49">
        <f t="shared" si="29"/>
        <v>1</v>
      </c>
      <c r="F186" s="877"/>
      <c r="G186" s="49">
        <f t="shared" si="30"/>
        <v>1</v>
      </c>
      <c r="H186" s="877"/>
      <c r="I186" s="49">
        <f t="shared" si="31"/>
        <v>1</v>
      </c>
      <c r="J186" s="877"/>
      <c r="K186" s="49">
        <f t="shared" si="32"/>
        <v>1</v>
      </c>
      <c r="L186" s="877"/>
      <c r="M186" s="49">
        <f t="shared" si="33"/>
        <v>1</v>
      </c>
      <c r="N186" s="877"/>
      <c r="O186" s="49">
        <f t="shared" si="34"/>
        <v>1</v>
      </c>
      <c r="P186" s="877"/>
      <c r="Q186" s="49">
        <f t="shared" si="35"/>
        <v>1</v>
      </c>
      <c r="R186" s="49">
        <f t="shared" si="36"/>
        <v>0</v>
      </c>
      <c r="S186" s="732">
        <f t="shared" si="27"/>
        <v>0</v>
      </c>
    </row>
    <row r="187" spans="1:19">
      <c r="A187" s="878"/>
      <c r="B187" s="126"/>
      <c r="C187" s="49">
        <f t="shared" si="28"/>
        <v>1</v>
      </c>
      <c r="D187" s="877"/>
      <c r="E187" s="49">
        <f t="shared" si="29"/>
        <v>1</v>
      </c>
      <c r="F187" s="877"/>
      <c r="G187" s="49">
        <f t="shared" si="30"/>
        <v>1</v>
      </c>
      <c r="H187" s="877"/>
      <c r="I187" s="49">
        <f t="shared" si="31"/>
        <v>1</v>
      </c>
      <c r="J187" s="877"/>
      <c r="K187" s="49">
        <f t="shared" si="32"/>
        <v>1</v>
      </c>
      <c r="L187" s="877"/>
      <c r="M187" s="49">
        <f t="shared" si="33"/>
        <v>1</v>
      </c>
      <c r="N187" s="877"/>
      <c r="O187" s="49">
        <f t="shared" si="34"/>
        <v>1</v>
      </c>
      <c r="P187" s="877"/>
      <c r="Q187" s="49">
        <f t="shared" si="35"/>
        <v>1</v>
      </c>
      <c r="R187" s="49">
        <f t="shared" si="36"/>
        <v>0</v>
      </c>
      <c r="S187" s="732">
        <f t="shared" ref="S187:S222" si="37">ROUND(R187*B187/10000,0)</f>
        <v>0</v>
      </c>
    </row>
    <row r="188" spans="1:19">
      <c r="A188" s="878"/>
      <c r="B188" s="126"/>
      <c r="C188" s="49">
        <f t="shared" si="28"/>
        <v>1</v>
      </c>
      <c r="D188" s="877"/>
      <c r="E188" s="49">
        <f t="shared" si="29"/>
        <v>1</v>
      </c>
      <c r="F188" s="877"/>
      <c r="G188" s="49">
        <f t="shared" si="30"/>
        <v>1</v>
      </c>
      <c r="H188" s="877"/>
      <c r="I188" s="49">
        <f t="shared" si="31"/>
        <v>1</v>
      </c>
      <c r="J188" s="877"/>
      <c r="K188" s="49">
        <f t="shared" si="32"/>
        <v>1</v>
      </c>
      <c r="L188" s="877"/>
      <c r="M188" s="49">
        <f t="shared" si="33"/>
        <v>1</v>
      </c>
      <c r="N188" s="877"/>
      <c r="O188" s="49">
        <f t="shared" si="34"/>
        <v>1</v>
      </c>
      <c r="P188" s="877"/>
      <c r="Q188" s="49">
        <f t="shared" si="35"/>
        <v>1</v>
      </c>
      <c r="R188" s="49">
        <f t="shared" si="36"/>
        <v>0</v>
      </c>
      <c r="S188" s="732">
        <f t="shared" si="37"/>
        <v>0</v>
      </c>
    </row>
    <row r="189" spans="1:19">
      <c r="A189" s="878"/>
      <c r="B189" s="126"/>
      <c r="C189" s="49">
        <f t="shared" si="28"/>
        <v>1</v>
      </c>
      <c r="D189" s="877"/>
      <c r="E189" s="49">
        <f t="shared" si="29"/>
        <v>1</v>
      </c>
      <c r="F189" s="877"/>
      <c r="G189" s="49">
        <f t="shared" si="30"/>
        <v>1</v>
      </c>
      <c r="H189" s="877"/>
      <c r="I189" s="49">
        <f t="shared" si="31"/>
        <v>1</v>
      </c>
      <c r="J189" s="877"/>
      <c r="K189" s="49">
        <f t="shared" si="32"/>
        <v>1</v>
      </c>
      <c r="L189" s="877"/>
      <c r="M189" s="49">
        <f t="shared" si="33"/>
        <v>1</v>
      </c>
      <c r="N189" s="877"/>
      <c r="O189" s="49">
        <f t="shared" si="34"/>
        <v>1</v>
      </c>
      <c r="P189" s="877"/>
      <c r="Q189" s="49">
        <f t="shared" si="35"/>
        <v>1</v>
      </c>
      <c r="R189" s="49">
        <f t="shared" si="36"/>
        <v>0</v>
      </c>
      <c r="S189" s="732">
        <f t="shared" si="37"/>
        <v>0</v>
      </c>
    </row>
    <row r="190" spans="1:19">
      <c r="A190" s="878"/>
      <c r="B190" s="126"/>
      <c r="C190" s="49">
        <f t="shared" si="28"/>
        <v>1</v>
      </c>
      <c r="D190" s="877"/>
      <c r="E190" s="49">
        <f t="shared" si="29"/>
        <v>1</v>
      </c>
      <c r="F190" s="877"/>
      <c r="G190" s="49">
        <f t="shared" si="30"/>
        <v>1</v>
      </c>
      <c r="H190" s="877"/>
      <c r="I190" s="49">
        <f t="shared" si="31"/>
        <v>1</v>
      </c>
      <c r="J190" s="877"/>
      <c r="K190" s="49">
        <f t="shared" si="32"/>
        <v>1</v>
      </c>
      <c r="L190" s="877"/>
      <c r="M190" s="49">
        <f t="shared" si="33"/>
        <v>1</v>
      </c>
      <c r="N190" s="877"/>
      <c r="O190" s="49">
        <f t="shared" si="34"/>
        <v>1</v>
      </c>
      <c r="P190" s="877"/>
      <c r="Q190" s="49">
        <f t="shared" si="35"/>
        <v>1</v>
      </c>
      <c r="R190" s="49">
        <f t="shared" si="36"/>
        <v>0</v>
      </c>
      <c r="S190" s="732">
        <f t="shared" si="37"/>
        <v>0</v>
      </c>
    </row>
    <row r="191" spans="1:19">
      <c r="A191" s="878"/>
      <c r="B191" s="126"/>
      <c r="C191" s="49">
        <f t="shared" si="28"/>
        <v>1</v>
      </c>
      <c r="D191" s="877"/>
      <c r="E191" s="49">
        <f t="shared" si="29"/>
        <v>1</v>
      </c>
      <c r="F191" s="877"/>
      <c r="G191" s="49">
        <f t="shared" si="30"/>
        <v>1</v>
      </c>
      <c r="H191" s="877"/>
      <c r="I191" s="49">
        <f t="shared" si="31"/>
        <v>1</v>
      </c>
      <c r="J191" s="877"/>
      <c r="K191" s="49">
        <f t="shared" si="32"/>
        <v>1</v>
      </c>
      <c r="L191" s="877"/>
      <c r="M191" s="49">
        <f t="shared" si="33"/>
        <v>1</v>
      </c>
      <c r="N191" s="877"/>
      <c r="O191" s="49">
        <f t="shared" si="34"/>
        <v>1</v>
      </c>
      <c r="P191" s="877"/>
      <c r="Q191" s="49">
        <f t="shared" si="35"/>
        <v>1</v>
      </c>
      <c r="R191" s="49">
        <f t="shared" si="36"/>
        <v>0</v>
      </c>
      <c r="S191" s="732">
        <f t="shared" si="37"/>
        <v>0</v>
      </c>
    </row>
    <row r="192" spans="1:19">
      <c r="A192" s="878"/>
      <c r="B192" s="126"/>
      <c r="C192" s="49">
        <f t="shared" si="28"/>
        <v>1</v>
      </c>
      <c r="D192" s="877"/>
      <c r="E192" s="49">
        <f t="shared" si="29"/>
        <v>1</v>
      </c>
      <c r="F192" s="877"/>
      <c r="G192" s="49">
        <f t="shared" si="30"/>
        <v>1</v>
      </c>
      <c r="H192" s="877"/>
      <c r="I192" s="49">
        <f t="shared" si="31"/>
        <v>1</v>
      </c>
      <c r="J192" s="877"/>
      <c r="K192" s="49">
        <f t="shared" si="32"/>
        <v>1</v>
      </c>
      <c r="L192" s="877"/>
      <c r="M192" s="49">
        <f t="shared" si="33"/>
        <v>1</v>
      </c>
      <c r="N192" s="877"/>
      <c r="O192" s="49">
        <f t="shared" si="34"/>
        <v>1</v>
      </c>
      <c r="P192" s="877"/>
      <c r="Q192" s="49">
        <f t="shared" si="35"/>
        <v>1</v>
      </c>
      <c r="R192" s="49">
        <f t="shared" si="36"/>
        <v>0</v>
      </c>
      <c r="S192" s="732">
        <f t="shared" si="37"/>
        <v>0</v>
      </c>
    </row>
    <row r="193" spans="1:19">
      <c r="A193" s="878"/>
      <c r="B193" s="126"/>
      <c r="C193" s="49">
        <f t="shared" si="28"/>
        <v>1</v>
      </c>
      <c r="D193" s="877"/>
      <c r="E193" s="49">
        <f t="shared" si="29"/>
        <v>1</v>
      </c>
      <c r="F193" s="877"/>
      <c r="G193" s="49">
        <f t="shared" si="30"/>
        <v>1</v>
      </c>
      <c r="H193" s="877"/>
      <c r="I193" s="49">
        <f t="shared" si="31"/>
        <v>1</v>
      </c>
      <c r="J193" s="877"/>
      <c r="K193" s="49">
        <f t="shared" si="32"/>
        <v>1</v>
      </c>
      <c r="L193" s="877"/>
      <c r="M193" s="49">
        <f t="shared" si="33"/>
        <v>1</v>
      </c>
      <c r="N193" s="877"/>
      <c r="O193" s="49">
        <f t="shared" si="34"/>
        <v>1</v>
      </c>
      <c r="P193" s="877"/>
      <c r="Q193" s="49">
        <f t="shared" si="35"/>
        <v>1</v>
      </c>
      <c r="R193" s="49">
        <f t="shared" si="36"/>
        <v>0</v>
      </c>
      <c r="S193" s="732">
        <f t="shared" si="37"/>
        <v>0</v>
      </c>
    </row>
    <row r="194" spans="1:19">
      <c r="A194" s="878"/>
      <c r="B194" s="126"/>
      <c r="C194" s="49">
        <f t="shared" si="28"/>
        <v>1</v>
      </c>
      <c r="D194" s="877"/>
      <c r="E194" s="49">
        <f t="shared" si="29"/>
        <v>1</v>
      </c>
      <c r="F194" s="877"/>
      <c r="G194" s="49">
        <f t="shared" si="30"/>
        <v>1</v>
      </c>
      <c r="H194" s="877"/>
      <c r="I194" s="49">
        <f t="shared" si="31"/>
        <v>1</v>
      </c>
      <c r="J194" s="877"/>
      <c r="K194" s="49">
        <f t="shared" si="32"/>
        <v>1</v>
      </c>
      <c r="L194" s="877"/>
      <c r="M194" s="49">
        <f t="shared" si="33"/>
        <v>1</v>
      </c>
      <c r="N194" s="877"/>
      <c r="O194" s="49">
        <f t="shared" si="34"/>
        <v>1</v>
      </c>
      <c r="P194" s="877"/>
      <c r="Q194" s="49">
        <f t="shared" si="35"/>
        <v>1</v>
      </c>
      <c r="R194" s="49">
        <f t="shared" si="36"/>
        <v>0</v>
      </c>
      <c r="S194" s="732">
        <f t="shared" si="37"/>
        <v>0</v>
      </c>
    </row>
    <row r="195" spans="1:19">
      <c r="A195" s="878"/>
      <c r="B195" s="126"/>
      <c r="C195" s="49">
        <f t="shared" si="28"/>
        <v>1</v>
      </c>
      <c r="D195" s="877"/>
      <c r="E195" s="49">
        <f t="shared" si="29"/>
        <v>1</v>
      </c>
      <c r="F195" s="877"/>
      <c r="G195" s="49">
        <f t="shared" si="30"/>
        <v>1</v>
      </c>
      <c r="H195" s="877"/>
      <c r="I195" s="49">
        <f t="shared" si="31"/>
        <v>1</v>
      </c>
      <c r="J195" s="877"/>
      <c r="K195" s="49">
        <f t="shared" si="32"/>
        <v>1</v>
      </c>
      <c r="L195" s="877"/>
      <c r="M195" s="49">
        <f t="shared" si="33"/>
        <v>1</v>
      </c>
      <c r="N195" s="877"/>
      <c r="O195" s="49">
        <f t="shared" si="34"/>
        <v>1</v>
      </c>
      <c r="P195" s="877"/>
      <c r="Q195" s="49">
        <f t="shared" si="35"/>
        <v>1</v>
      </c>
      <c r="R195" s="49">
        <f t="shared" si="36"/>
        <v>0</v>
      </c>
      <c r="S195" s="732">
        <f t="shared" si="37"/>
        <v>0</v>
      </c>
    </row>
    <row r="196" spans="1:19">
      <c r="A196" s="878"/>
      <c r="B196" s="126"/>
      <c r="C196" s="49">
        <f t="shared" si="28"/>
        <v>1</v>
      </c>
      <c r="D196" s="877"/>
      <c r="E196" s="49">
        <f t="shared" si="29"/>
        <v>1</v>
      </c>
      <c r="F196" s="877"/>
      <c r="G196" s="49">
        <f t="shared" si="30"/>
        <v>1</v>
      </c>
      <c r="H196" s="877"/>
      <c r="I196" s="49">
        <f t="shared" si="31"/>
        <v>1</v>
      </c>
      <c r="J196" s="877"/>
      <c r="K196" s="49">
        <f t="shared" si="32"/>
        <v>1</v>
      </c>
      <c r="L196" s="877"/>
      <c r="M196" s="49">
        <f t="shared" si="33"/>
        <v>1</v>
      </c>
      <c r="N196" s="877"/>
      <c r="O196" s="49">
        <f t="shared" si="34"/>
        <v>1</v>
      </c>
      <c r="P196" s="877"/>
      <c r="Q196" s="49">
        <f t="shared" si="35"/>
        <v>1</v>
      </c>
      <c r="R196" s="49">
        <f t="shared" si="36"/>
        <v>0</v>
      </c>
      <c r="S196" s="732">
        <f t="shared" si="37"/>
        <v>0</v>
      </c>
    </row>
    <row r="197" spans="1:19">
      <c r="A197" s="878"/>
      <c r="B197" s="126"/>
      <c r="C197" s="49">
        <f t="shared" si="28"/>
        <v>1</v>
      </c>
      <c r="D197" s="877"/>
      <c r="E197" s="49">
        <f t="shared" si="29"/>
        <v>1</v>
      </c>
      <c r="F197" s="877"/>
      <c r="G197" s="49">
        <f t="shared" si="30"/>
        <v>1</v>
      </c>
      <c r="H197" s="877"/>
      <c r="I197" s="49">
        <f t="shared" si="31"/>
        <v>1</v>
      </c>
      <c r="J197" s="877"/>
      <c r="K197" s="49">
        <f t="shared" si="32"/>
        <v>1</v>
      </c>
      <c r="L197" s="877"/>
      <c r="M197" s="49">
        <f t="shared" si="33"/>
        <v>1</v>
      </c>
      <c r="N197" s="877"/>
      <c r="O197" s="49">
        <f t="shared" si="34"/>
        <v>1</v>
      </c>
      <c r="P197" s="877"/>
      <c r="Q197" s="49">
        <f t="shared" si="35"/>
        <v>1</v>
      </c>
      <c r="R197" s="49">
        <f t="shared" si="36"/>
        <v>0</v>
      </c>
      <c r="S197" s="732">
        <f t="shared" si="37"/>
        <v>0</v>
      </c>
    </row>
    <row r="198" spans="1:19">
      <c r="A198" s="878"/>
      <c r="B198" s="126"/>
      <c r="C198" s="49">
        <f t="shared" si="28"/>
        <v>1</v>
      </c>
      <c r="D198" s="877"/>
      <c r="E198" s="49">
        <f t="shared" si="29"/>
        <v>1</v>
      </c>
      <c r="F198" s="877"/>
      <c r="G198" s="49">
        <f t="shared" si="30"/>
        <v>1</v>
      </c>
      <c r="H198" s="877"/>
      <c r="I198" s="49">
        <f t="shared" si="31"/>
        <v>1</v>
      </c>
      <c r="J198" s="877"/>
      <c r="K198" s="49">
        <f t="shared" si="32"/>
        <v>1</v>
      </c>
      <c r="L198" s="877"/>
      <c r="M198" s="49">
        <f t="shared" si="33"/>
        <v>1</v>
      </c>
      <c r="N198" s="877"/>
      <c r="O198" s="49">
        <f t="shared" si="34"/>
        <v>1</v>
      </c>
      <c r="P198" s="877"/>
      <c r="Q198" s="49">
        <f t="shared" si="35"/>
        <v>1</v>
      </c>
      <c r="R198" s="49">
        <f t="shared" si="36"/>
        <v>0</v>
      </c>
      <c r="S198" s="732">
        <f t="shared" si="37"/>
        <v>0</v>
      </c>
    </row>
    <row r="199" spans="1:19">
      <c r="A199" s="878"/>
      <c r="B199" s="126"/>
      <c r="C199" s="49">
        <f t="shared" si="28"/>
        <v>1</v>
      </c>
      <c r="D199" s="877"/>
      <c r="E199" s="49">
        <f t="shared" si="29"/>
        <v>1</v>
      </c>
      <c r="F199" s="877"/>
      <c r="G199" s="49">
        <f t="shared" si="30"/>
        <v>1</v>
      </c>
      <c r="H199" s="877"/>
      <c r="I199" s="49">
        <f t="shared" si="31"/>
        <v>1</v>
      </c>
      <c r="J199" s="877"/>
      <c r="K199" s="49">
        <f t="shared" si="32"/>
        <v>1</v>
      </c>
      <c r="L199" s="877"/>
      <c r="M199" s="49">
        <f t="shared" si="33"/>
        <v>1</v>
      </c>
      <c r="N199" s="877"/>
      <c r="O199" s="49">
        <f t="shared" si="34"/>
        <v>1</v>
      </c>
      <c r="P199" s="877"/>
      <c r="Q199" s="49">
        <f t="shared" si="35"/>
        <v>1</v>
      </c>
      <c r="R199" s="49">
        <f t="shared" si="36"/>
        <v>0</v>
      </c>
      <c r="S199" s="732">
        <f t="shared" si="37"/>
        <v>0</v>
      </c>
    </row>
    <row r="200" spans="1:19">
      <c r="A200" s="878"/>
      <c r="B200" s="126"/>
      <c r="C200" s="49">
        <f t="shared" si="28"/>
        <v>1</v>
      </c>
      <c r="D200" s="877"/>
      <c r="E200" s="49">
        <f t="shared" si="29"/>
        <v>1</v>
      </c>
      <c r="F200" s="877"/>
      <c r="G200" s="49">
        <f t="shared" si="30"/>
        <v>1</v>
      </c>
      <c r="H200" s="877"/>
      <c r="I200" s="49">
        <f t="shared" si="31"/>
        <v>1</v>
      </c>
      <c r="J200" s="877"/>
      <c r="K200" s="49">
        <f t="shared" si="32"/>
        <v>1</v>
      </c>
      <c r="L200" s="877"/>
      <c r="M200" s="49">
        <f t="shared" si="33"/>
        <v>1</v>
      </c>
      <c r="N200" s="877"/>
      <c r="O200" s="49">
        <f t="shared" si="34"/>
        <v>1</v>
      </c>
      <c r="P200" s="877"/>
      <c r="Q200" s="49">
        <f t="shared" si="35"/>
        <v>1</v>
      </c>
      <c r="R200" s="49">
        <f t="shared" si="36"/>
        <v>0</v>
      </c>
      <c r="S200" s="732">
        <f t="shared" si="37"/>
        <v>0</v>
      </c>
    </row>
    <row r="201" spans="1:19">
      <c r="A201" s="878"/>
      <c r="B201" s="126"/>
      <c r="C201" s="49">
        <f t="shared" si="28"/>
        <v>1</v>
      </c>
      <c r="D201" s="877"/>
      <c r="E201" s="49">
        <f t="shared" si="29"/>
        <v>1</v>
      </c>
      <c r="F201" s="877"/>
      <c r="G201" s="49">
        <f t="shared" si="30"/>
        <v>1</v>
      </c>
      <c r="H201" s="877"/>
      <c r="I201" s="49">
        <f t="shared" si="31"/>
        <v>1</v>
      </c>
      <c r="J201" s="877"/>
      <c r="K201" s="49">
        <f t="shared" si="32"/>
        <v>1</v>
      </c>
      <c r="L201" s="877"/>
      <c r="M201" s="49">
        <f t="shared" si="33"/>
        <v>1</v>
      </c>
      <c r="N201" s="877"/>
      <c r="O201" s="49">
        <f t="shared" si="34"/>
        <v>1</v>
      </c>
      <c r="P201" s="877"/>
      <c r="Q201" s="49">
        <f t="shared" si="35"/>
        <v>1</v>
      </c>
      <c r="R201" s="49">
        <f t="shared" si="36"/>
        <v>0</v>
      </c>
      <c r="S201" s="732">
        <f t="shared" si="37"/>
        <v>0</v>
      </c>
    </row>
    <row r="202" spans="1:19">
      <c r="A202" s="878"/>
      <c r="B202" s="126"/>
      <c r="C202" s="49">
        <f t="shared" si="28"/>
        <v>1</v>
      </c>
      <c r="D202" s="877"/>
      <c r="E202" s="49">
        <f t="shared" si="29"/>
        <v>1</v>
      </c>
      <c r="F202" s="877"/>
      <c r="G202" s="49">
        <f t="shared" si="30"/>
        <v>1</v>
      </c>
      <c r="H202" s="877"/>
      <c r="I202" s="49">
        <f t="shared" si="31"/>
        <v>1</v>
      </c>
      <c r="J202" s="877"/>
      <c r="K202" s="49">
        <f t="shared" si="32"/>
        <v>1</v>
      </c>
      <c r="L202" s="877"/>
      <c r="M202" s="49">
        <f t="shared" si="33"/>
        <v>1</v>
      </c>
      <c r="N202" s="877"/>
      <c r="O202" s="49">
        <f t="shared" si="34"/>
        <v>1</v>
      </c>
      <c r="P202" s="877"/>
      <c r="Q202" s="49">
        <f t="shared" si="35"/>
        <v>1</v>
      </c>
      <c r="R202" s="49">
        <f t="shared" si="36"/>
        <v>0</v>
      </c>
      <c r="S202" s="732">
        <f t="shared" si="37"/>
        <v>0</v>
      </c>
    </row>
    <row r="203" spans="1:19">
      <c r="A203" s="878"/>
      <c r="B203" s="126"/>
      <c r="C203" s="49">
        <f t="shared" si="28"/>
        <v>1</v>
      </c>
      <c r="D203" s="877"/>
      <c r="E203" s="49">
        <f t="shared" si="29"/>
        <v>1</v>
      </c>
      <c r="F203" s="877"/>
      <c r="G203" s="49">
        <f t="shared" si="30"/>
        <v>1</v>
      </c>
      <c r="H203" s="877"/>
      <c r="I203" s="49">
        <f t="shared" si="31"/>
        <v>1</v>
      </c>
      <c r="J203" s="877"/>
      <c r="K203" s="49">
        <f t="shared" si="32"/>
        <v>1</v>
      </c>
      <c r="L203" s="877"/>
      <c r="M203" s="49">
        <f t="shared" si="33"/>
        <v>1</v>
      </c>
      <c r="N203" s="877"/>
      <c r="O203" s="49">
        <f t="shared" si="34"/>
        <v>1</v>
      </c>
      <c r="P203" s="877"/>
      <c r="Q203" s="49">
        <f t="shared" si="35"/>
        <v>1</v>
      </c>
      <c r="R203" s="49">
        <f t="shared" si="36"/>
        <v>0</v>
      </c>
      <c r="S203" s="732">
        <f t="shared" si="37"/>
        <v>0</v>
      </c>
    </row>
    <row r="204" spans="1:19">
      <c r="A204" s="878"/>
      <c r="B204" s="126"/>
      <c r="C204" s="49">
        <f t="shared" si="28"/>
        <v>1</v>
      </c>
      <c r="D204" s="877"/>
      <c r="E204" s="49">
        <f t="shared" si="29"/>
        <v>1</v>
      </c>
      <c r="F204" s="877"/>
      <c r="G204" s="49">
        <f t="shared" si="30"/>
        <v>1</v>
      </c>
      <c r="H204" s="877"/>
      <c r="I204" s="49">
        <f t="shared" si="31"/>
        <v>1</v>
      </c>
      <c r="J204" s="877"/>
      <c r="K204" s="49">
        <f t="shared" si="32"/>
        <v>1</v>
      </c>
      <c r="L204" s="877"/>
      <c r="M204" s="49">
        <f t="shared" si="33"/>
        <v>1</v>
      </c>
      <c r="N204" s="877"/>
      <c r="O204" s="49">
        <f t="shared" si="34"/>
        <v>1</v>
      </c>
      <c r="P204" s="877"/>
      <c r="Q204" s="49">
        <f t="shared" si="35"/>
        <v>1</v>
      </c>
      <c r="R204" s="49">
        <f t="shared" si="36"/>
        <v>0</v>
      </c>
      <c r="S204" s="732">
        <f t="shared" si="37"/>
        <v>0</v>
      </c>
    </row>
    <row r="205" spans="1:19">
      <c r="A205" s="878"/>
      <c r="B205" s="126"/>
      <c r="C205" s="49">
        <f t="shared" si="28"/>
        <v>1</v>
      </c>
      <c r="D205" s="877"/>
      <c r="E205" s="49">
        <f t="shared" si="29"/>
        <v>1</v>
      </c>
      <c r="F205" s="877"/>
      <c r="G205" s="49">
        <f t="shared" si="30"/>
        <v>1</v>
      </c>
      <c r="H205" s="877"/>
      <c r="I205" s="49">
        <f t="shared" si="31"/>
        <v>1</v>
      </c>
      <c r="J205" s="877"/>
      <c r="K205" s="49">
        <f t="shared" si="32"/>
        <v>1</v>
      </c>
      <c r="L205" s="877"/>
      <c r="M205" s="49">
        <f t="shared" si="33"/>
        <v>1</v>
      </c>
      <c r="N205" s="877"/>
      <c r="O205" s="49">
        <f t="shared" si="34"/>
        <v>1</v>
      </c>
      <c r="P205" s="877"/>
      <c r="Q205" s="49">
        <f t="shared" si="35"/>
        <v>1</v>
      </c>
      <c r="R205" s="49">
        <f t="shared" si="36"/>
        <v>0</v>
      </c>
      <c r="S205" s="732">
        <f t="shared" si="37"/>
        <v>0</v>
      </c>
    </row>
    <row r="206" spans="1:19">
      <c r="A206" s="878"/>
      <c r="B206" s="126"/>
      <c r="C206" s="49">
        <f t="shared" si="28"/>
        <v>1</v>
      </c>
      <c r="D206" s="877"/>
      <c r="E206" s="49">
        <f t="shared" si="29"/>
        <v>1</v>
      </c>
      <c r="F206" s="877"/>
      <c r="G206" s="49">
        <f t="shared" si="30"/>
        <v>1</v>
      </c>
      <c r="H206" s="877"/>
      <c r="I206" s="49">
        <f t="shared" si="31"/>
        <v>1</v>
      </c>
      <c r="J206" s="877"/>
      <c r="K206" s="49">
        <f t="shared" si="32"/>
        <v>1</v>
      </c>
      <c r="L206" s="877"/>
      <c r="M206" s="49">
        <f t="shared" si="33"/>
        <v>1</v>
      </c>
      <c r="N206" s="877"/>
      <c r="O206" s="49">
        <f t="shared" si="34"/>
        <v>1</v>
      </c>
      <c r="P206" s="877"/>
      <c r="Q206" s="49">
        <f t="shared" si="35"/>
        <v>1</v>
      </c>
      <c r="R206" s="49">
        <f t="shared" si="36"/>
        <v>0</v>
      </c>
      <c r="S206" s="732">
        <f t="shared" si="37"/>
        <v>0</v>
      </c>
    </row>
    <row r="207" spans="1:19">
      <c r="A207" s="878"/>
      <c r="B207" s="126"/>
      <c r="C207" s="49">
        <f t="shared" si="28"/>
        <v>1</v>
      </c>
      <c r="D207" s="877"/>
      <c r="E207" s="49">
        <f t="shared" si="29"/>
        <v>1</v>
      </c>
      <c r="F207" s="877"/>
      <c r="G207" s="49">
        <f t="shared" si="30"/>
        <v>1</v>
      </c>
      <c r="H207" s="877"/>
      <c r="I207" s="49">
        <f t="shared" si="31"/>
        <v>1</v>
      </c>
      <c r="J207" s="877"/>
      <c r="K207" s="49">
        <f t="shared" si="32"/>
        <v>1</v>
      </c>
      <c r="L207" s="877"/>
      <c r="M207" s="49">
        <f t="shared" si="33"/>
        <v>1</v>
      </c>
      <c r="N207" s="877"/>
      <c r="O207" s="49">
        <f t="shared" si="34"/>
        <v>1</v>
      </c>
      <c r="P207" s="877"/>
      <c r="Q207" s="49">
        <f t="shared" si="35"/>
        <v>1</v>
      </c>
      <c r="R207" s="49">
        <f t="shared" si="36"/>
        <v>0</v>
      </c>
      <c r="S207" s="732">
        <f t="shared" si="37"/>
        <v>0</v>
      </c>
    </row>
    <row r="208" spans="1:19">
      <c r="A208" s="878"/>
      <c r="B208" s="126"/>
      <c r="C208" s="49">
        <f t="shared" si="28"/>
        <v>1</v>
      </c>
      <c r="D208" s="877"/>
      <c r="E208" s="49">
        <f t="shared" si="29"/>
        <v>1</v>
      </c>
      <c r="F208" s="877"/>
      <c r="G208" s="49">
        <f t="shared" si="30"/>
        <v>1</v>
      </c>
      <c r="H208" s="877"/>
      <c r="I208" s="49">
        <f t="shared" si="31"/>
        <v>1</v>
      </c>
      <c r="J208" s="877"/>
      <c r="K208" s="49">
        <f t="shared" si="32"/>
        <v>1</v>
      </c>
      <c r="L208" s="877"/>
      <c r="M208" s="49">
        <f t="shared" si="33"/>
        <v>1</v>
      </c>
      <c r="N208" s="877"/>
      <c r="O208" s="49">
        <f t="shared" si="34"/>
        <v>1</v>
      </c>
      <c r="P208" s="877"/>
      <c r="Q208" s="49">
        <f t="shared" si="35"/>
        <v>1</v>
      </c>
      <c r="R208" s="49">
        <f t="shared" si="36"/>
        <v>0</v>
      </c>
      <c r="S208" s="732">
        <f t="shared" si="37"/>
        <v>0</v>
      </c>
    </row>
    <row r="209" spans="1:19">
      <c r="A209" s="878"/>
      <c r="B209" s="126"/>
      <c r="C209" s="49">
        <f t="shared" si="28"/>
        <v>1</v>
      </c>
      <c r="D209" s="877"/>
      <c r="E209" s="49">
        <f t="shared" si="29"/>
        <v>1</v>
      </c>
      <c r="F209" s="877"/>
      <c r="G209" s="49">
        <f t="shared" si="30"/>
        <v>1</v>
      </c>
      <c r="H209" s="877"/>
      <c r="I209" s="49">
        <f t="shared" si="31"/>
        <v>1</v>
      </c>
      <c r="J209" s="877"/>
      <c r="K209" s="49">
        <f t="shared" si="32"/>
        <v>1</v>
      </c>
      <c r="L209" s="877"/>
      <c r="M209" s="49">
        <f t="shared" si="33"/>
        <v>1</v>
      </c>
      <c r="N209" s="877"/>
      <c r="O209" s="49">
        <f t="shared" si="34"/>
        <v>1</v>
      </c>
      <c r="P209" s="877"/>
      <c r="Q209" s="49">
        <f t="shared" si="35"/>
        <v>1</v>
      </c>
      <c r="R209" s="49">
        <f t="shared" si="36"/>
        <v>0</v>
      </c>
      <c r="S209" s="732">
        <f t="shared" si="37"/>
        <v>0</v>
      </c>
    </row>
    <row r="210" spans="1:19">
      <c r="A210" s="878"/>
      <c r="B210" s="126"/>
      <c r="C210" s="49">
        <f t="shared" si="28"/>
        <v>1</v>
      </c>
      <c r="D210" s="877"/>
      <c r="E210" s="49">
        <f t="shared" si="29"/>
        <v>1</v>
      </c>
      <c r="F210" s="877"/>
      <c r="G210" s="49">
        <f t="shared" si="30"/>
        <v>1</v>
      </c>
      <c r="H210" s="877"/>
      <c r="I210" s="49">
        <f t="shared" si="31"/>
        <v>1</v>
      </c>
      <c r="J210" s="877"/>
      <c r="K210" s="49">
        <f t="shared" si="32"/>
        <v>1</v>
      </c>
      <c r="L210" s="877"/>
      <c r="M210" s="49">
        <f t="shared" si="33"/>
        <v>1</v>
      </c>
      <c r="N210" s="877"/>
      <c r="O210" s="49">
        <f t="shared" si="34"/>
        <v>1</v>
      </c>
      <c r="P210" s="877"/>
      <c r="Q210" s="49">
        <f t="shared" si="35"/>
        <v>1</v>
      </c>
      <c r="R210" s="49">
        <f t="shared" si="36"/>
        <v>0</v>
      </c>
      <c r="S210" s="732">
        <f t="shared" si="37"/>
        <v>0</v>
      </c>
    </row>
    <row r="211" spans="1:19">
      <c r="A211" s="878"/>
      <c r="B211" s="126"/>
      <c r="C211" s="49">
        <f t="shared" si="28"/>
        <v>1</v>
      </c>
      <c r="D211" s="877"/>
      <c r="E211" s="49">
        <f t="shared" si="29"/>
        <v>1</v>
      </c>
      <c r="F211" s="877"/>
      <c r="G211" s="49">
        <f t="shared" si="30"/>
        <v>1</v>
      </c>
      <c r="H211" s="877"/>
      <c r="I211" s="49">
        <f t="shared" si="31"/>
        <v>1</v>
      </c>
      <c r="J211" s="877"/>
      <c r="K211" s="49">
        <f t="shared" si="32"/>
        <v>1</v>
      </c>
      <c r="L211" s="877"/>
      <c r="M211" s="49">
        <f t="shared" si="33"/>
        <v>1</v>
      </c>
      <c r="N211" s="877"/>
      <c r="O211" s="49">
        <f t="shared" si="34"/>
        <v>1</v>
      </c>
      <c r="P211" s="877"/>
      <c r="Q211" s="49">
        <f t="shared" si="35"/>
        <v>1</v>
      </c>
      <c r="R211" s="49">
        <f t="shared" si="36"/>
        <v>0</v>
      </c>
      <c r="S211" s="732">
        <f t="shared" si="37"/>
        <v>0</v>
      </c>
    </row>
    <row r="212" spans="1:19">
      <c r="A212" s="878"/>
      <c r="B212" s="126"/>
      <c r="C212" s="49">
        <f t="shared" si="28"/>
        <v>1</v>
      </c>
      <c r="D212" s="877"/>
      <c r="E212" s="49">
        <f t="shared" si="29"/>
        <v>1</v>
      </c>
      <c r="F212" s="877"/>
      <c r="G212" s="49">
        <f t="shared" si="30"/>
        <v>1</v>
      </c>
      <c r="H212" s="877"/>
      <c r="I212" s="49">
        <f t="shared" si="31"/>
        <v>1</v>
      </c>
      <c r="J212" s="877"/>
      <c r="K212" s="49">
        <f t="shared" si="32"/>
        <v>1</v>
      </c>
      <c r="L212" s="877"/>
      <c r="M212" s="49">
        <f t="shared" si="33"/>
        <v>1</v>
      </c>
      <c r="N212" s="877"/>
      <c r="O212" s="49">
        <f t="shared" si="34"/>
        <v>1</v>
      </c>
      <c r="P212" s="877"/>
      <c r="Q212" s="49">
        <f t="shared" si="35"/>
        <v>1</v>
      </c>
      <c r="R212" s="49">
        <f t="shared" si="36"/>
        <v>0</v>
      </c>
      <c r="S212" s="732">
        <f t="shared" si="37"/>
        <v>0</v>
      </c>
    </row>
    <row r="213" spans="1:19">
      <c r="A213" s="878"/>
      <c r="B213" s="126"/>
      <c r="C213" s="49">
        <f t="shared" si="28"/>
        <v>1</v>
      </c>
      <c r="D213" s="877"/>
      <c r="E213" s="49">
        <f t="shared" si="29"/>
        <v>1</v>
      </c>
      <c r="F213" s="877"/>
      <c r="G213" s="49">
        <f t="shared" si="30"/>
        <v>1</v>
      </c>
      <c r="H213" s="877"/>
      <c r="I213" s="49">
        <f t="shared" si="31"/>
        <v>1</v>
      </c>
      <c r="J213" s="877"/>
      <c r="K213" s="49">
        <f t="shared" si="32"/>
        <v>1</v>
      </c>
      <c r="L213" s="877"/>
      <c r="M213" s="49">
        <f t="shared" si="33"/>
        <v>1</v>
      </c>
      <c r="N213" s="877"/>
      <c r="O213" s="49">
        <f t="shared" si="34"/>
        <v>1</v>
      </c>
      <c r="P213" s="877"/>
      <c r="Q213" s="49">
        <f t="shared" si="35"/>
        <v>1</v>
      </c>
      <c r="R213" s="49">
        <f t="shared" si="36"/>
        <v>0</v>
      </c>
      <c r="S213" s="732">
        <f t="shared" si="37"/>
        <v>0</v>
      </c>
    </row>
    <row r="214" spans="1:19">
      <c r="A214" s="878"/>
      <c r="B214" s="126"/>
      <c r="C214" s="49">
        <f t="shared" si="28"/>
        <v>1</v>
      </c>
      <c r="D214" s="877"/>
      <c r="E214" s="49">
        <f t="shared" si="29"/>
        <v>1</v>
      </c>
      <c r="F214" s="877"/>
      <c r="G214" s="49">
        <f t="shared" si="30"/>
        <v>1</v>
      </c>
      <c r="H214" s="877"/>
      <c r="I214" s="49">
        <f t="shared" si="31"/>
        <v>1</v>
      </c>
      <c r="J214" s="877"/>
      <c r="K214" s="49">
        <f t="shared" si="32"/>
        <v>1</v>
      </c>
      <c r="L214" s="877"/>
      <c r="M214" s="49">
        <f t="shared" si="33"/>
        <v>1</v>
      </c>
      <c r="N214" s="877"/>
      <c r="O214" s="49">
        <f t="shared" si="34"/>
        <v>1</v>
      </c>
      <c r="P214" s="877"/>
      <c r="Q214" s="49">
        <f t="shared" si="35"/>
        <v>1</v>
      </c>
      <c r="R214" s="49">
        <f t="shared" si="36"/>
        <v>0</v>
      </c>
      <c r="S214" s="732">
        <f t="shared" si="37"/>
        <v>0</v>
      </c>
    </row>
    <row r="215" spans="1:19">
      <c r="A215" s="878"/>
      <c r="B215" s="126"/>
      <c r="C215" s="49">
        <f t="shared" si="28"/>
        <v>1</v>
      </c>
      <c r="D215" s="877"/>
      <c r="E215" s="49">
        <f t="shared" si="29"/>
        <v>1</v>
      </c>
      <c r="F215" s="877"/>
      <c r="G215" s="49">
        <f t="shared" si="30"/>
        <v>1</v>
      </c>
      <c r="H215" s="877"/>
      <c r="I215" s="49">
        <f t="shared" si="31"/>
        <v>1</v>
      </c>
      <c r="J215" s="877"/>
      <c r="K215" s="49">
        <f t="shared" si="32"/>
        <v>1</v>
      </c>
      <c r="L215" s="877"/>
      <c r="M215" s="49">
        <f t="shared" si="33"/>
        <v>1</v>
      </c>
      <c r="N215" s="877"/>
      <c r="O215" s="49">
        <f t="shared" si="34"/>
        <v>1</v>
      </c>
      <c r="P215" s="877"/>
      <c r="Q215" s="49">
        <f t="shared" si="35"/>
        <v>1</v>
      </c>
      <c r="R215" s="49">
        <f t="shared" si="36"/>
        <v>0</v>
      </c>
      <c r="S215" s="732">
        <f t="shared" si="37"/>
        <v>0</v>
      </c>
    </row>
    <row r="216" spans="1:19">
      <c r="A216" s="878"/>
      <c r="B216" s="126"/>
      <c r="C216" s="49">
        <f t="shared" si="28"/>
        <v>1</v>
      </c>
      <c r="D216" s="877"/>
      <c r="E216" s="49">
        <f t="shared" si="29"/>
        <v>1</v>
      </c>
      <c r="F216" s="877"/>
      <c r="G216" s="49">
        <f t="shared" si="30"/>
        <v>1</v>
      </c>
      <c r="H216" s="877"/>
      <c r="I216" s="49">
        <f t="shared" si="31"/>
        <v>1</v>
      </c>
      <c r="J216" s="877"/>
      <c r="K216" s="49">
        <f t="shared" si="32"/>
        <v>1</v>
      </c>
      <c r="L216" s="877"/>
      <c r="M216" s="49">
        <f t="shared" si="33"/>
        <v>1</v>
      </c>
      <c r="N216" s="877"/>
      <c r="O216" s="49">
        <f t="shared" si="34"/>
        <v>1</v>
      </c>
      <c r="P216" s="877"/>
      <c r="Q216" s="49">
        <f t="shared" si="35"/>
        <v>1</v>
      </c>
      <c r="R216" s="49">
        <f t="shared" si="36"/>
        <v>0</v>
      </c>
      <c r="S216" s="732">
        <f t="shared" si="37"/>
        <v>0</v>
      </c>
    </row>
    <row r="217" spans="1:19">
      <c r="A217" s="878"/>
      <c r="B217" s="126"/>
      <c r="C217" s="49">
        <f t="shared" si="28"/>
        <v>1</v>
      </c>
      <c r="D217" s="877"/>
      <c r="E217" s="49">
        <f t="shared" si="29"/>
        <v>1</v>
      </c>
      <c r="F217" s="877"/>
      <c r="G217" s="49">
        <f t="shared" si="30"/>
        <v>1</v>
      </c>
      <c r="H217" s="877"/>
      <c r="I217" s="49">
        <f t="shared" si="31"/>
        <v>1</v>
      </c>
      <c r="J217" s="877"/>
      <c r="K217" s="49">
        <f t="shared" si="32"/>
        <v>1</v>
      </c>
      <c r="L217" s="877"/>
      <c r="M217" s="49">
        <f t="shared" si="33"/>
        <v>1</v>
      </c>
      <c r="N217" s="877"/>
      <c r="O217" s="49">
        <f t="shared" si="34"/>
        <v>1</v>
      </c>
      <c r="P217" s="877"/>
      <c r="Q217" s="49">
        <f t="shared" si="35"/>
        <v>1</v>
      </c>
      <c r="R217" s="49">
        <f t="shared" si="36"/>
        <v>0</v>
      </c>
      <c r="S217" s="732">
        <f t="shared" si="37"/>
        <v>0</v>
      </c>
    </row>
    <row r="218" spans="1:19">
      <c r="A218" s="878"/>
      <c r="B218" s="126"/>
      <c r="C218" s="49">
        <f t="shared" ref="C218:C281" si="38">IF(B218="",1,(LOOKUP(B218,$3:$3,$4:$4)-LOOKUP($B$24,$3:$3,$4:$4)+100)/100)</f>
        <v>1</v>
      </c>
      <c r="D218" s="877"/>
      <c r="E218" s="49">
        <f t="shared" ref="E218:E281" si="39">(SUMIF($5:$5,D218,$6:$6)-SUMIF($5:$5,$D$24,$6:$6)+100)/100</f>
        <v>1</v>
      </c>
      <c r="F218" s="877"/>
      <c r="G218" s="49">
        <f t="shared" ref="G218:G281" si="40">(SUMIF($7:$7,F218,$8:$8)-SUMIF($7:$7,$F$24,$8:$8)+100)/100</f>
        <v>1</v>
      </c>
      <c r="H218" s="877"/>
      <c r="I218" s="49">
        <f t="shared" ref="I218:I281" si="41">(SUMIF($9:$9,H218,$10:$10)-SUMIF($9:$9,$H$24,$10:$10)+100)/100</f>
        <v>1</v>
      </c>
      <c r="J218" s="877"/>
      <c r="K218" s="49">
        <f t="shared" ref="K218:K281" si="42">(SUMIF($11:$11,J218,$12:$12)-SUMIF($11:$11,$J$24,$12:$12)+100)/100</f>
        <v>1</v>
      </c>
      <c r="L218" s="877"/>
      <c r="M218" s="49">
        <f t="shared" ref="M218:M281" si="43">(SUMIF($13:$13,L218,$14:$14)-SUMIF($13:$13,$L$24,$14:$14)+100)/100</f>
        <v>1</v>
      </c>
      <c r="N218" s="877"/>
      <c r="O218" s="49">
        <f t="shared" ref="O218:O281" si="44">(SUMIF($15:$15,N218,$16:$16)-SUMIF($15:$15,$N$24,$16:$16)+100)/100</f>
        <v>1</v>
      </c>
      <c r="P218" s="877"/>
      <c r="Q218" s="49">
        <f t="shared" ref="Q218:Q281" si="45">(SUMIF($17:$17,P218,$18:$18)-SUMIF($17:$17,$P$24,$18:$18)+100)/100</f>
        <v>1</v>
      </c>
      <c r="R218" s="49">
        <f t="shared" ref="R218:R281" si="46">IF(B218="",0,ROUND($R$24*C218*E218*G218*I218*K218*M218*O218*Q218,0))</f>
        <v>0</v>
      </c>
      <c r="S218" s="732">
        <f t="shared" si="37"/>
        <v>0</v>
      </c>
    </row>
    <row r="219" spans="1:19">
      <c r="A219" s="878"/>
      <c r="B219" s="126"/>
      <c r="C219" s="49">
        <f t="shared" si="38"/>
        <v>1</v>
      </c>
      <c r="D219" s="877"/>
      <c r="E219" s="49">
        <f t="shared" si="39"/>
        <v>1</v>
      </c>
      <c r="F219" s="877"/>
      <c r="G219" s="49">
        <f t="shared" si="40"/>
        <v>1</v>
      </c>
      <c r="H219" s="877"/>
      <c r="I219" s="49">
        <f t="shared" si="41"/>
        <v>1</v>
      </c>
      <c r="J219" s="877"/>
      <c r="K219" s="49">
        <f t="shared" si="42"/>
        <v>1</v>
      </c>
      <c r="L219" s="877"/>
      <c r="M219" s="49">
        <f t="shared" si="43"/>
        <v>1</v>
      </c>
      <c r="N219" s="877"/>
      <c r="O219" s="49">
        <f t="shared" si="44"/>
        <v>1</v>
      </c>
      <c r="P219" s="877"/>
      <c r="Q219" s="49">
        <f t="shared" si="45"/>
        <v>1</v>
      </c>
      <c r="R219" s="49">
        <f t="shared" si="46"/>
        <v>0</v>
      </c>
      <c r="S219" s="732">
        <f t="shared" si="37"/>
        <v>0</v>
      </c>
    </row>
    <row r="220" spans="1:19">
      <c r="A220" s="878"/>
      <c r="B220" s="126"/>
      <c r="C220" s="49">
        <f t="shared" si="38"/>
        <v>1</v>
      </c>
      <c r="D220" s="877"/>
      <c r="E220" s="49">
        <f t="shared" si="39"/>
        <v>1</v>
      </c>
      <c r="F220" s="877"/>
      <c r="G220" s="49">
        <f t="shared" si="40"/>
        <v>1</v>
      </c>
      <c r="H220" s="877"/>
      <c r="I220" s="49">
        <f t="shared" si="41"/>
        <v>1</v>
      </c>
      <c r="J220" s="877"/>
      <c r="K220" s="49">
        <f t="shared" si="42"/>
        <v>1</v>
      </c>
      <c r="L220" s="877"/>
      <c r="M220" s="49">
        <f t="shared" si="43"/>
        <v>1</v>
      </c>
      <c r="N220" s="877"/>
      <c r="O220" s="49">
        <f t="shared" si="44"/>
        <v>1</v>
      </c>
      <c r="P220" s="877"/>
      <c r="Q220" s="49">
        <f t="shared" si="45"/>
        <v>1</v>
      </c>
      <c r="R220" s="49">
        <f t="shared" si="46"/>
        <v>0</v>
      </c>
      <c r="S220" s="732">
        <f t="shared" si="37"/>
        <v>0</v>
      </c>
    </row>
    <row r="221" spans="1:19">
      <c r="A221" s="878"/>
      <c r="B221" s="126"/>
      <c r="C221" s="49">
        <f t="shared" si="38"/>
        <v>1</v>
      </c>
      <c r="D221" s="877"/>
      <c r="E221" s="49">
        <f t="shared" si="39"/>
        <v>1</v>
      </c>
      <c r="F221" s="877"/>
      <c r="G221" s="49">
        <f t="shared" si="40"/>
        <v>1</v>
      </c>
      <c r="H221" s="877"/>
      <c r="I221" s="49">
        <f t="shared" si="41"/>
        <v>1</v>
      </c>
      <c r="J221" s="877"/>
      <c r="K221" s="49">
        <f t="shared" si="42"/>
        <v>1</v>
      </c>
      <c r="L221" s="877"/>
      <c r="M221" s="49">
        <f t="shared" si="43"/>
        <v>1</v>
      </c>
      <c r="N221" s="877"/>
      <c r="O221" s="49">
        <f t="shared" si="44"/>
        <v>1</v>
      </c>
      <c r="P221" s="877"/>
      <c r="Q221" s="49">
        <f t="shared" si="45"/>
        <v>1</v>
      </c>
      <c r="R221" s="49">
        <f t="shared" si="46"/>
        <v>0</v>
      </c>
      <c r="S221" s="732">
        <f t="shared" si="37"/>
        <v>0</v>
      </c>
    </row>
    <row r="222" spans="1:19">
      <c r="A222" s="878"/>
      <c r="B222" s="126"/>
      <c r="C222" s="49">
        <f t="shared" si="38"/>
        <v>1</v>
      </c>
      <c r="D222" s="877"/>
      <c r="E222" s="49">
        <f t="shared" si="39"/>
        <v>1</v>
      </c>
      <c r="F222" s="877"/>
      <c r="G222" s="49">
        <f t="shared" si="40"/>
        <v>1</v>
      </c>
      <c r="H222" s="877"/>
      <c r="I222" s="49">
        <f t="shared" si="41"/>
        <v>1</v>
      </c>
      <c r="J222" s="877"/>
      <c r="K222" s="49">
        <f t="shared" si="42"/>
        <v>1</v>
      </c>
      <c r="L222" s="877"/>
      <c r="M222" s="49">
        <f t="shared" si="43"/>
        <v>1</v>
      </c>
      <c r="N222" s="877"/>
      <c r="O222" s="49">
        <f t="shared" si="44"/>
        <v>1</v>
      </c>
      <c r="P222" s="877"/>
      <c r="Q222" s="49">
        <f t="shared" si="45"/>
        <v>1</v>
      </c>
      <c r="R222" s="49">
        <f t="shared" si="46"/>
        <v>0</v>
      </c>
      <c r="S222" s="732">
        <f t="shared" si="37"/>
        <v>0</v>
      </c>
    </row>
    <row r="223" spans="1:19">
      <c r="A223" s="878"/>
      <c r="B223" s="126"/>
      <c r="C223" s="49">
        <f t="shared" si="38"/>
        <v>1</v>
      </c>
      <c r="D223" s="877"/>
      <c r="E223" s="49">
        <f t="shared" si="39"/>
        <v>1</v>
      </c>
      <c r="F223" s="877"/>
      <c r="G223" s="49">
        <f t="shared" si="40"/>
        <v>1</v>
      </c>
      <c r="H223" s="877"/>
      <c r="I223" s="49">
        <f t="shared" si="41"/>
        <v>1</v>
      </c>
      <c r="J223" s="877"/>
      <c r="K223" s="49">
        <f t="shared" si="42"/>
        <v>1</v>
      </c>
      <c r="L223" s="877"/>
      <c r="M223" s="49">
        <f t="shared" si="43"/>
        <v>1</v>
      </c>
      <c r="N223" s="877"/>
      <c r="O223" s="49">
        <f t="shared" si="44"/>
        <v>1</v>
      </c>
      <c r="P223" s="877"/>
      <c r="Q223" s="49">
        <f t="shared" si="45"/>
        <v>1</v>
      </c>
      <c r="R223" s="49">
        <f t="shared" si="46"/>
        <v>0</v>
      </c>
      <c r="S223" s="732">
        <f t="shared" ref="S223:S286" si="47">ROUND(R223*B223/10000,0)</f>
        <v>0</v>
      </c>
    </row>
    <row r="224" spans="1:19">
      <c r="A224" s="878"/>
      <c r="B224" s="126"/>
      <c r="C224" s="49">
        <f t="shared" si="38"/>
        <v>1</v>
      </c>
      <c r="D224" s="877"/>
      <c r="E224" s="49">
        <f t="shared" si="39"/>
        <v>1</v>
      </c>
      <c r="F224" s="877"/>
      <c r="G224" s="49">
        <f t="shared" si="40"/>
        <v>1</v>
      </c>
      <c r="H224" s="877"/>
      <c r="I224" s="49">
        <f t="shared" si="41"/>
        <v>1</v>
      </c>
      <c r="J224" s="877"/>
      <c r="K224" s="49">
        <f t="shared" si="42"/>
        <v>1</v>
      </c>
      <c r="L224" s="877"/>
      <c r="M224" s="49">
        <f t="shared" si="43"/>
        <v>1</v>
      </c>
      <c r="N224" s="877"/>
      <c r="O224" s="49">
        <f t="shared" si="44"/>
        <v>1</v>
      </c>
      <c r="P224" s="877"/>
      <c r="Q224" s="49">
        <f t="shared" si="45"/>
        <v>1</v>
      </c>
      <c r="R224" s="49">
        <f t="shared" si="46"/>
        <v>0</v>
      </c>
      <c r="S224" s="732">
        <f t="shared" si="47"/>
        <v>0</v>
      </c>
    </row>
    <row r="225" spans="1:19">
      <c r="A225" s="878"/>
      <c r="B225" s="126"/>
      <c r="C225" s="49">
        <f t="shared" si="38"/>
        <v>1</v>
      </c>
      <c r="D225" s="877"/>
      <c r="E225" s="49">
        <f t="shared" si="39"/>
        <v>1</v>
      </c>
      <c r="F225" s="877"/>
      <c r="G225" s="49">
        <f t="shared" si="40"/>
        <v>1</v>
      </c>
      <c r="H225" s="877"/>
      <c r="I225" s="49">
        <f t="shared" si="41"/>
        <v>1</v>
      </c>
      <c r="J225" s="877"/>
      <c r="K225" s="49">
        <f t="shared" si="42"/>
        <v>1</v>
      </c>
      <c r="L225" s="877"/>
      <c r="M225" s="49">
        <f t="shared" si="43"/>
        <v>1</v>
      </c>
      <c r="N225" s="877"/>
      <c r="O225" s="49">
        <f t="shared" si="44"/>
        <v>1</v>
      </c>
      <c r="P225" s="877"/>
      <c r="Q225" s="49">
        <f t="shared" si="45"/>
        <v>1</v>
      </c>
      <c r="R225" s="49">
        <f t="shared" si="46"/>
        <v>0</v>
      </c>
      <c r="S225" s="732">
        <f t="shared" si="47"/>
        <v>0</v>
      </c>
    </row>
    <row r="226" spans="1:19">
      <c r="A226" s="878"/>
      <c r="B226" s="126"/>
      <c r="C226" s="49">
        <f t="shared" si="38"/>
        <v>1</v>
      </c>
      <c r="D226" s="877"/>
      <c r="E226" s="49">
        <f t="shared" si="39"/>
        <v>1</v>
      </c>
      <c r="F226" s="877"/>
      <c r="G226" s="49">
        <f t="shared" si="40"/>
        <v>1</v>
      </c>
      <c r="H226" s="877"/>
      <c r="I226" s="49">
        <f t="shared" si="41"/>
        <v>1</v>
      </c>
      <c r="J226" s="877"/>
      <c r="K226" s="49">
        <f t="shared" si="42"/>
        <v>1</v>
      </c>
      <c r="L226" s="877"/>
      <c r="M226" s="49">
        <f t="shared" si="43"/>
        <v>1</v>
      </c>
      <c r="N226" s="877"/>
      <c r="O226" s="49">
        <f t="shared" si="44"/>
        <v>1</v>
      </c>
      <c r="P226" s="877"/>
      <c r="Q226" s="49">
        <f t="shared" si="45"/>
        <v>1</v>
      </c>
      <c r="R226" s="49">
        <f t="shared" si="46"/>
        <v>0</v>
      </c>
      <c r="S226" s="732">
        <f t="shared" si="47"/>
        <v>0</v>
      </c>
    </row>
    <row r="227" spans="1:19">
      <c r="A227" s="878"/>
      <c r="B227" s="126"/>
      <c r="C227" s="49">
        <f t="shared" si="38"/>
        <v>1</v>
      </c>
      <c r="D227" s="877"/>
      <c r="E227" s="49">
        <f t="shared" si="39"/>
        <v>1</v>
      </c>
      <c r="F227" s="877"/>
      <c r="G227" s="49">
        <f t="shared" si="40"/>
        <v>1</v>
      </c>
      <c r="H227" s="877"/>
      <c r="I227" s="49">
        <f t="shared" si="41"/>
        <v>1</v>
      </c>
      <c r="J227" s="877"/>
      <c r="K227" s="49">
        <f t="shared" si="42"/>
        <v>1</v>
      </c>
      <c r="L227" s="877"/>
      <c r="M227" s="49">
        <f t="shared" si="43"/>
        <v>1</v>
      </c>
      <c r="N227" s="877"/>
      <c r="O227" s="49">
        <f t="shared" si="44"/>
        <v>1</v>
      </c>
      <c r="P227" s="877"/>
      <c r="Q227" s="49">
        <f t="shared" si="45"/>
        <v>1</v>
      </c>
      <c r="R227" s="49">
        <f t="shared" si="46"/>
        <v>0</v>
      </c>
      <c r="S227" s="732">
        <f t="shared" si="47"/>
        <v>0</v>
      </c>
    </row>
    <row r="228" spans="1:19">
      <c r="A228" s="878"/>
      <c r="B228" s="126"/>
      <c r="C228" s="49">
        <f t="shared" si="38"/>
        <v>1</v>
      </c>
      <c r="D228" s="877"/>
      <c r="E228" s="49">
        <f t="shared" si="39"/>
        <v>1</v>
      </c>
      <c r="F228" s="877"/>
      <c r="G228" s="49">
        <f t="shared" si="40"/>
        <v>1</v>
      </c>
      <c r="H228" s="877"/>
      <c r="I228" s="49">
        <f t="shared" si="41"/>
        <v>1</v>
      </c>
      <c r="J228" s="877"/>
      <c r="K228" s="49">
        <f t="shared" si="42"/>
        <v>1</v>
      </c>
      <c r="L228" s="877"/>
      <c r="M228" s="49">
        <f t="shared" si="43"/>
        <v>1</v>
      </c>
      <c r="N228" s="877"/>
      <c r="O228" s="49">
        <f t="shared" si="44"/>
        <v>1</v>
      </c>
      <c r="P228" s="877"/>
      <c r="Q228" s="49">
        <f t="shared" si="45"/>
        <v>1</v>
      </c>
      <c r="R228" s="49">
        <f t="shared" si="46"/>
        <v>0</v>
      </c>
      <c r="S228" s="732">
        <f t="shared" si="47"/>
        <v>0</v>
      </c>
    </row>
    <row r="229" spans="1:19">
      <c r="A229" s="878"/>
      <c r="B229" s="126"/>
      <c r="C229" s="49">
        <f t="shared" si="38"/>
        <v>1</v>
      </c>
      <c r="D229" s="877"/>
      <c r="E229" s="49">
        <f t="shared" si="39"/>
        <v>1</v>
      </c>
      <c r="F229" s="877"/>
      <c r="G229" s="49">
        <f t="shared" si="40"/>
        <v>1</v>
      </c>
      <c r="H229" s="877"/>
      <c r="I229" s="49">
        <f t="shared" si="41"/>
        <v>1</v>
      </c>
      <c r="J229" s="877"/>
      <c r="K229" s="49">
        <f t="shared" si="42"/>
        <v>1</v>
      </c>
      <c r="L229" s="877"/>
      <c r="M229" s="49">
        <f t="shared" si="43"/>
        <v>1</v>
      </c>
      <c r="N229" s="877"/>
      <c r="O229" s="49">
        <f t="shared" si="44"/>
        <v>1</v>
      </c>
      <c r="P229" s="877"/>
      <c r="Q229" s="49">
        <f t="shared" si="45"/>
        <v>1</v>
      </c>
      <c r="R229" s="49">
        <f t="shared" si="46"/>
        <v>0</v>
      </c>
      <c r="S229" s="732">
        <f t="shared" si="47"/>
        <v>0</v>
      </c>
    </row>
    <row r="230" spans="1:19">
      <c r="A230" s="878"/>
      <c r="B230" s="126"/>
      <c r="C230" s="49">
        <f t="shared" si="38"/>
        <v>1</v>
      </c>
      <c r="D230" s="877"/>
      <c r="E230" s="49">
        <f t="shared" si="39"/>
        <v>1</v>
      </c>
      <c r="F230" s="877"/>
      <c r="G230" s="49">
        <f t="shared" si="40"/>
        <v>1</v>
      </c>
      <c r="H230" s="877"/>
      <c r="I230" s="49">
        <f t="shared" si="41"/>
        <v>1</v>
      </c>
      <c r="J230" s="877"/>
      <c r="K230" s="49">
        <f t="shared" si="42"/>
        <v>1</v>
      </c>
      <c r="L230" s="877"/>
      <c r="M230" s="49">
        <f t="shared" si="43"/>
        <v>1</v>
      </c>
      <c r="N230" s="877"/>
      <c r="O230" s="49">
        <f t="shared" si="44"/>
        <v>1</v>
      </c>
      <c r="P230" s="877"/>
      <c r="Q230" s="49">
        <f t="shared" si="45"/>
        <v>1</v>
      </c>
      <c r="R230" s="49">
        <f t="shared" si="46"/>
        <v>0</v>
      </c>
      <c r="S230" s="732">
        <f t="shared" si="47"/>
        <v>0</v>
      </c>
    </row>
    <row r="231" spans="1:19">
      <c r="A231" s="878"/>
      <c r="B231" s="126"/>
      <c r="C231" s="49">
        <f t="shared" si="38"/>
        <v>1</v>
      </c>
      <c r="D231" s="877"/>
      <c r="E231" s="49">
        <f t="shared" si="39"/>
        <v>1</v>
      </c>
      <c r="F231" s="877"/>
      <c r="G231" s="49">
        <f t="shared" si="40"/>
        <v>1</v>
      </c>
      <c r="H231" s="877"/>
      <c r="I231" s="49">
        <f t="shared" si="41"/>
        <v>1</v>
      </c>
      <c r="J231" s="877"/>
      <c r="K231" s="49">
        <f t="shared" si="42"/>
        <v>1</v>
      </c>
      <c r="L231" s="877"/>
      <c r="M231" s="49">
        <f t="shared" si="43"/>
        <v>1</v>
      </c>
      <c r="N231" s="877"/>
      <c r="O231" s="49">
        <f t="shared" si="44"/>
        <v>1</v>
      </c>
      <c r="P231" s="877"/>
      <c r="Q231" s="49">
        <f t="shared" si="45"/>
        <v>1</v>
      </c>
      <c r="R231" s="49">
        <f t="shared" si="46"/>
        <v>0</v>
      </c>
      <c r="S231" s="732">
        <f t="shared" si="47"/>
        <v>0</v>
      </c>
    </row>
    <row r="232" spans="1:19">
      <c r="A232" s="878"/>
      <c r="B232" s="126"/>
      <c r="C232" s="49">
        <f t="shared" si="38"/>
        <v>1</v>
      </c>
      <c r="D232" s="877"/>
      <c r="E232" s="49">
        <f t="shared" si="39"/>
        <v>1</v>
      </c>
      <c r="F232" s="877"/>
      <c r="G232" s="49">
        <f t="shared" si="40"/>
        <v>1</v>
      </c>
      <c r="H232" s="877"/>
      <c r="I232" s="49">
        <f t="shared" si="41"/>
        <v>1</v>
      </c>
      <c r="J232" s="877"/>
      <c r="K232" s="49">
        <f t="shared" si="42"/>
        <v>1</v>
      </c>
      <c r="L232" s="877"/>
      <c r="M232" s="49">
        <f t="shared" si="43"/>
        <v>1</v>
      </c>
      <c r="N232" s="877"/>
      <c r="O232" s="49">
        <f t="shared" si="44"/>
        <v>1</v>
      </c>
      <c r="P232" s="877"/>
      <c r="Q232" s="49">
        <f t="shared" si="45"/>
        <v>1</v>
      </c>
      <c r="R232" s="49">
        <f t="shared" si="46"/>
        <v>0</v>
      </c>
      <c r="S232" s="732">
        <f t="shared" si="47"/>
        <v>0</v>
      </c>
    </row>
    <row r="233" spans="1:19">
      <c r="A233" s="878"/>
      <c r="B233" s="126"/>
      <c r="C233" s="49">
        <f t="shared" si="38"/>
        <v>1</v>
      </c>
      <c r="D233" s="877"/>
      <c r="E233" s="49">
        <f t="shared" si="39"/>
        <v>1</v>
      </c>
      <c r="F233" s="877"/>
      <c r="G233" s="49">
        <f t="shared" si="40"/>
        <v>1</v>
      </c>
      <c r="H233" s="877"/>
      <c r="I233" s="49">
        <f t="shared" si="41"/>
        <v>1</v>
      </c>
      <c r="J233" s="877"/>
      <c r="K233" s="49">
        <f t="shared" si="42"/>
        <v>1</v>
      </c>
      <c r="L233" s="877"/>
      <c r="M233" s="49">
        <f t="shared" si="43"/>
        <v>1</v>
      </c>
      <c r="N233" s="877"/>
      <c r="O233" s="49">
        <f t="shared" si="44"/>
        <v>1</v>
      </c>
      <c r="P233" s="877"/>
      <c r="Q233" s="49">
        <f t="shared" si="45"/>
        <v>1</v>
      </c>
      <c r="R233" s="49">
        <f t="shared" si="46"/>
        <v>0</v>
      </c>
      <c r="S233" s="732">
        <f t="shared" si="47"/>
        <v>0</v>
      </c>
    </row>
    <row r="234" spans="1:19">
      <c r="A234" s="878"/>
      <c r="B234" s="126"/>
      <c r="C234" s="49">
        <f t="shared" si="38"/>
        <v>1</v>
      </c>
      <c r="D234" s="877"/>
      <c r="E234" s="49">
        <f t="shared" si="39"/>
        <v>1</v>
      </c>
      <c r="F234" s="877"/>
      <c r="G234" s="49">
        <f t="shared" si="40"/>
        <v>1</v>
      </c>
      <c r="H234" s="877"/>
      <c r="I234" s="49">
        <f t="shared" si="41"/>
        <v>1</v>
      </c>
      <c r="J234" s="877"/>
      <c r="K234" s="49">
        <f t="shared" si="42"/>
        <v>1</v>
      </c>
      <c r="L234" s="877"/>
      <c r="M234" s="49">
        <f t="shared" si="43"/>
        <v>1</v>
      </c>
      <c r="N234" s="877"/>
      <c r="O234" s="49">
        <f t="shared" si="44"/>
        <v>1</v>
      </c>
      <c r="P234" s="877"/>
      <c r="Q234" s="49">
        <f t="shared" si="45"/>
        <v>1</v>
      </c>
      <c r="R234" s="49">
        <f t="shared" si="46"/>
        <v>0</v>
      </c>
      <c r="S234" s="732">
        <f t="shared" si="47"/>
        <v>0</v>
      </c>
    </row>
    <row r="235" spans="1:19">
      <c r="A235" s="878"/>
      <c r="B235" s="126"/>
      <c r="C235" s="49">
        <f t="shared" si="38"/>
        <v>1</v>
      </c>
      <c r="D235" s="877"/>
      <c r="E235" s="49">
        <f t="shared" si="39"/>
        <v>1</v>
      </c>
      <c r="F235" s="877"/>
      <c r="G235" s="49">
        <f t="shared" si="40"/>
        <v>1</v>
      </c>
      <c r="H235" s="877"/>
      <c r="I235" s="49">
        <f t="shared" si="41"/>
        <v>1</v>
      </c>
      <c r="J235" s="877"/>
      <c r="K235" s="49">
        <f t="shared" si="42"/>
        <v>1</v>
      </c>
      <c r="L235" s="877"/>
      <c r="M235" s="49">
        <f t="shared" si="43"/>
        <v>1</v>
      </c>
      <c r="N235" s="877"/>
      <c r="O235" s="49">
        <f t="shared" si="44"/>
        <v>1</v>
      </c>
      <c r="P235" s="877"/>
      <c r="Q235" s="49">
        <f t="shared" si="45"/>
        <v>1</v>
      </c>
      <c r="R235" s="49">
        <f t="shared" si="46"/>
        <v>0</v>
      </c>
      <c r="S235" s="732">
        <f t="shared" si="47"/>
        <v>0</v>
      </c>
    </row>
    <row r="236" spans="1:19">
      <c r="A236" s="878"/>
      <c r="B236" s="126"/>
      <c r="C236" s="49">
        <f t="shared" si="38"/>
        <v>1</v>
      </c>
      <c r="D236" s="877"/>
      <c r="E236" s="49">
        <f t="shared" si="39"/>
        <v>1</v>
      </c>
      <c r="F236" s="877"/>
      <c r="G236" s="49">
        <f t="shared" si="40"/>
        <v>1</v>
      </c>
      <c r="H236" s="877"/>
      <c r="I236" s="49">
        <f t="shared" si="41"/>
        <v>1</v>
      </c>
      <c r="J236" s="877"/>
      <c r="K236" s="49">
        <f t="shared" si="42"/>
        <v>1</v>
      </c>
      <c r="L236" s="877"/>
      <c r="M236" s="49">
        <f t="shared" si="43"/>
        <v>1</v>
      </c>
      <c r="N236" s="877"/>
      <c r="O236" s="49">
        <f t="shared" si="44"/>
        <v>1</v>
      </c>
      <c r="P236" s="877"/>
      <c r="Q236" s="49">
        <f t="shared" si="45"/>
        <v>1</v>
      </c>
      <c r="R236" s="49">
        <f t="shared" si="46"/>
        <v>0</v>
      </c>
      <c r="S236" s="732">
        <f t="shared" si="47"/>
        <v>0</v>
      </c>
    </row>
    <row r="237" spans="1:19">
      <c r="A237" s="878"/>
      <c r="B237" s="126"/>
      <c r="C237" s="49">
        <f t="shared" si="38"/>
        <v>1</v>
      </c>
      <c r="D237" s="877"/>
      <c r="E237" s="49">
        <f t="shared" si="39"/>
        <v>1</v>
      </c>
      <c r="F237" s="877"/>
      <c r="G237" s="49">
        <f t="shared" si="40"/>
        <v>1</v>
      </c>
      <c r="H237" s="877"/>
      <c r="I237" s="49">
        <f t="shared" si="41"/>
        <v>1</v>
      </c>
      <c r="J237" s="877"/>
      <c r="K237" s="49">
        <f t="shared" si="42"/>
        <v>1</v>
      </c>
      <c r="L237" s="877"/>
      <c r="M237" s="49">
        <f t="shared" si="43"/>
        <v>1</v>
      </c>
      <c r="N237" s="877"/>
      <c r="O237" s="49">
        <f t="shared" si="44"/>
        <v>1</v>
      </c>
      <c r="P237" s="877"/>
      <c r="Q237" s="49">
        <f t="shared" si="45"/>
        <v>1</v>
      </c>
      <c r="R237" s="49">
        <f t="shared" si="46"/>
        <v>0</v>
      </c>
      <c r="S237" s="732">
        <f t="shared" si="47"/>
        <v>0</v>
      </c>
    </row>
    <row r="238" spans="1:19">
      <c r="A238" s="878"/>
      <c r="B238" s="126"/>
      <c r="C238" s="49">
        <f t="shared" si="38"/>
        <v>1</v>
      </c>
      <c r="D238" s="877"/>
      <c r="E238" s="49">
        <f t="shared" si="39"/>
        <v>1</v>
      </c>
      <c r="F238" s="877"/>
      <c r="G238" s="49">
        <f t="shared" si="40"/>
        <v>1</v>
      </c>
      <c r="H238" s="877"/>
      <c r="I238" s="49">
        <f t="shared" si="41"/>
        <v>1</v>
      </c>
      <c r="J238" s="877"/>
      <c r="K238" s="49">
        <f t="shared" si="42"/>
        <v>1</v>
      </c>
      <c r="L238" s="877"/>
      <c r="M238" s="49">
        <f t="shared" si="43"/>
        <v>1</v>
      </c>
      <c r="N238" s="877"/>
      <c r="O238" s="49">
        <f t="shared" si="44"/>
        <v>1</v>
      </c>
      <c r="P238" s="877"/>
      <c r="Q238" s="49">
        <f t="shared" si="45"/>
        <v>1</v>
      </c>
      <c r="R238" s="49">
        <f t="shared" si="46"/>
        <v>0</v>
      </c>
      <c r="S238" s="732">
        <f t="shared" si="47"/>
        <v>0</v>
      </c>
    </row>
    <row r="239" spans="1:19">
      <c r="A239" s="878"/>
      <c r="B239" s="126"/>
      <c r="C239" s="49">
        <f t="shared" si="38"/>
        <v>1</v>
      </c>
      <c r="D239" s="877"/>
      <c r="E239" s="49">
        <f t="shared" si="39"/>
        <v>1</v>
      </c>
      <c r="F239" s="877"/>
      <c r="G239" s="49">
        <f t="shared" si="40"/>
        <v>1</v>
      </c>
      <c r="H239" s="877"/>
      <c r="I239" s="49">
        <f t="shared" si="41"/>
        <v>1</v>
      </c>
      <c r="J239" s="877"/>
      <c r="K239" s="49">
        <f t="shared" si="42"/>
        <v>1</v>
      </c>
      <c r="L239" s="877"/>
      <c r="M239" s="49">
        <f t="shared" si="43"/>
        <v>1</v>
      </c>
      <c r="N239" s="877"/>
      <c r="O239" s="49">
        <f t="shared" si="44"/>
        <v>1</v>
      </c>
      <c r="P239" s="877"/>
      <c r="Q239" s="49">
        <f t="shared" si="45"/>
        <v>1</v>
      </c>
      <c r="R239" s="49">
        <f t="shared" si="46"/>
        <v>0</v>
      </c>
      <c r="S239" s="732">
        <f t="shared" si="47"/>
        <v>0</v>
      </c>
    </row>
    <row r="240" spans="1:19">
      <c r="A240" s="878"/>
      <c r="B240" s="126"/>
      <c r="C240" s="49">
        <f t="shared" si="38"/>
        <v>1</v>
      </c>
      <c r="D240" s="877"/>
      <c r="E240" s="49">
        <f t="shared" si="39"/>
        <v>1</v>
      </c>
      <c r="F240" s="877"/>
      <c r="G240" s="49">
        <f t="shared" si="40"/>
        <v>1</v>
      </c>
      <c r="H240" s="877"/>
      <c r="I240" s="49">
        <f t="shared" si="41"/>
        <v>1</v>
      </c>
      <c r="J240" s="877"/>
      <c r="K240" s="49">
        <f t="shared" si="42"/>
        <v>1</v>
      </c>
      <c r="L240" s="877"/>
      <c r="M240" s="49">
        <f t="shared" si="43"/>
        <v>1</v>
      </c>
      <c r="N240" s="877"/>
      <c r="O240" s="49">
        <f t="shared" si="44"/>
        <v>1</v>
      </c>
      <c r="P240" s="877"/>
      <c r="Q240" s="49">
        <f t="shared" si="45"/>
        <v>1</v>
      </c>
      <c r="R240" s="49">
        <f t="shared" si="46"/>
        <v>0</v>
      </c>
      <c r="S240" s="732">
        <f t="shared" si="47"/>
        <v>0</v>
      </c>
    </row>
    <row r="241" spans="1:19">
      <c r="A241" s="878"/>
      <c r="B241" s="126"/>
      <c r="C241" s="49">
        <f t="shared" si="38"/>
        <v>1</v>
      </c>
      <c r="D241" s="877"/>
      <c r="E241" s="49">
        <f t="shared" si="39"/>
        <v>1</v>
      </c>
      <c r="F241" s="877"/>
      <c r="G241" s="49">
        <f t="shared" si="40"/>
        <v>1</v>
      </c>
      <c r="H241" s="877"/>
      <c r="I241" s="49">
        <f t="shared" si="41"/>
        <v>1</v>
      </c>
      <c r="J241" s="877"/>
      <c r="K241" s="49">
        <f t="shared" si="42"/>
        <v>1</v>
      </c>
      <c r="L241" s="877"/>
      <c r="M241" s="49">
        <f t="shared" si="43"/>
        <v>1</v>
      </c>
      <c r="N241" s="877"/>
      <c r="O241" s="49">
        <f t="shared" si="44"/>
        <v>1</v>
      </c>
      <c r="P241" s="877"/>
      <c r="Q241" s="49">
        <f t="shared" si="45"/>
        <v>1</v>
      </c>
      <c r="R241" s="49">
        <f t="shared" si="46"/>
        <v>0</v>
      </c>
      <c r="S241" s="732">
        <f t="shared" si="47"/>
        <v>0</v>
      </c>
    </row>
    <row r="242" spans="1:19">
      <c r="A242" s="878"/>
      <c r="B242" s="126"/>
      <c r="C242" s="49">
        <f t="shared" si="38"/>
        <v>1</v>
      </c>
      <c r="D242" s="877"/>
      <c r="E242" s="49">
        <f t="shared" si="39"/>
        <v>1</v>
      </c>
      <c r="F242" s="877"/>
      <c r="G242" s="49">
        <f t="shared" si="40"/>
        <v>1</v>
      </c>
      <c r="H242" s="877"/>
      <c r="I242" s="49">
        <f t="shared" si="41"/>
        <v>1</v>
      </c>
      <c r="J242" s="877"/>
      <c r="K242" s="49">
        <f t="shared" si="42"/>
        <v>1</v>
      </c>
      <c r="L242" s="877"/>
      <c r="M242" s="49">
        <f t="shared" si="43"/>
        <v>1</v>
      </c>
      <c r="N242" s="877"/>
      <c r="O242" s="49">
        <f t="shared" si="44"/>
        <v>1</v>
      </c>
      <c r="P242" s="877"/>
      <c r="Q242" s="49">
        <f t="shared" si="45"/>
        <v>1</v>
      </c>
      <c r="R242" s="49">
        <f t="shared" si="46"/>
        <v>0</v>
      </c>
      <c r="S242" s="732">
        <f t="shared" si="47"/>
        <v>0</v>
      </c>
    </row>
    <row r="243" spans="1:19">
      <c r="A243" s="878"/>
      <c r="B243" s="126"/>
      <c r="C243" s="49">
        <f t="shared" si="38"/>
        <v>1</v>
      </c>
      <c r="D243" s="877"/>
      <c r="E243" s="49">
        <f t="shared" si="39"/>
        <v>1</v>
      </c>
      <c r="F243" s="877"/>
      <c r="G243" s="49">
        <f t="shared" si="40"/>
        <v>1</v>
      </c>
      <c r="H243" s="877"/>
      <c r="I243" s="49">
        <f t="shared" si="41"/>
        <v>1</v>
      </c>
      <c r="J243" s="877"/>
      <c r="K243" s="49">
        <f t="shared" si="42"/>
        <v>1</v>
      </c>
      <c r="L243" s="877"/>
      <c r="M243" s="49">
        <f t="shared" si="43"/>
        <v>1</v>
      </c>
      <c r="N243" s="877"/>
      <c r="O243" s="49">
        <f t="shared" si="44"/>
        <v>1</v>
      </c>
      <c r="P243" s="877"/>
      <c r="Q243" s="49">
        <f t="shared" si="45"/>
        <v>1</v>
      </c>
      <c r="R243" s="49">
        <f t="shared" si="46"/>
        <v>0</v>
      </c>
      <c r="S243" s="732">
        <f t="shared" si="47"/>
        <v>0</v>
      </c>
    </row>
    <row r="244" spans="1:19">
      <c r="A244" s="878"/>
      <c r="B244" s="126"/>
      <c r="C244" s="49">
        <f t="shared" si="38"/>
        <v>1</v>
      </c>
      <c r="D244" s="877"/>
      <c r="E244" s="49">
        <f t="shared" si="39"/>
        <v>1</v>
      </c>
      <c r="F244" s="877"/>
      <c r="G244" s="49">
        <f t="shared" si="40"/>
        <v>1</v>
      </c>
      <c r="H244" s="877"/>
      <c r="I244" s="49">
        <f t="shared" si="41"/>
        <v>1</v>
      </c>
      <c r="J244" s="877"/>
      <c r="K244" s="49">
        <f t="shared" si="42"/>
        <v>1</v>
      </c>
      <c r="L244" s="877"/>
      <c r="M244" s="49">
        <f t="shared" si="43"/>
        <v>1</v>
      </c>
      <c r="N244" s="877"/>
      <c r="O244" s="49">
        <f t="shared" si="44"/>
        <v>1</v>
      </c>
      <c r="P244" s="877"/>
      <c r="Q244" s="49">
        <f t="shared" si="45"/>
        <v>1</v>
      </c>
      <c r="R244" s="49">
        <f t="shared" si="46"/>
        <v>0</v>
      </c>
      <c r="S244" s="732">
        <f t="shared" si="47"/>
        <v>0</v>
      </c>
    </row>
    <row r="245" spans="1:19">
      <c r="A245" s="878"/>
      <c r="B245" s="126"/>
      <c r="C245" s="49">
        <f t="shared" si="38"/>
        <v>1</v>
      </c>
      <c r="D245" s="877"/>
      <c r="E245" s="49">
        <f t="shared" si="39"/>
        <v>1</v>
      </c>
      <c r="F245" s="877"/>
      <c r="G245" s="49">
        <f t="shared" si="40"/>
        <v>1</v>
      </c>
      <c r="H245" s="877"/>
      <c r="I245" s="49">
        <f t="shared" si="41"/>
        <v>1</v>
      </c>
      <c r="J245" s="877"/>
      <c r="K245" s="49">
        <f t="shared" si="42"/>
        <v>1</v>
      </c>
      <c r="L245" s="877"/>
      <c r="M245" s="49">
        <f t="shared" si="43"/>
        <v>1</v>
      </c>
      <c r="N245" s="877"/>
      <c r="O245" s="49">
        <f t="shared" si="44"/>
        <v>1</v>
      </c>
      <c r="P245" s="877"/>
      <c r="Q245" s="49">
        <f t="shared" si="45"/>
        <v>1</v>
      </c>
      <c r="R245" s="49">
        <f t="shared" si="46"/>
        <v>0</v>
      </c>
      <c r="S245" s="732">
        <f t="shared" si="47"/>
        <v>0</v>
      </c>
    </row>
    <row r="246" spans="1:19">
      <c r="A246" s="878"/>
      <c r="B246" s="126"/>
      <c r="C246" s="49">
        <f t="shared" si="38"/>
        <v>1</v>
      </c>
      <c r="D246" s="877"/>
      <c r="E246" s="49">
        <f t="shared" si="39"/>
        <v>1</v>
      </c>
      <c r="F246" s="877"/>
      <c r="G246" s="49">
        <f t="shared" si="40"/>
        <v>1</v>
      </c>
      <c r="H246" s="877"/>
      <c r="I246" s="49">
        <f t="shared" si="41"/>
        <v>1</v>
      </c>
      <c r="J246" s="877"/>
      <c r="K246" s="49">
        <f t="shared" si="42"/>
        <v>1</v>
      </c>
      <c r="L246" s="877"/>
      <c r="M246" s="49">
        <f t="shared" si="43"/>
        <v>1</v>
      </c>
      <c r="N246" s="877"/>
      <c r="O246" s="49">
        <f t="shared" si="44"/>
        <v>1</v>
      </c>
      <c r="P246" s="877"/>
      <c r="Q246" s="49">
        <f t="shared" si="45"/>
        <v>1</v>
      </c>
      <c r="R246" s="49">
        <f t="shared" si="46"/>
        <v>0</v>
      </c>
      <c r="S246" s="732">
        <f t="shared" si="47"/>
        <v>0</v>
      </c>
    </row>
    <row r="247" spans="1:19">
      <c r="A247" s="878"/>
      <c r="B247" s="126"/>
      <c r="C247" s="49">
        <f t="shared" si="38"/>
        <v>1</v>
      </c>
      <c r="D247" s="877"/>
      <c r="E247" s="49">
        <f t="shared" si="39"/>
        <v>1</v>
      </c>
      <c r="F247" s="877"/>
      <c r="G247" s="49">
        <f t="shared" si="40"/>
        <v>1</v>
      </c>
      <c r="H247" s="877"/>
      <c r="I247" s="49">
        <f t="shared" si="41"/>
        <v>1</v>
      </c>
      <c r="J247" s="877"/>
      <c r="K247" s="49">
        <f t="shared" si="42"/>
        <v>1</v>
      </c>
      <c r="L247" s="877"/>
      <c r="M247" s="49">
        <f t="shared" si="43"/>
        <v>1</v>
      </c>
      <c r="N247" s="877"/>
      <c r="O247" s="49">
        <f t="shared" si="44"/>
        <v>1</v>
      </c>
      <c r="P247" s="877"/>
      <c r="Q247" s="49">
        <f t="shared" si="45"/>
        <v>1</v>
      </c>
      <c r="R247" s="49">
        <f t="shared" si="46"/>
        <v>0</v>
      </c>
      <c r="S247" s="732">
        <f t="shared" si="47"/>
        <v>0</v>
      </c>
    </row>
    <row r="248" spans="1:19">
      <c r="A248" s="878"/>
      <c r="B248" s="126"/>
      <c r="C248" s="49">
        <f t="shared" si="38"/>
        <v>1</v>
      </c>
      <c r="D248" s="877"/>
      <c r="E248" s="49">
        <f t="shared" si="39"/>
        <v>1</v>
      </c>
      <c r="F248" s="877"/>
      <c r="G248" s="49">
        <f t="shared" si="40"/>
        <v>1</v>
      </c>
      <c r="H248" s="877"/>
      <c r="I248" s="49">
        <f t="shared" si="41"/>
        <v>1</v>
      </c>
      <c r="J248" s="877"/>
      <c r="K248" s="49">
        <f t="shared" si="42"/>
        <v>1</v>
      </c>
      <c r="L248" s="877"/>
      <c r="M248" s="49">
        <f t="shared" si="43"/>
        <v>1</v>
      </c>
      <c r="N248" s="877"/>
      <c r="O248" s="49">
        <f t="shared" si="44"/>
        <v>1</v>
      </c>
      <c r="P248" s="877"/>
      <c r="Q248" s="49">
        <f t="shared" si="45"/>
        <v>1</v>
      </c>
      <c r="R248" s="49">
        <f t="shared" si="46"/>
        <v>0</v>
      </c>
      <c r="S248" s="732">
        <f t="shared" si="47"/>
        <v>0</v>
      </c>
    </row>
    <row r="249" spans="1:19">
      <c r="A249" s="878"/>
      <c r="B249" s="126"/>
      <c r="C249" s="49">
        <f t="shared" si="38"/>
        <v>1</v>
      </c>
      <c r="D249" s="877"/>
      <c r="E249" s="49">
        <f t="shared" si="39"/>
        <v>1</v>
      </c>
      <c r="F249" s="877"/>
      <c r="G249" s="49">
        <f t="shared" si="40"/>
        <v>1</v>
      </c>
      <c r="H249" s="877"/>
      <c r="I249" s="49">
        <f t="shared" si="41"/>
        <v>1</v>
      </c>
      <c r="J249" s="877"/>
      <c r="K249" s="49">
        <f t="shared" si="42"/>
        <v>1</v>
      </c>
      <c r="L249" s="877"/>
      <c r="M249" s="49">
        <f t="shared" si="43"/>
        <v>1</v>
      </c>
      <c r="N249" s="877"/>
      <c r="O249" s="49">
        <f t="shared" si="44"/>
        <v>1</v>
      </c>
      <c r="P249" s="877"/>
      <c r="Q249" s="49">
        <f t="shared" si="45"/>
        <v>1</v>
      </c>
      <c r="R249" s="49">
        <f t="shared" si="46"/>
        <v>0</v>
      </c>
      <c r="S249" s="732">
        <f t="shared" si="47"/>
        <v>0</v>
      </c>
    </row>
    <row r="250" spans="1:19">
      <c r="A250" s="878"/>
      <c r="B250" s="126"/>
      <c r="C250" s="49">
        <f t="shared" si="38"/>
        <v>1</v>
      </c>
      <c r="D250" s="877"/>
      <c r="E250" s="49">
        <f t="shared" si="39"/>
        <v>1</v>
      </c>
      <c r="F250" s="877"/>
      <c r="G250" s="49">
        <f t="shared" si="40"/>
        <v>1</v>
      </c>
      <c r="H250" s="877"/>
      <c r="I250" s="49">
        <f t="shared" si="41"/>
        <v>1</v>
      </c>
      <c r="J250" s="877"/>
      <c r="K250" s="49">
        <f t="shared" si="42"/>
        <v>1</v>
      </c>
      <c r="L250" s="877"/>
      <c r="M250" s="49">
        <f t="shared" si="43"/>
        <v>1</v>
      </c>
      <c r="N250" s="877"/>
      <c r="O250" s="49">
        <f t="shared" si="44"/>
        <v>1</v>
      </c>
      <c r="P250" s="877"/>
      <c r="Q250" s="49">
        <f t="shared" si="45"/>
        <v>1</v>
      </c>
      <c r="R250" s="49">
        <f t="shared" si="46"/>
        <v>0</v>
      </c>
      <c r="S250" s="732">
        <f t="shared" si="47"/>
        <v>0</v>
      </c>
    </row>
    <row r="251" spans="1:19">
      <c r="A251" s="878"/>
      <c r="B251" s="126"/>
      <c r="C251" s="49">
        <f t="shared" si="38"/>
        <v>1</v>
      </c>
      <c r="D251" s="877"/>
      <c r="E251" s="49">
        <f t="shared" si="39"/>
        <v>1</v>
      </c>
      <c r="F251" s="877"/>
      <c r="G251" s="49">
        <f t="shared" si="40"/>
        <v>1</v>
      </c>
      <c r="H251" s="877"/>
      <c r="I251" s="49">
        <f t="shared" si="41"/>
        <v>1</v>
      </c>
      <c r="J251" s="877"/>
      <c r="K251" s="49">
        <f t="shared" si="42"/>
        <v>1</v>
      </c>
      <c r="L251" s="877"/>
      <c r="M251" s="49">
        <f t="shared" si="43"/>
        <v>1</v>
      </c>
      <c r="N251" s="877"/>
      <c r="O251" s="49">
        <f t="shared" si="44"/>
        <v>1</v>
      </c>
      <c r="P251" s="877"/>
      <c r="Q251" s="49">
        <f t="shared" si="45"/>
        <v>1</v>
      </c>
      <c r="R251" s="49">
        <f t="shared" si="46"/>
        <v>0</v>
      </c>
      <c r="S251" s="732">
        <f t="shared" si="47"/>
        <v>0</v>
      </c>
    </row>
    <row r="252" spans="1:19">
      <c r="A252" s="878"/>
      <c r="B252" s="126"/>
      <c r="C252" s="49">
        <f t="shared" si="38"/>
        <v>1</v>
      </c>
      <c r="D252" s="877"/>
      <c r="E252" s="49">
        <f t="shared" si="39"/>
        <v>1</v>
      </c>
      <c r="F252" s="877"/>
      <c r="G252" s="49">
        <f t="shared" si="40"/>
        <v>1</v>
      </c>
      <c r="H252" s="877"/>
      <c r="I252" s="49">
        <f t="shared" si="41"/>
        <v>1</v>
      </c>
      <c r="J252" s="877"/>
      <c r="K252" s="49">
        <f t="shared" si="42"/>
        <v>1</v>
      </c>
      <c r="L252" s="877"/>
      <c r="M252" s="49">
        <f t="shared" si="43"/>
        <v>1</v>
      </c>
      <c r="N252" s="877"/>
      <c r="O252" s="49">
        <f t="shared" si="44"/>
        <v>1</v>
      </c>
      <c r="P252" s="877"/>
      <c r="Q252" s="49">
        <f t="shared" si="45"/>
        <v>1</v>
      </c>
      <c r="R252" s="49">
        <f t="shared" si="46"/>
        <v>0</v>
      </c>
      <c r="S252" s="732">
        <f t="shared" si="47"/>
        <v>0</v>
      </c>
    </row>
    <row r="253" spans="1:19">
      <c r="A253" s="878"/>
      <c r="B253" s="126"/>
      <c r="C253" s="49">
        <f t="shared" si="38"/>
        <v>1</v>
      </c>
      <c r="D253" s="877"/>
      <c r="E253" s="49">
        <f t="shared" si="39"/>
        <v>1</v>
      </c>
      <c r="F253" s="877"/>
      <c r="G253" s="49">
        <f t="shared" si="40"/>
        <v>1</v>
      </c>
      <c r="H253" s="877"/>
      <c r="I253" s="49">
        <f t="shared" si="41"/>
        <v>1</v>
      </c>
      <c r="J253" s="877"/>
      <c r="K253" s="49">
        <f t="shared" si="42"/>
        <v>1</v>
      </c>
      <c r="L253" s="877"/>
      <c r="M253" s="49">
        <f t="shared" si="43"/>
        <v>1</v>
      </c>
      <c r="N253" s="877"/>
      <c r="O253" s="49">
        <f t="shared" si="44"/>
        <v>1</v>
      </c>
      <c r="P253" s="877"/>
      <c r="Q253" s="49">
        <f t="shared" si="45"/>
        <v>1</v>
      </c>
      <c r="R253" s="49">
        <f t="shared" si="46"/>
        <v>0</v>
      </c>
      <c r="S253" s="732">
        <f t="shared" si="47"/>
        <v>0</v>
      </c>
    </row>
    <row r="254" spans="1:19">
      <c r="A254" s="878"/>
      <c r="B254" s="126"/>
      <c r="C254" s="49">
        <f t="shared" si="38"/>
        <v>1</v>
      </c>
      <c r="D254" s="877"/>
      <c r="E254" s="49">
        <f t="shared" si="39"/>
        <v>1</v>
      </c>
      <c r="F254" s="877"/>
      <c r="G254" s="49">
        <f t="shared" si="40"/>
        <v>1</v>
      </c>
      <c r="H254" s="877"/>
      <c r="I254" s="49">
        <f t="shared" si="41"/>
        <v>1</v>
      </c>
      <c r="J254" s="877"/>
      <c r="K254" s="49">
        <f t="shared" si="42"/>
        <v>1</v>
      </c>
      <c r="L254" s="877"/>
      <c r="M254" s="49">
        <f t="shared" si="43"/>
        <v>1</v>
      </c>
      <c r="N254" s="877"/>
      <c r="O254" s="49">
        <f t="shared" si="44"/>
        <v>1</v>
      </c>
      <c r="P254" s="877"/>
      <c r="Q254" s="49">
        <f t="shared" si="45"/>
        <v>1</v>
      </c>
      <c r="R254" s="49">
        <f t="shared" si="46"/>
        <v>0</v>
      </c>
      <c r="S254" s="732">
        <f t="shared" si="47"/>
        <v>0</v>
      </c>
    </row>
    <row r="255" spans="1:19">
      <c r="A255" s="878"/>
      <c r="B255" s="126"/>
      <c r="C255" s="49">
        <f t="shared" si="38"/>
        <v>1</v>
      </c>
      <c r="D255" s="877"/>
      <c r="E255" s="49">
        <f t="shared" si="39"/>
        <v>1</v>
      </c>
      <c r="F255" s="877"/>
      <c r="G255" s="49">
        <f t="shared" si="40"/>
        <v>1</v>
      </c>
      <c r="H255" s="877"/>
      <c r="I255" s="49">
        <f t="shared" si="41"/>
        <v>1</v>
      </c>
      <c r="J255" s="877"/>
      <c r="K255" s="49">
        <f t="shared" si="42"/>
        <v>1</v>
      </c>
      <c r="L255" s="877"/>
      <c r="M255" s="49">
        <f t="shared" si="43"/>
        <v>1</v>
      </c>
      <c r="N255" s="877"/>
      <c r="O255" s="49">
        <f t="shared" si="44"/>
        <v>1</v>
      </c>
      <c r="P255" s="877"/>
      <c r="Q255" s="49">
        <f t="shared" si="45"/>
        <v>1</v>
      </c>
      <c r="R255" s="49">
        <f t="shared" si="46"/>
        <v>0</v>
      </c>
      <c r="S255" s="732">
        <f t="shared" si="47"/>
        <v>0</v>
      </c>
    </row>
    <row r="256" spans="1:19">
      <c r="A256" s="878"/>
      <c r="B256" s="126"/>
      <c r="C256" s="49">
        <f t="shared" si="38"/>
        <v>1</v>
      </c>
      <c r="D256" s="877"/>
      <c r="E256" s="49">
        <f t="shared" si="39"/>
        <v>1</v>
      </c>
      <c r="F256" s="877"/>
      <c r="G256" s="49">
        <f t="shared" si="40"/>
        <v>1</v>
      </c>
      <c r="H256" s="877"/>
      <c r="I256" s="49">
        <f t="shared" si="41"/>
        <v>1</v>
      </c>
      <c r="J256" s="877"/>
      <c r="K256" s="49">
        <f t="shared" si="42"/>
        <v>1</v>
      </c>
      <c r="L256" s="877"/>
      <c r="M256" s="49">
        <f t="shared" si="43"/>
        <v>1</v>
      </c>
      <c r="N256" s="877"/>
      <c r="O256" s="49">
        <f t="shared" si="44"/>
        <v>1</v>
      </c>
      <c r="P256" s="877"/>
      <c r="Q256" s="49">
        <f t="shared" si="45"/>
        <v>1</v>
      </c>
      <c r="R256" s="49">
        <f t="shared" si="46"/>
        <v>0</v>
      </c>
      <c r="S256" s="732">
        <f t="shared" si="47"/>
        <v>0</v>
      </c>
    </row>
    <row r="257" spans="1:19">
      <c r="A257" s="878"/>
      <c r="B257" s="126"/>
      <c r="C257" s="49">
        <f t="shared" si="38"/>
        <v>1</v>
      </c>
      <c r="D257" s="877"/>
      <c r="E257" s="49">
        <f t="shared" si="39"/>
        <v>1</v>
      </c>
      <c r="F257" s="877"/>
      <c r="G257" s="49">
        <f t="shared" si="40"/>
        <v>1</v>
      </c>
      <c r="H257" s="877"/>
      <c r="I257" s="49">
        <f t="shared" si="41"/>
        <v>1</v>
      </c>
      <c r="J257" s="877"/>
      <c r="K257" s="49">
        <f t="shared" si="42"/>
        <v>1</v>
      </c>
      <c r="L257" s="877"/>
      <c r="M257" s="49">
        <f t="shared" si="43"/>
        <v>1</v>
      </c>
      <c r="N257" s="877"/>
      <c r="O257" s="49">
        <f t="shared" si="44"/>
        <v>1</v>
      </c>
      <c r="P257" s="877"/>
      <c r="Q257" s="49">
        <f t="shared" si="45"/>
        <v>1</v>
      </c>
      <c r="R257" s="49">
        <f t="shared" si="46"/>
        <v>0</v>
      </c>
      <c r="S257" s="732">
        <f t="shared" si="47"/>
        <v>0</v>
      </c>
    </row>
    <row r="258" spans="1:19">
      <c r="A258" s="878"/>
      <c r="B258" s="126"/>
      <c r="C258" s="49">
        <f t="shared" si="38"/>
        <v>1</v>
      </c>
      <c r="D258" s="877"/>
      <c r="E258" s="49">
        <f t="shared" si="39"/>
        <v>1</v>
      </c>
      <c r="F258" s="877"/>
      <c r="G258" s="49">
        <f t="shared" si="40"/>
        <v>1</v>
      </c>
      <c r="H258" s="877"/>
      <c r="I258" s="49">
        <f t="shared" si="41"/>
        <v>1</v>
      </c>
      <c r="J258" s="877"/>
      <c r="K258" s="49">
        <f t="shared" si="42"/>
        <v>1</v>
      </c>
      <c r="L258" s="877"/>
      <c r="M258" s="49">
        <f t="shared" si="43"/>
        <v>1</v>
      </c>
      <c r="N258" s="877"/>
      <c r="O258" s="49">
        <f t="shared" si="44"/>
        <v>1</v>
      </c>
      <c r="P258" s="877"/>
      <c r="Q258" s="49">
        <f t="shared" si="45"/>
        <v>1</v>
      </c>
      <c r="R258" s="49">
        <f t="shared" si="46"/>
        <v>0</v>
      </c>
      <c r="S258" s="732">
        <f t="shared" si="47"/>
        <v>0</v>
      </c>
    </row>
    <row r="259" spans="1:19">
      <c r="A259" s="878"/>
      <c r="B259" s="126"/>
      <c r="C259" s="49">
        <f t="shared" si="38"/>
        <v>1</v>
      </c>
      <c r="D259" s="877"/>
      <c r="E259" s="49">
        <f t="shared" si="39"/>
        <v>1</v>
      </c>
      <c r="F259" s="877"/>
      <c r="G259" s="49">
        <f t="shared" si="40"/>
        <v>1</v>
      </c>
      <c r="H259" s="877"/>
      <c r="I259" s="49">
        <f t="shared" si="41"/>
        <v>1</v>
      </c>
      <c r="J259" s="877"/>
      <c r="K259" s="49">
        <f t="shared" si="42"/>
        <v>1</v>
      </c>
      <c r="L259" s="877"/>
      <c r="M259" s="49">
        <f t="shared" si="43"/>
        <v>1</v>
      </c>
      <c r="N259" s="877"/>
      <c r="O259" s="49">
        <f t="shared" si="44"/>
        <v>1</v>
      </c>
      <c r="P259" s="877"/>
      <c r="Q259" s="49">
        <f t="shared" si="45"/>
        <v>1</v>
      </c>
      <c r="R259" s="49">
        <f t="shared" si="46"/>
        <v>0</v>
      </c>
      <c r="S259" s="732">
        <f t="shared" si="47"/>
        <v>0</v>
      </c>
    </row>
    <row r="260" spans="1:19">
      <c r="A260" s="878"/>
      <c r="B260" s="126"/>
      <c r="C260" s="49">
        <f t="shared" si="38"/>
        <v>1</v>
      </c>
      <c r="D260" s="877"/>
      <c r="E260" s="49">
        <f t="shared" si="39"/>
        <v>1</v>
      </c>
      <c r="F260" s="877"/>
      <c r="G260" s="49">
        <f t="shared" si="40"/>
        <v>1</v>
      </c>
      <c r="H260" s="877"/>
      <c r="I260" s="49">
        <f t="shared" si="41"/>
        <v>1</v>
      </c>
      <c r="J260" s="877"/>
      <c r="K260" s="49">
        <f t="shared" si="42"/>
        <v>1</v>
      </c>
      <c r="L260" s="877"/>
      <c r="M260" s="49">
        <f t="shared" si="43"/>
        <v>1</v>
      </c>
      <c r="N260" s="877"/>
      <c r="O260" s="49">
        <f t="shared" si="44"/>
        <v>1</v>
      </c>
      <c r="P260" s="877"/>
      <c r="Q260" s="49">
        <f t="shared" si="45"/>
        <v>1</v>
      </c>
      <c r="R260" s="49">
        <f t="shared" si="46"/>
        <v>0</v>
      </c>
      <c r="S260" s="732">
        <f t="shared" si="47"/>
        <v>0</v>
      </c>
    </row>
    <row r="261" spans="1:19">
      <c r="A261" s="878"/>
      <c r="B261" s="126"/>
      <c r="C261" s="49">
        <f t="shared" si="38"/>
        <v>1</v>
      </c>
      <c r="D261" s="877"/>
      <c r="E261" s="49">
        <f t="shared" si="39"/>
        <v>1</v>
      </c>
      <c r="F261" s="877"/>
      <c r="G261" s="49">
        <f t="shared" si="40"/>
        <v>1</v>
      </c>
      <c r="H261" s="877"/>
      <c r="I261" s="49">
        <f t="shared" si="41"/>
        <v>1</v>
      </c>
      <c r="J261" s="877"/>
      <c r="K261" s="49">
        <f t="shared" si="42"/>
        <v>1</v>
      </c>
      <c r="L261" s="877"/>
      <c r="M261" s="49">
        <f t="shared" si="43"/>
        <v>1</v>
      </c>
      <c r="N261" s="877"/>
      <c r="O261" s="49">
        <f t="shared" si="44"/>
        <v>1</v>
      </c>
      <c r="P261" s="877"/>
      <c r="Q261" s="49">
        <f t="shared" si="45"/>
        <v>1</v>
      </c>
      <c r="R261" s="49">
        <f t="shared" si="46"/>
        <v>0</v>
      </c>
      <c r="S261" s="732">
        <f t="shared" si="47"/>
        <v>0</v>
      </c>
    </row>
    <row r="262" spans="1:19">
      <c r="A262" s="878"/>
      <c r="B262" s="126"/>
      <c r="C262" s="49">
        <f t="shared" si="38"/>
        <v>1</v>
      </c>
      <c r="D262" s="877"/>
      <c r="E262" s="49">
        <f t="shared" si="39"/>
        <v>1</v>
      </c>
      <c r="F262" s="877"/>
      <c r="G262" s="49">
        <f t="shared" si="40"/>
        <v>1</v>
      </c>
      <c r="H262" s="877"/>
      <c r="I262" s="49">
        <f t="shared" si="41"/>
        <v>1</v>
      </c>
      <c r="J262" s="877"/>
      <c r="K262" s="49">
        <f t="shared" si="42"/>
        <v>1</v>
      </c>
      <c r="L262" s="877"/>
      <c r="M262" s="49">
        <f t="shared" si="43"/>
        <v>1</v>
      </c>
      <c r="N262" s="877"/>
      <c r="O262" s="49">
        <f t="shared" si="44"/>
        <v>1</v>
      </c>
      <c r="P262" s="877"/>
      <c r="Q262" s="49">
        <f t="shared" si="45"/>
        <v>1</v>
      </c>
      <c r="R262" s="49">
        <f t="shared" si="46"/>
        <v>0</v>
      </c>
      <c r="S262" s="732">
        <f t="shared" si="47"/>
        <v>0</v>
      </c>
    </row>
    <row r="263" spans="1:19">
      <c r="A263" s="878"/>
      <c r="B263" s="126"/>
      <c r="C263" s="49">
        <f t="shared" si="38"/>
        <v>1</v>
      </c>
      <c r="D263" s="877"/>
      <c r="E263" s="49">
        <f t="shared" si="39"/>
        <v>1</v>
      </c>
      <c r="F263" s="877"/>
      <c r="G263" s="49">
        <f t="shared" si="40"/>
        <v>1</v>
      </c>
      <c r="H263" s="877"/>
      <c r="I263" s="49">
        <f t="shared" si="41"/>
        <v>1</v>
      </c>
      <c r="J263" s="877"/>
      <c r="K263" s="49">
        <f t="shared" si="42"/>
        <v>1</v>
      </c>
      <c r="L263" s="877"/>
      <c r="M263" s="49">
        <f t="shared" si="43"/>
        <v>1</v>
      </c>
      <c r="N263" s="877"/>
      <c r="O263" s="49">
        <f t="shared" si="44"/>
        <v>1</v>
      </c>
      <c r="P263" s="877"/>
      <c r="Q263" s="49">
        <f t="shared" si="45"/>
        <v>1</v>
      </c>
      <c r="R263" s="49">
        <f t="shared" si="46"/>
        <v>0</v>
      </c>
      <c r="S263" s="732">
        <f t="shared" si="47"/>
        <v>0</v>
      </c>
    </row>
    <row r="264" spans="1:19">
      <c r="A264" s="878"/>
      <c r="B264" s="126"/>
      <c r="C264" s="49">
        <f t="shared" si="38"/>
        <v>1</v>
      </c>
      <c r="D264" s="877"/>
      <c r="E264" s="49">
        <f t="shared" si="39"/>
        <v>1</v>
      </c>
      <c r="F264" s="877"/>
      <c r="G264" s="49">
        <f t="shared" si="40"/>
        <v>1</v>
      </c>
      <c r="H264" s="877"/>
      <c r="I264" s="49">
        <f t="shared" si="41"/>
        <v>1</v>
      </c>
      <c r="J264" s="877"/>
      <c r="K264" s="49">
        <f t="shared" si="42"/>
        <v>1</v>
      </c>
      <c r="L264" s="877"/>
      <c r="M264" s="49">
        <f t="shared" si="43"/>
        <v>1</v>
      </c>
      <c r="N264" s="877"/>
      <c r="O264" s="49">
        <f t="shared" si="44"/>
        <v>1</v>
      </c>
      <c r="P264" s="877"/>
      <c r="Q264" s="49">
        <f t="shared" si="45"/>
        <v>1</v>
      </c>
      <c r="R264" s="49">
        <f t="shared" si="46"/>
        <v>0</v>
      </c>
      <c r="S264" s="732">
        <f t="shared" si="47"/>
        <v>0</v>
      </c>
    </row>
    <row r="265" spans="1:19">
      <c r="A265" s="878"/>
      <c r="B265" s="126"/>
      <c r="C265" s="49">
        <f t="shared" si="38"/>
        <v>1</v>
      </c>
      <c r="D265" s="877"/>
      <c r="E265" s="49">
        <f t="shared" si="39"/>
        <v>1</v>
      </c>
      <c r="F265" s="877"/>
      <c r="G265" s="49">
        <f t="shared" si="40"/>
        <v>1</v>
      </c>
      <c r="H265" s="877"/>
      <c r="I265" s="49">
        <f t="shared" si="41"/>
        <v>1</v>
      </c>
      <c r="J265" s="877"/>
      <c r="K265" s="49">
        <f t="shared" si="42"/>
        <v>1</v>
      </c>
      <c r="L265" s="877"/>
      <c r="M265" s="49">
        <f t="shared" si="43"/>
        <v>1</v>
      </c>
      <c r="N265" s="877"/>
      <c r="O265" s="49">
        <f t="shared" si="44"/>
        <v>1</v>
      </c>
      <c r="P265" s="877"/>
      <c r="Q265" s="49">
        <f t="shared" si="45"/>
        <v>1</v>
      </c>
      <c r="R265" s="49">
        <f t="shared" si="46"/>
        <v>0</v>
      </c>
      <c r="S265" s="732">
        <f t="shared" si="47"/>
        <v>0</v>
      </c>
    </row>
    <row r="266" spans="1:19">
      <c r="A266" s="878"/>
      <c r="B266" s="126"/>
      <c r="C266" s="49">
        <f t="shared" si="38"/>
        <v>1</v>
      </c>
      <c r="D266" s="877"/>
      <c r="E266" s="49">
        <f t="shared" si="39"/>
        <v>1</v>
      </c>
      <c r="F266" s="877"/>
      <c r="G266" s="49">
        <f t="shared" si="40"/>
        <v>1</v>
      </c>
      <c r="H266" s="877"/>
      <c r="I266" s="49">
        <f t="shared" si="41"/>
        <v>1</v>
      </c>
      <c r="J266" s="877"/>
      <c r="K266" s="49">
        <f t="shared" si="42"/>
        <v>1</v>
      </c>
      <c r="L266" s="877"/>
      <c r="M266" s="49">
        <f t="shared" si="43"/>
        <v>1</v>
      </c>
      <c r="N266" s="877"/>
      <c r="O266" s="49">
        <f t="shared" si="44"/>
        <v>1</v>
      </c>
      <c r="P266" s="877"/>
      <c r="Q266" s="49">
        <f t="shared" si="45"/>
        <v>1</v>
      </c>
      <c r="R266" s="49">
        <f t="shared" si="46"/>
        <v>0</v>
      </c>
      <c r="S266" s="732">
        <f t="shared" si="47"/>
        <v>0</v>
      </c>
    </row>
    <row r="267" spans="1:19">
      <c r="A267" s="878"/>
      <c r="B267" s="126"/>
      <c r="C267" s="49">
        <f t="shared" si="38"/>
        <v>1</v>
      </c>
      <c r="D267" s="877"/>
      <c r="E267" s="49">
        <f t="shared" si="39"/>
        <v>1</v>
      </c>
      <c r="F267" s="877"/>
      <c r="G267" s="49">
        <f t="shared" si="40"/>
        <v>1</v>
      </c>
      <c r="H267" s="877"/>
      <c r="I267" s="49">
        <f t="shared" si="41"/>
        <v>1</v>
      </c>
      <c r="J267" s="877"/>
      <c r="K267" s="49">
        <f t="shared" si="42"/>
        <v>1</v>
      </c>
      <c r="L267" s="877"/>
      <c r="M267" s="49">
        <f t="shared" si="43"/>
        <v>1</v>
      </c>
      <c r="N267" s="877"/>
      <c r="O267" s="49">
        <f t="shared" si="44"/>
        <v>1</v>
      </c>
      <c r="P267" s="877"/>
      <c r="Q267" s="49">
        <f t="shared" si="45"/>
        <v>1</v>
      </c>
      <c r="R267" s="49">
        <f t="shared" si="46"/>
        <v>0</v>
      </c>
      <c r="S267" s="732">
        <f t="shared" si="47"/>
        <v>0</v>
      </c>
    </row>
    <row r="268" spans="1:19">
      <c r="A268" s="878"/>
      <c r="B268" s="126"/>
      <c r="C268" s="49">
        <f t="shared" si="38"/>
        <v>1</v>
      </c>
      <c r="D268" s="877"/>
      <c r="E268" s="49">
        <f t="shared" si="39"/>
        <v>1</v>
      </c>
      <c r="F268" s="877"/>
      <c r="G268" s="49">
        <f t="shared" si="40"/>
        <v>1</v>
      </c>
      <c r="H268" s="877"/>
      <c r="I268" s="49">
        <f t="shared" si="41"/>
        <v>1</v>
      </c>
      <c r="J268" s="877"/>
      <c r="K268" s="49">
        <f t="shared" si="42"/>
        <v>1</v>
      </c>
      <c r="L268" s="877"/>
      <c r="M268" s="49">
        <f t="shared" si="43"/>
        <v>1</v>
      </c>
      <c r="N268" s="877"/>
      <c r="O268" s="49">
        <f t="shared" si="44"/>
        <v>1</v>
      </c>
      <c r="P268" s="877"/>
      <c r="Q268" s="49">
        <f t="shared" si="45"/>
        <v>1</v>
      </c>
      <c r="R268" s="49">
        <f t="shared" si="46"/>
        <v>0</v>
      </c>
      <c r="S268" s="732">
        <f t="shared" si="47"/>
        <v>0</v>
      </c>
    </row>
    <row r="269" spans="1:19">
      <c r="A269" s="878"/>
      <c r="B269" s="126"/>
      <c r="C269" s="49">
        <f t="shared" si="38"/>
        <v>1</v>
      </c>
      <c r="D269" s="877"/>
      <c r="E269" s="49">
        <f t="shared" si="39"/>
        <v>1</v>
      </c>
      <c r="F269" s="877"/>
      <c r="G269" s="49">
        <f t="shared" si="40"/>
        <v>1</v>
      </c>
      <c r="H269" s="877"/>
      <c r="I269" s="49">
        <f t="shared" si="41"/>
        <v>1</v>
      </c>
      <c r="J269" s="877"/>
      <c r="K269" s="49">
        <f t="shared" si="42"/>
        <v>1</v>
      </c>
      <c r="L269" s="877"/>
      <c r="M269" s="49">
        <f t="shared" si="43"/>
        <v>1</v>
      </c>
      <c r="N269" s="877"/>
      <c r="O269" s="49">
        <f t="shared" si="44"/>
        <v>1</v>
      </c>
      <c r="P269" s="877"/>
      <c r="Q269" s="49">
        <f t="shared" si="45"/>
        <v>1</v>
      </c>
      <c r="R269" s="49">
        <f t="shared" si="46"/>
        <v>0</v>
      </c>
      <c r="S269" s="732">
        <f t="shared" si="47"/>
        <v>0</v>
      </c>
    </row>
    <row r="270" spans="1:19">
      <c r="A270" s="878"/>
      <c r="B270" s="126"/>
      <c r="C270" s="49">
        <f t="shared" si="38"/>
        <v>1</v>
      </c>
      <c r="D270" s="877"/>
      <c r="E270" s="49">
        <f t="shared" si="39"/>
        <v>1</v>
      </c>
      <c r="F270" s="877"/>
      <c r="G270" s="49">
        <f t="shared" si="40"/>
        <v>1</v>
      </c>
      <c r="H270" s="877"/>
      <c r="I270" s="49">
        <f t="shared" si="41"/>
        <v>1</v>
      </c>
      <c r="J270" s="877"/>
      <c r="K270" s="49">
        <f t="shared" si="42"/>
        <v>1</v>
      </c>
      <c r="L270" s="877"/>
      <c r="M270" s="49">
        <f t="shared" si="43"/>
        <v>1</v>
      </c>
      <c r="N270" s="877"/>
      <c r="O270" s="49">
        <f t="shared" si="44"/>
        <v>1</v>
      </c>
      <c r="P270" s="877"/>
      <c r="Q270" s="49">
        <f t="shared" si="45"/>
        <v>1</v>
      </c>
      <c r="R270" s="49">
        <f t="shared" si="46"/>
        <v>0</v>
      </c>
      <c r="S270" s="732">
        <f t="shared" si="47"/>
        <v>0</v>
      </c>
    </row>
    <row r="271" spans="1:19">
      <c r="A271" s="878"/>
      <c r="B271" s="126"/>
      <c r="C271" s="49">
        <f t="shared" si="38"/>
        <v>1</v>
      </c>
      <c r="D271" s="877"/>
      <c r="E271" s="49">
        <f t="shared" si="39"/>
        <v>1</v>
      </c>
      <c r="F271" s="877"/>
      <c r="G271" s="49">
        <f t="shared" si="40"/>
        <v>1</v>
      </c>
      <c r="H271" s="877"/>
      <c r="I271" s="49">
        <f t="shared" si="41"/>
        <v>1</v>
      </c>
      <c r="J271" s="877"/>
      <c r="K271" s="49">
        <f t="shared" si="42"/>
        <v>1</v>
      </c>
      <c r="L271" s="877"/>
      <c r="M271" s="49">
        <f t="shared" si="43"/>
        <v>1</v>
      </c>
      <c r="N271" s="877"/>
      <c r="O271" s="49">
        <f t="shared" si="44"/>
        <v>1</v>
      </c>
      <c r="P271" s="877"/>
      <c r="Q271" s="49">
        <f t="shared" si="45"/>
        <v>1</v>
      </c>
      <c r="R271" s="49">
        <f t="shared" si="46"/>
        <v>0</v>
      </c>
      <c r="S271" s="732">
        <f t="shared" si="47"/>
        <v>0</v>
      </c>
    </row>
    <row r="272" spans="1:19">
      <c r="A272" s="878"/>
      <c r="B272" s="126"/>
      <c r="C272" s="49">
        <f t="shared" si="38"/>
        <v>1</v>
      </c>
      <c r="D272" s="877"/>
      <c r="E272" s="49">
        <f t="shared" si="39"/>
        <v>1</v>
      </c>
      <c r="F272" s="877"/>
      <c r="G272" s="49">
        <f t="shared" si="40"/>
        <v>1</v>
      </c>
      <c r="H272" s="877"/>
      <c r="I272" s="49">
        <f t="shared" si="41"/>
        <v>1</v>
      </c>
      <c r="J272" s="877"/>
      <c r="K272" s="49">
        <f t="shared" si="42"/>
        <v>1</v>
      </c>
      <c r="L272" s="877"/>
      <c r="M272" s="49">
        <f t="shared" si="43"/>
        <v>1</v>
      </c>
      <c r="N272" s="877"/>
      <c r="O272" s="49">
        <f t="shared" si="44"/>
        <v>1</v>
      </c>
      <c r="P272" s="877"/>
      <c r="Q272" s="49">
        <f t="shared" si="45"/>
        <v>1</v>
      </c>
      <c r="R272" s="49">
        <f t="shared" si="46"/>
        <v>0</v>
      </c>
      <c r="S272" s="732">
        <f t="shared" si="47"/>
        <v>0</v>
      </c>
    </row>
    <row r="273" spans="1:19">
      <c r="A273" s="878"/>
      <c r="B273" s="126"/>
      <c r="C273" s="49">
        <f t="shared" si="38"/>
        <v>1</v>
      </c>
      <c r="D273" s="877"/>
      <c r="E273" s="49">
        <f t="shared" si="39"/>
        <v>1</v>
      </c>
      <c r="F273" s="877"/>
      <c r="G273" s="49">
        <f t="shared" si="40"/>
        <v>1</v>
      </c>
      <c r="H273" s="877"/>
      <c r="I273" s="49">
        <f t="shared" si="41"/>
        <v>1</v>
      </c>
      <c r="J273" s="877"/>
      <c r="K273" s="49">
        <f t="shared" si="42"/>
        <v>1</v>
      </c>
      <c r="L273" s="877"/>
      <c r="M273" s="49">
        <f t="shared" si="43"/>
        <v>1</v>
      </c>
      <c r="N273" s="877"/>
      <c r="O273" s="49">
        <f t="shared" si="44"/>
        <v>1</v>
      </c>
      <c r="P273" s="877"/>
      <c r="Q273" s="49">
        <f t="shared" si="45"/>
        <v>1</v>
      </c>
      <c r="R273" s="49">
        <f t="shared" si="46"/>
        <v>0</v>
      </c>
      <c r="S273" s="732">
        <f t="shared" si="47"/>
        <v>0</v>
      </c>
    </row>
    <row r="274" spans="1:19">
      <c r="A274" s="878"/>
      <c r="B274" s="126"/>
      <c r="C274" s="49">
        <f t="shared" si="38"/>
        <v>1</v>
      </c>
      <c r="D274" s="877"/>
      <c r="E274" s="49">
        <f t="shared" si="39"/>
        <v>1</v>
      </c>
      <c r="F274" s="877"/>
      <c r="G274" s="49">
        <f t="shared" si="40"/>
        <v>1</v>
      </c>
      <c r="H274" s="877"/>
      <c r="I274" s="49">
        <f t="shared" si="41"/>
        <v>1</v>
      </c>
      <c r="J274" s="877"/>
      <c r="K274" s="49">
        <f t="shared" si="42"/>
        <v>1</v>
      </c>
      <c r="L274" s="877"/>
      <c r="M274" s="49">
        <f t="shared" si="43"/>
        <v>1</v>
      </c>
      <c r="N274" s="877"/>
      <c r="O274" s="49">
        <f t="shared" si="44"/>
        <v>1</v>
      </c>
      <c r="P274" s="877"/>
      <c r="Q274" s="49">
        <f t="shared" si="45"/>
        <v>1</v>
      </c>
      <c r="R274" s="49">
        <f t="shared" si="46"/>
        <v>0</v>
      </c>
      <c r="S274" s="732">
        <f t="shared" si="47"/>
        <v>0</v>
      </c>
    </row>
    <row r="275" spans="1:19">
      <c r="A275" s="878"/>
      <c r="B275" s="126"/>
      <c r="C275" s="49">
        <f t="shared" si="38"/>
        <v>1</v>
      </c>
      <c r="D275" s="877"/>
      <c r="E275" s="49">
        <f t="shared" si="39"/>
        <v>1</v>
      </c>
      <c r="F275" s="877"/>
      <c r="G275" s="49">
        <f t="shared" si="40"/>
        <v>1</v>
      </c>
      <c r="H275" s="877"/>
      <c r="I275" s="49">
        <f t="shared" si="41"/>
        <v>1</v>
      </c>
      <c r="J275" s="877"/>
      <c r="K275" s="49">
        <f t="shared" si="42"/>
        <v>1</v>
      </c>
      <c r="L275" s="877"/>
      <c r="M275" s="49">
        <f t="shared" si="43"/>
        <v>1</v>
      </c>
      <c r="N275" s="877"/>
      <c r="O275" s="49">
        <f t="shared" si="44"/>
        <v>1</v>
      </c>
      <c r="P275" s="877"/>
      <c r="Q275" s="49">
        <f t="shared" si="45"/>
        <v>1</v>
      </c>
      <c r="R275" s="49">
        <f t="shared" si="46"/>
        <v>0</v>
      </c>
      <c r="S275" s="732">
        <f t="shared" si="47"/>
        <v>0</v>
      </c>
    </row>
    <row r="276" spans="1:19">
      <c r="A276" s="878"/>
      <c r="B276" s="126"/>
      <c r="C276" s="49">
        <f t="shared" si="38"/>
        <v>1</v>
      </c>
      <c r="D276" s="877"/>
      <c r="E276" s="49">
        <f t="shared" si="39"/>
        <v>1</v>
      </c>
      <c r="F276" s="877"/>
      <c r="G276" s="49">
        <f t="shared" si="40"/>
        <v>1</v>
      </c>
      <c r="H276" s="877"/>
      <c r="I276" s="49">
        <f t="shared" si="41"/>
        <v>1</v>
      </c>
      <c r="J276" s="877"/>
      <c r="K276" s="49">
        <f t="shared" si="42"/>
        <v>1</v>
      </c>
      <c r="L276" s="877"/>
      <c r="M276" s="49">
        <f t="shared" si="43"/>
        <v>1</v>
      </c>
      <c r="N276" s="877"/>
      <c r="O276" s="49">
        <f t="shared" si="44"/>
        <v>1</v>
      </c>
      <c r="P276" s="877"/>
      <c r="Q276" s="49">
        <f t="shared" si="45"/>
        <v>1</v>
      </c>
      <c r="R276" s="49">
        <f t="shared" si="46"/>
        <v>0</v>
      </c>
      <c r="S276" s="732">
        <f t="shared" si="47"/>
        <v>0</v>
      </c>
    </row>
    <row r="277" spans="1:19">
      <c r="A277" s="878"/>
      <c r="B277" s="126"/>
      <c r="C277" s="49">
        <f t="shared" si="38"/>
        <v>1</v>
      </c>
      <c r="D277" s="877"/>
      <c r="E277" s="49">
        <f t="shared" si="39"/>
        <v>1</v>
      </c>
      <c r="F277" s="877"/>
      <c r="G277" s="49">
        <f t="shared" si="40"/>
        <v>1</v>
      </c>
      <c r="H277" s="877"/>
      <c r="I277" s="49">
        <f t="shared" si="41"/>
        <v>1</v>
      </c>
      <c r="J277" s="877"/>
      <c r="K277" s="49">
        <f t="shared" si="42"/>
        <v>1</v>
      </c>
      <c r="L277" s="877"/>
      <c r="M277" s="49">
        <f t="shared" si="43"/>
        <v>1</v>
      </c>
      <c r="N277" s="877"/>
      <c r="O277" s="49">
        <f t="shared" si="44"/>
        <v>1</v>
      </c>
      <c r="P277" s="877"/>
      <c r="Q277" s="49">
        <f t="shared" si="45"/>
        <v>1</v>
      </c>
      <c r="R277" s="49">
        <f t="shared" si="46"/>
        <v>0</v>
      </c>
      <c r="S277" s="732">
        <f t="shared" si="47"/>
        <v>0</v>
      </c>
    </row>
    <row r="278" spans="1:19">
      <c r="A278" s="878"/>
      <c r="B278" s="126"/>
      <c r="C278" s="49">
        <f t="shared" si="38"/>
        <v>1</v>
      </c>
      <c r="D278" s="877"/>
      <c r="E278" s="49">
        <f t="shared" si="39"/>
        <v>1</v>
      </c>
      <c r="F278" s="877"/>
      <c r="G278" s="49">
        <f t="shared" si="40"/>
        <v>1</v>
      </c>
      <c r="H278" s="877"/>
      <c r="I278" s="49">
        <f t="shared" si="41"/>
        <v>1</v>
      </c>
      <c r="J278" s="877"/>
      <c r="K278" s="49">
        <f t="shared" si="42"/>
        <v>1</v>
      </c>
      <c r="L278" s="877"/>
      <c r="M278" s="49">
        <f t="shared" si="43"/>
        <v>1</v>
      </c>
      <c r="N278" s="877"/>
      <c r="O278" s="49">
        <f t="shared" si="44"/>
        <v>1</v>
      </c>
      <c r="P278" s="877"/>
      <c r="Q278" s="49">
        <f t="shared" si="45"/>
        <v>1</v>
      </c>
      <c r="R278" s="49">
        <f t="shared" si="46"/>
        <v>0</v>
      </c>
      <c r="S278" s="732">
        <f t="shared" si="47"/>
        <v>0</v>
      </c>
    </row>
    <row r="279" spans="1:19">
      <c r="A279" s="878"/>
      <c r="B279" s="126"/>
      <c r="C279" s="49">
        <f t="shared" si="38"/>
        <v>1</v>
      </c>
      <c r="D279" s="877"/>
      <c r="E279" s="49">
        <f t="shared" si="39"/>
        <v>1</v>
      </c>
      <c r="F279" s="877"/>
      <c r="G279" s="49">
        <f t="shared" si="40"/>
        <v>1</v>
      </c>
      <c r="H279" s="877"/>
      <c r="I279" s="49">
        <f t="shared" si="41"/>
        <v>1</v>
      </c>
      <c r="J279" s="877"/>
      <c r="K279" s="49">
        <f t="shared" si="42"/>
        <v>1</v>
      </c>
      <c r="L279" s="877"/>
      <c r="M279" s="49">
        <f t="shared" si="43"/>
        <v>1</v>
      </c>
      <c r="N279" s="877"/>
      <c r="O279" s="49">
        <f t="shared" si="44"/>
        <v>1</v>
      </c>
      <c r="P279" s="877"/>
      <c r="Q279" s="49">
        <f t="shared" si="45"/>
        <v>1</v>
      </c>
      <c r="R279" s="49">
        <f t="shared" si="46"/>
        <v>0</v>
      </c>
      <c r="S279" s="732">
        <f t="shared" si="47"/>
        <v>0</v>
      </c>
    </row>
    <row r="280" spans="1:19">
      <c r="A280" s="878"/>
      <c r="B280" s="126"/>
      <c r="C280" s="49">
        <f t="shared" si="38"/>
        <v>1</v>
      </c>
      <c r="D280" s="877"/>
      <c r="E280" s="49">
        <f t="shared" si="39"/>
        <v>1</v>
      </c>
      <c r="F280" s="877"/>
      <c r="G280" s="49">
        <f t="shared" si="40"/>
        <v>1</v>
      </c>
      <c r="H280" s="877"/>
      <c r="I280" s="49">
        <f t="shared" si="41"/>
        <v>1</v>
      </c>
      <c r="J280" s="877"/>
      <c r="K280" s="49">
        <f t="shared" si="42"/>
        <v>1</v>
      </c>
      <c r="L280" s="877"/>
      <c r="M280" s="49">
        <f t="shared" si="43"/>
        <v>1</v>
      </c>
      <c r="N280" s="877"/>
      <c r="O280" s="49">
        <f t="shared" si="44"/>
        <v>1</v>
      </c>
      <c r="P280" s="877"/>
      <c r="Q280" s="49">
        <f t="shared" si="45"/>
        <v>1</v>
      </c>
      <c r="R280" s="49">
        <f t="shared" si="46"/>
        <v>0</v>
      </c>
      <c r="S280" s="732">
        <f t="shared" si="47"/>
        <v>0</v>
      </c>
    </row>
    <row r="281" spans="1:19">
      <c r="A281" s="878"/>
      <c r="B281" s="126"/>
      <c r="C281" s="49">
        <f t="shared" si="38"/>
        <v>1</v>
      </c>
      <c r="D281" s="877"/>
      <c r="E281" s="49">
        <f t="shared" si="39"/>
        <v>1</v>
      </c>
      <c r="F281" s="877"/>
      <c r="G281" s="49">
        <f t="shared" si="40"/>
        <v>1</v>
      </c>
      <c r="H281" s="877"/>
      <c r="I281" s="49">
        <f t="shared" si="41"/>
        <v>1</v>
      </c>
      <c r="J281" s="877"/>
      <c r="K281" s="49">
        <f t="shared" si="42"/>
        <v>1</v>
      </c>
      <c r="L281" s="877"/>
      <c r="M281" s="49">
        <f t="shared" si="43"/>
        <v>1</v>
      </c>
      <c r="N281" s="877"/>
      <c r="O281" s="49">
        <f t="shared" si="44"/>
        <v>1</v>
      </c>
      <c r="P281" s="877"/>
      <c r="Q281" s="49">
        <f t="shared" si="45"/>
        <v>1</v>
      </c>
      <c r="R281" s="49">
        <f t="shared" si="46"/>
        <v>0</v>
      </c>
      <c r="S281" s="732">
        <f t="shared" si="47"/>
        <v>0</v>
      </c>
    </row>
    <row r="282" spans="1:19">
      <c r="A282" s="878"/>
      <c r="B282" s="126"/>
      <c r="C282" s="49">
        <f t="shared" ref="C282:C345" si="48">IF(B282="",1,(LOOKUP(B282,$3:$3,$4:$4)-LOOKUP($B$24,$3:$3,$4:$4)+100)/100)</f>
        <v>1</v>
      </c>
      <c r="D282" s="877"/>
      <c r="E282" s="49">
        <f t="shared" ref="E282:E345" si="49">(SUMIF($5:$5,D282,$6:$6)-SUMIF($5:$5,$D$24,$6:$6)+100)/100</f>
        <v>1</v>
      </c>
      <c r="F282" s="877"/>
      <c r="G282" s="49">
        <f t="shared" ref="G282:G345" si="50">(SUMIF($7:$7,F282,$8:$8)-SUMIF($7:$7,$F$24,$8:$8)+100)/100</f>
        <v>1</v>
      </c>
      <c r="H282" s="877"/>
      <c r="I282" s="49">
        <f t="shared" ref="I282:I345" si="51">(SUMIF($9:$9,H282,$10:$10)-SUMIF($9:$9,$H$24,$10:$10)+100)/100</f>
        <v>1</v>
      </c>
      <c r="J282" s="877"/>
      <c r="K282" s="49">
        <f t="shared" ref="K282:K345" si="52">(SUMIF($11:$11,J282,$12:$12)-SUMIF($11:$11,$J$24,$12:$12)+100)/100</f>
        <v>1</v>
      </c>
      <c r="L282" s="877"/>
      <c r="M282" s="49">
        <f t="shared" ref="M282:M345" si="53">(SUMIF($13:$13,L282,$14:$14)-SUMIF($13:$13,$L$24,$14:$14)+100)/100</f>
        <v>1</v>
      </c>
      <c r="N282" s="877"/>
      <c r="O282" s="49">
        <f t="shared" ref="O282:O345" si="54">(SUMIF($15:$15,N282,$16:$16)-SUMIF($15:$15,$N$24,$16:$16)+100)/100</f>
        <v>1</v>
      </c>
      <c r="P282" s="877"/>
      <c r="Q282" s="49">
        <f t="shared" ref="Q282:Q345" si="55">(SUMIF($17:$17,P282,$18:$18)-SUMIF($17:$17,$P$24,$18:$18)+100)/100</f>
        <v>1</v>
      </c>
      <c r="R282" s="49">
        <f t="shared" ref="R282:R345" si="56">IF(B282="",0,ROUND($R$24*C282*E282*G282*I282*K282*M282*O282*Q282,0))</f>
        <v>0</v>
      </c>
      <c r="S282" s="732">
        <f t="shared" si="47"/>
        <v>0</v>
      </c>
    </row>
    <row r="283" spans="1:19">
      <c r="A283" s="878"/>
      <c r="B283" s="126"/>
      <c r="C283" s="49">
        <f t="shared" si="48"/>
        <v>1</v>
      </c>
      <c r="D283" s="877"/>
      <c r="E283" s="49">
        <f t="shared" si="49"/>
        <v>1</v>
      </c>
      <c r="F283" s="877"/>
      <c r="G283" s="49">
        <f t="shared" si="50"/>
        <v>1</v>
      </c>
      <c r="H283" s="877"/>
      <c r="I283" s="49">
        <f t="shared" si="51"/>
        <v>1</v>
      </c>
      <c r="J283" s="877"/>
      <c r="K283" s="49">
        <f t="shared" si="52"/>
        <v>1</v>
      </c>
      <c r="L283" s="877"/>
      <c r="M283" s="49">
        <f t="shared" si="53"/>
        <v>1</v>
      </c>
      <c r="N283" s="877"/>
      <c r="O283" s="49">
        <f t="shared" si="54"/>
        <v>1</v>
      </c>
      <c r="P283" s="877"/>
      <c r="Q283" s="49">
        <f t="shared" si="55"/>
        <v>1</v>
      </c>
      <c r="R283" s="49">
        <f t="shared" si="56"/>
        <v>0</v>
      </c>
      <c r="S283" s="732">
        <f t="shared" si="47"/>
        <v>0</v>
      </c>
    </row>
    <row r="284" spans="1:19">
      <c r="A284" s="878"/>
      <c r="B284" s="126"/>
      <c r="C284" s="49">
        <f t="shared" si="48"/>
        <v>1</v>
      </c>
      <c r="D284" s="877"/>
      <c r="E284" s="49">
        <f t="shared" si="49"/>
        <v>1</v>
      </c>
      <c r="F284" s="877"/>
      <c r="G284" s="49">
        <f t="shared" si="50"/>
        <v>1</v>
      </c>
      <c r="H284" s="877"/>
      <c r="I284" s="49">
        <f t="shared" si="51"/>
        <v>1</v>
      </c>
      <c r="J284" s="877"/>
      <c r="K284" s="49">
        <f t="shared" si="52"/>
        <v>1</v>
      </c>
      <c r="L284" s="877"/>
      <c r="M284" s="49">
        <f t="shared" si="53"/>
        <v>1</v>
      </c>
      <c r="N284" s="877"/>
      <c r="O284" s="49">
        <f t="shared" si="54"/>
        <v>1</v>
      </c>
      <c r="P284" s="877"/>
      <c r="Q284" s="49">
        <f t="shared" si="55"/>
        <v>1</v>
      </c>
      <c r="R284" s="49">
        <f t="shared" si="56"/>
        <v>0</v>
      </c>
      <c r="S284" s="732">
        <f t="shared" si="47"/>
        <v>0</v>
      </c>
    </row>
    <row r="285" spans="1:19">
      <c r="A285" s="878"/>
      <c r="B285" s="126"/>
      <c r="C285" s="49">
        <f t="shared" si="48"/>
        <v>1</v>
      </c>
      <c r="D285" s="877"/>
      <c r="E285" s="49">
        <f t="shared" si="49"/>
        <v>1</v>
      </c>
      <c r="F285" s="877"/>
      <c r="G285" s="49">
        <f t="shared" si="50"/>
        <v>1</v>
      </c>
      <c r="H285" s="877"/>
      <c r="I285" s="49">
        <f t="shared" si="51"/>
        <v>1</v>
      </c>
      <c r="J285" s="877"/>
      <c r="K285" s="49">
        <f t="shared" si="52"/>
        <v>1</v>
      </c>
      <c r="L285" s="877"/>
      <c r="M285" s="49">
        <f t="shared" si="53"/>
        <v>1</v>
      </c>
      <c r="N285" s="877"/>
      <c r="O285" s="49">
        <f t="shared" si="54"/>
        <v>1</v>
      </c>
      <c r="P285" s="877"/>
      <c r="Q285" s="49">
        <f t="shared" si="55"/>
        <v>1</v>
      </c>
      <c r="R285" s="49">
        <f t="shared" si="56"/>
        <v>0</v>
      </c>
      <c r="S285" s="732">
        <f t="shared" si="47"/>
        <v>0</v>
      </c>
    </row>
    <row r="286" spans="1:19">
      <c r="A286" s="878"/>
      <c r="B286" s="126"/>
      <c r="C286" s="49">
        <f t="shared" si="48"/>
        <v>1</v>
      </c>
      <c r="D286" s="877"/>
      <c r="E286" s="49">
        <f t="shared" si="49"/>
        <v>1</v>
      </c>
      <c r="F286" s="877"/>
      <c r="G286" s="49">
        <f t="shared" si="50"/>
        <v>1</v>
      </c>
      <c r="H286" s="877"/>
      <c r="I286" s="49">
        <f t="shared" si="51"/>
        <v>1</v>
      </c>
      <c r="J286" s="877"/>
      <c r="K286" s="49">
        <f t="shared" si="52"/>
        <v>1</v>
      </c>
      <c r="L286" s="877"/>
      <c r="M286" s="49">
        <f t="shared" si="53"/>
        <v>1</v>
      </c>
      <c r="N286" s="877"/>
      <c r="O286" s="49">
        <f t="shared" si="54"/>
        <v>1</v>
      </c>
      <c r="P286" s="877"/>
      <c r="Q286" s="49">
        <f t="shared" si="55"/>
        <v>1</v>
      </c>
      <c r="R286" s="49">
        <f t="shared" si="56"/>
        <v>0</v>
      </c>
      <c r="S286" s="732">
        <f t="shared" si="47"/>
        <v>0</v>
      </c>
    </row>
    <row r="287" spans="1:19">
      <c r="A287" s="878"/>
      <c r="B287" s="126"/>
      <c r="C287" s="49">
        <f t="shared" si="48"/>
        <v>1</v>
      </c>
      <c r="D287" s="877"/>
      <c r="E287" s="49">
        <f t="shared" si="49"/>
        <v>1</v>
      </c>
      <c r="F287" s="877"/>
      <c r="G287" s="49">
        <f t="shared" si="50"/>
        <v>1</v>
      </c>
      <c r="H287" s="877"/>
      <c r="I287" s="49">
        <f t="shared" si="51"/>
        <v>1</v>
      </c>
      <c r="J287" s="877"/>
      <c r="K287" s="49">
        <f t="shared" si="52"/>
        <v>1</v>
      </c>
      <c r="L287" s="877"/>
      <c r="M287" s="49">
        <f t="shared" si="53"/>
        <v>1</v>
      </c>
      <c r="N287" s="877"/>
      <c r="O287" s="49">
        <f t="shared" si="54"/>
        <v>1</v>
      </c>
      <c r="P287" s="877"/>
      <c r="Q287" s="49">
        <f t="shared" si="55"/>
        <v>1</v>
      </c>
      <c r="R287" s="49">
        <f t="shared" si="56"/>
        <v>0</v>
      </c>
      <c r="S287" s="732">
        <f t="shared" ref="S287:S320" si="57">ROUND(R287*B287/10000,0)</f>
        <v>0</v>
      </c>
    </row>
    <row r="288" spans="1:19">
      <c r="A288" s="878"/>
      <c r="B288" s="126"/>
      <c r="C288" s="49">
        <f t="shared" si="48"/>
        <v>1</v>
      </c>
      <c r="D288" s="877"/>
      <c r="E288" s="49">
        <f t="shared" si="49"/>
        <v>1</v>
      </c>
      <c r="F288" s="877"/>
      <c r="G288" s="49">
        <f t="shared" si="50"/>
        <v>1</v>
      </c>
      <c r="H288" s="877"/>
      <c r="I288" s="49">
        <f t="shared" si="51"/>
        <v>1</v>
      </c>
      <c r="J288" s="877"/>
      <c r="K288" s="49">
        <f t="shared" si="52"/>
        <v>1</v>
      </c>
      <c r="L288" s="877"/>
      <c r="M288" s="49">
        <f t="shared" si="53"/>
        <v>1</v>
      </c>
      <c r="N288" s="877"/>
      <c r="O288" s="49">
        <f t="shared" si="54"/>
        <v>1</v>
      </c>
      <c r="P288" s="877"/>
      <c r="Q288" s="49">
        <f t="shared" si="55"/>
        <v>1</v>
      </c>
      <c r="R288" s="49">
        <f t="shared" si="56"/>
        <v>0</v>
      </c>
      <c r="S288" s="732">
        <f t="shared" si="57"/>
        <v>0</v>
      </c>
    </row>
    <row r="289" spans="1:19">
      <c r="A289" s="878"/>
      <c r="B289" s="126"/>
      <c r="C289" s="49">
        <f t="shared" si="48"/>
        <v>1</v>
      </c>
      <c r="D289" s="877"/>
      <c r="E289" s="49">
        <f t="shared" si="49"/>
        <v>1</v>
      </c>
      <c r="F289" s="877"/>
      <c r="G289" s="49">
        <f t="shared" si="50"/>
        <v>1</v>
      </c>
      <c r="H289" s="877"/>
      <c r="I289" s="49">
        <f t="shared" si="51"/>
        <v>1</v>
      </c>
      <c r="J289" s="877"/>
      <c r="K289" s="49">
        <f t="shared" si="52"/>
        <v>1</v>
      </c>
      <c r="L289" s="877"/>
      <c r="M289" s="49">
        <f t="shared" si="53"/>
        <v>1</v>
      </c>
      <c r="N289" s="877"/>
      <c r="O289" s="49">
        <f t="shared" si="54"/>
        <v>1</v>
      </c>
      <c r="P289" s="877"/>
      <c r="Q289" s="49">
        <f t="shared" si="55"/>
        <v>1</v>
      </c>
      <c r="R289" s="49">
        <f t="shared" si="56"/>
        <v>0</v>
      </c>
      <c r="S289" s="732">
        <f t="shared" si="57"/>
        <v>0</v>
      </c>
    </row>
    <row r="290" spans="1:19">
      <c r="A290" s="878"/>
      <c r="B290" s="126"/>
      <c r="C290" s="49">
        <f t="shared" si="48"/>
        <v>1</v>
      </c>
      <c r="D290" s="877"/>
      <c r="E290" s="49">
        <f t="shared" si="49"/>
        <v>1</v>
      </c>
      <c r="F290" s="877"/>
      <c r="G290" s="49">
        <f t="shared" si="50"/>
        <v>1</v>
      </c>
      <c r="H290" s="877"/>
      <c r="I290" s="49">
        <f t="shared" si="51"/>
        <v>1</v>
      </c>
      <c r="J290" s="877"/>
      <c r="K290" s="49">
        <f t="shared" si="52"/>
        <v>1</v>
      </c>
      <c r="L290" s="877"/>
      <c r="M290" s="49">
        <f t="shared" si="53"/>
        <v>1</v>
      </c>
      <c r="N290" s="877"/>
      <c r="O290" s="49">
        <f t="shared" si="54"/>
        <v>1</v>
      </c>
      <c r="P290" s="877"/>
      <c r="Q290" s="49">
        <f t="shared" si="55"/>
        <v>1</v>
      </c>
      <c r="R290" s="49">
        <f t="shared" si="56"/>
        <v>0</v>
      </c>
      <c r="S290" s="732">
        <f t="shared" si="57"/>
        <v>0</v>
      </c>
    </row>
    <row r="291" spans="1:19">
      <c r="A291" s="878"/>
      <c r="B291" s="126"/>
      <c r="C291" s="49">
        <f t="shared" si="48"/>
        <v>1</v>
      </c>
      <c r="D291" s="877"/>
      <c r="E291" s="49">
        <f t="shared" si="49"/>
        <v>1</v>
      </c>
      <c r="F291" s="877"/>
      <c r="G291" s="49">
        <f t="shared" si="50"/>
        <v>1</v>
      </c>
      <c r="H291" s="877"/>
      <c r="I291" s="49">
        <f t="shared" si="51"/>
        <v>1</v>
      </c>
      <c r="J291" s="877"/>
      <c r="K291" s="49">
        <f t="shared" si="52"/>
        <v>1</v>
      </c>
      <c r="L291" s="877"/>
      <c r="M291" s="49">
        <f t="shared" si="53"/>
        <v>1</v>
      </c>
      <c r="N291" s="877"/>
      <c r="O291" s="49">
        <f t="shared" si="54"/>
        <v>1</v>
      </c>
      <c r="P291" s="877"/>
      <c r="Q291" s="49">
        <f t="shared" si="55"/>
        <v>1</v>
      </c>
      <c r="R291" s="49">
        <f t="shared" si="56"/>
        <v>0</v>
      </c>
      <c r="S291" s="732">
        <f t="shared" si="57"/>
        <v>0</v>
      </c>
    </row>
    <row r="292" spans="1:19">
      <c r="A292" s="878"/>
      <c r="B292" s="126"/>
      <c r="C292" s="49">
        <f t="shared" si="48"/>
        <v>1</v>
      </c>
      <c r="D292" s="877"/>
      <c r="E292" s="49">
        <f t="shared" si="49"/>
        <v>1</v>
      </c>
      <c r="F292" s="877"/>
      <c r="G292" s="49">
        <f t="shared" si="50"/>
        <v>1</v>
      </c>
      <c r="H292" s="877"/>
      <c r="I292" s="49">
        <f t="shared" si="51"/>
        <v>1</v>
      </c>
      <c r="J292" s="877"/>
      <c r="K292" s="49">
        <f t="shared" si="52"/>
        <v>1</v>
      </c>
      <c r="L292" s="877"/>
      <c r="M292" s="49">
        <f t="shared" si="53"/>
        <v>1</v>
      </c>
      <c r="N292" s="877"/>
      <c r="O292" s="49">
        <f t="shared" si="54"/>
        <v>1</v>
      </c>
      <c r="P292" s="877"/>
      <c r="Q292" s="49">
        <f t="shared" si="55"/>
        <v>1</v>
      </c>
      <c r="R292" s="49">
        <f t="shared" si="56"/>
        <v>0</v>
      </c>
      <c r="S292" s="732">
        <f t="shared" si="57"/>
        <v>0</v>
      </c>
    </row>
    <row r="293" spans="1:19">
      <c r="A293" s="878"/>
      <c r="B293" s="126"/>
      <c r="C293" s="49">
        <f t="shared" si="48"/>
        <v>1</v>
      </c>
      <c r="D293" s="877"/>
      <c r="E293" s="49">
        <f t="shared" si="49"/>
        <v>1</v>
      </c>
      <c r="F293" s="877"/>
      <c r="G293" s="49">
        <f t="shared" si="50"/>
        <v>1</v>
      </c>
      <c r="H293" s="877"/>
      <c r="I293" s="49">
        <f t="shared" si="51"/>
        <v>1</v>
      </c>
      <c r="J293" s="877"/>
      <c r="K293" s="49">
        <f t="shared" si="52"/>
        <v>1</v>
      </c>
      <c r="L293" s="877"/>
      <c r="M293" s="49">
        <f t="shared" si="53"/>
        <v>1</v>
      </c>
      <c r="N293" s="877"/>
      <c r="O293" s="49">
        <f t="shared" si="54"/>
        <v>1</v>
      </c>
      <c r="P293" s="877"/>
      <c r="Q293" s="49">
        <f t="shared" si="55"/>
        <v>1</v>
      </c>
      <c r="R293" s="49">
        <f t="shared" si="56"/>
        <v>0</v>
      </c>
      <c r="S293" s="732">
        <f t="shared" si="57"/>
        <v>0</v>
      </c>
    </row>
    <row r="294" spans="1:19">
      <c r="A294" s="878"/>
      <c r="B294" s="126"/>
      <c r="C294" s="49">
        <f t="shared" si="48"/>
        <v>1</v>
      </c>
      <c r="D294" s="877"/>
      <c r="E294" s="49">
        <f t="shared" si="49"/>
        <v>1</v>
      </c>
      <c r="F294" s="877"/>
      <c r="G294" s="49">
        <f t="shared" si="50"/>
        <v>1</v>
      </c>
      <c r="H294" s="877"/>
      <c r="I294" s="49">
        <f t="shared" si="51"/>
        <v>1</v>
      </c>
      <c r="J294" s="877"/>
      <c r="K294" s="49">
        <f t="shared" si="52"/>
        <v>1</v>
      </c>
      <c r="L294" s="877"/>
      <c r="M294" s="49">
        <f t="shared" si="53"/>
        <v>1</v>
      </c>
      <c r="N294" s="877"/>
      <c r="O294" s="49">
        <f t="shared" si="54"/>
        <v>1</v>
      </c>
      <c r="P294" s="877"/>
      <c r="Q294" s="49">
        <f t="shared" si="55"/>
        <v>1</v>
      </c>
      <c r="R294" s="49">
        <f t="shared" si="56"/>
        <v>0</v>
      </c>
      <c r="S294" s="732">
        <f t="shared" si="57"/>
        <v>0</v>
      </c>
    </row>
    <row r="295" spans="1:19">
      <c r="A295" s="878"/>
      <c r="B295" s="126"/>
      <c r="C295" s="49">
        <f t="shared" si="48"/>
        <v>1</v>
      </c>
      <c r="D295" s="877"/>
      <c r="E295" s="49">
        <f t="shared" si="49"/>
        <v>1</v>
      </c>
      <c r="F295" s="877"/>
      <c r="G295" s="49">
        <f t="shared" si="50"/>
        <v>1</v>
      </c>
      <c r="H295" s="877"/>
      <c r="I295" s="49">
        <f t="shared" si="51"/>
        <v>1</v>
      </c>
      <c r="J295" s="877"/>
      <c r="K295" s="49">
        <f t="shared" si="52"/>
        <v>1</v>
      </c>
      <c r="L295" s="877"/>
      <c r="M295" s="49">
        <f t="shared" si="53"/>
        <v>1</v>
      </c>
      <c r="N295" s="877"/>
      <c r="O295" s="49">
        <f t="shared" si="54"/>
        <v>1</v>
      </c>
      <c r="P295" s="877"/>
      <c r="Q295" s="49">
        <f t="shared" si="55"/>
        <v>1</v>
      </c>
      <c r="R295" s="49">
        <f t="shared" si="56"/>
        <v>0</v>
      </c>
      <c r="S295" s="732">
        <f t="shared" si="57"/>
        <v>0</v>
      </c>
    </row>
    <row r="296" spans="1:19">
      <c r="A296" s="878"/>
      <c r="B296" s="126"/>
      <c r="C296" s="49">
        <f t="shared" si="48"/>
        <v>1</v>
      </c>
      <c r="D296" s="877"/>
      <c r="E296" s="49">
        <f t="shared" si="49"/>
        <v>1</v>
      </c>
      <c r="F296" s="877"/>
      <c r="G296" s="49">
        <f t="shared" si="50"/>
        <v>1</v>
      </c>
      <c r="H296" s="877"/>
      <c r="I296" s="49">
        <f t="shared" si="51"/>
        <v>1</v>
      </c>
      <c r="J296" s="877"/>
      <c r="K296" s="49">
        <f t="shared" si="52"/>
        <v>1</v>
      </c>
      <c r="L296" s="877"/>
      <c r="M296" s="49">
        <f t="shared" si="53"/>
        <v>1</v>
      </c>
      <c r="N296" s="877"/>
      <c r="O296" s="49">
        <f t="shared" si="54"/>
        <v>1</v>
      </c>
      <c r="P296" s="877"/>
      <c r="Q296" s="49">
        <f t="shared" si="55"/>
        <v>1</v>
      </c>
      <c r="R296" s="49">
        <f t="shared" si="56"/>
        <v>0</v>
      </c>
      <c r="S296" s="732">
        <f t="shared" si="57"/>
        <v>0</v>
      </c>
    </row>
    <row r="297" spans="1:19">
      <c r="A297" s="878"/>
      <c r="B297" s="126"/>
      <c r="C297" s="49">
        <f t="shared" si="48"/>
        <v>1</v>
      </c>
      <c r="D297" s="877"/>
      <c r="E297" s="49">
        <f t="shared" si="49"/>
        <v>1</v>
      </c>
      <c r="F297" s="877"/>
      <c r="G297" s="49">
        <f t="shared" si="50"/>
        <v>1</v>
      </c>
      <c r="H297" s="877"/>
      <c r="I297" s="49">
        <f t="shared" si="51"/>
        <v>1</v>
      </c>
      <c r="J297" s="877"/>
      <c r="K297" s="49">
        <f t="shared" si="52"/>
        <v>1</v>
      </c>
      <c r="L297" s="877"/>
      <c r="M297" s="49">
        <f t="shared" si="53"/>
        <v>1</v>
      </c>
      <c r="N297" s="877"/>
      <c r="O297" s="49">
        <f t="shared" si="54"/>
        <v>1</v>
      </c>
      <c r="P297" s="877"/>
      <c r="Q297" s="49">
        <f t="shared" si="55"/>
        <v>1</v>
      </c>
      <c r="R297" s="49">
        <f t="shared" si="56"/>
        <v>0</v>
      </c>
      <c r="S297" s="732">
        <f t="shared" si="57"/>
        <v>0</v>
      </c>
    </row>
    <row r="298" spans="1:19">
      <c r="A298" s="878"/>
      <c r="B298" s="126"/>
      <c r="C298" s="49">
        <f t="shared" si="48"/>
        <v>1</v>
      </c>
      <c r="D298" s="877"/>
      <c r="E298" s="49">
        <f t="shared" si="49"/>
        <v>1</v>
      </c>
      <c r="F298" s="877"/>
      <c r="G298" s="49">
        <f t="shared" si="50"/>
        <v>1</v>
      </c>
      <c r="H298" s="877"/>
      <c r="I298" s="49">
        <f t="shared" si="51"/>
        <v>1</v>
      </c>
      <c r="J298" s="877"/>
      <c r="K298" s="49">
        <f t="shared" si="52"/>
        <v>1</v>
      </c>
      <c r="L298" s="877"/>
      <c r="M298" s="49">
        <f t="shared" si="53"/>
        <v>1</v>
      </c>
      <c r="N298" s="877"/>
      <c r="O298" s="49">
        <f t="shared" si="54"/>
        <v>1</v>
      </c>
      <c r="P298" s="877"/>
      <c r="Q298" s="49">
        <f t="shared" si="55"/>
        <v>1</v>
      </c>
      <c r="R298" s="49">
        <f t="shared" si="56"/>
        <v>0</v>
      </c>
      <c r="S298" s="732">
        <f t="shared" si="57"/>
        <v>0</v>
      </c>
    </row>
    <row r="299" spans="1:19">
      <c r="A299" s="878"/>
      <c r="B299" s="126"/>
      <c r="C299" s="49">
        <f t="shared" si="48"/>
        <v>1</v>
      </c>
      <c r="D299" s="877"/>
      <c r="E299" s="49">
        <f t="shared" si="49"/>
        <v>1</v>
      </c>
      <c r="F299" s="877"/>
      <c r="G299" s="49">
        <f t="shared" si="50"/>
        <v>1</v>
      </c>
      <c r="H299" s="877"/>
      <c r="I299" s="49">
        <f t="shared" si="51"/>
        <v>1</v>
      </c>
      <c r="J299" s="877"/>
      <c r="K299" s="49">
        <f t="shared" si="52"/>
        <v>1</v>
      </c>
      <c r="L299" s="877"/>
      <c r="M299" s="49">
        <f t="shared" si="53"/>
        <v>1</v>
      </c>
      <c r="N299" s="877"/>
      <c r="O299" s="49">
        <f t="shared" si="54"/>
        <v>1</v>
      </c>
      <c r="P299" s="877"/>
      <c r="Q299" s="49">
        <f t="shared" si="55"/>
        <v>1</v>
      </c>
      <c r="R299" s="49">
        <f t="shared" si="56"/>
        <v>0</v>
      </c>
      <c r="S299" s="732">
        <f t="shared" si="57"/>
        <v>0</v>
      </c>
    </row>
    <row r="300" spans="1:19">
      <c r="A300" s="878"/>
      <c r="B300" s="126"/>
      <c r="C300" s="49">
        <f t="shared" si="48"/>
        <v>1</v>
      </c>
      <c r="D300" s="877"/>
      <c r="E300" s="49">
        <f t="shared" si="49"/>
        <v>1</v>
      </c>
      <c r="F300" s="877"/>
      <c r="G300" s="49">
        <f t="shared" si="50"/>
        <v>1</v>
      </c>
      <c r="H300" s="877"/>
      <c r="I300" s="49">
        <f t="shared" si="51"/>
        <v>1</v>
      </c>
      <c r="J300" s="877"/>
      <c r="K300" s="49">
        <f t="shared" si="52"/>
        <v>1</v>
      </c>
      <c r="L300" s="877"/>
      <c r="M300" s="49">
        <f t="shared" si="53"/>
        <v>1</v>
      </c>
      <c r="N300" s="877"/>
      <c r="O300" s="49">
        <f t="shared" si="54"/>
        <v>1</v>
      </c>
      <c r="P300" s="877"/>
      <c r="Q300" s="49">
        <f t="shared" si="55"/>
        <v>1</v>
      </c>
      <c r="R300" s="49">
        <f t="shared" si="56"/>
        <v>0</v>
      </c>
      <c r="S300" s="732">
        <f t="shared" si="57"/>
        <v>0</v>
      </c>
    </row>
    <row r="301" spans="1:19">
      <c r="A301" s="878"/>
      <c r="B301" s="126"/>
      <c r="C301" s="49">
        <f t="shared" si="48"/>
        <v>1</v>
      </c>
      <c r="D301" s="877"/>
      <c r="E301" s="49">
        <f t="shared" si="49"/>
        <v>1</v>
      </c>
      <c r="F301" s="877"/>
      <c r="G301" s="49">
        <f t="shared" si="50"/>
        <v>1</v>
      </c>
      <c r="H301" s="877"/>
      <c r="I301" s="49">
        <f t="shared" si="51"/>
        <v>1</v>
      </c>
      <c r="J301" s="877"/>
      <c r="K301" s="49">
        <f t="shared" si="52"/>
        <v>1</v>
      </c>
      <c r="L301" s="877"/>
      <c r="M301" s="49">
        <f t="shared" si="53"/>
        <v>1</v>
      </c>
      <c r="N301" s="877"/>
      <c r="O301" s="49">
        <f t="shared" si="54"/>
        <v>1</v>
      </c>
      <c r="P301" s="877"/>
      <c r="Q301" s="49">
        <f t="shared" si="55"/>
        <v>1</v>
      </c>
      <c r="R301" s="49">
        <f t="shared" si="56"/>
        <v>0</v>
      </c>
      <c r="S301" s="732">
        <f t="shared" si="57"/>
        <v>0</v>
      </c>
    </row>
    <row r="302" spans="1:19">
      <c r="A302" s="878"/>
      <c r="B302" s="126"/>
      <c r="C302" s="49">
        <f t="shared" si="48"/>
        <v>1</v>
      </c>
      <c r="D302" s="877"/>
      <c r="E302" s="49">
        <f t="shared" si="49"/>
        <v>1</v>
      </c>
      <c r="F302" s="877"/>
      <c r="G302" s="49">
        <f t="shared" si="50"/>
        <v>1</v>
      </c>
      <c r="H302" s="877"/>
      <c r="I302" s="49">
        <f t="shared" si="51"/>
        <v>1</v>
      </c>
      <c r="J302" s="877"/>
      <c r="K302" s="49">
        <f t="shared" si="52"/>
        <v>1</v>
      </c>
      <c r="L302" s="877"/>
      <c r="M302" s="49">
        <f t="shared" si="53"/>
        <v>1</v>
      </c>
      <c r="N302" s="877"/>
      <c r="O302" s="49">
        <f t="shared" si="54"/>
        <v>1</v>
      </c>
      <c r="P302" s="877"/>
      <c r="Q302" s="49">
        <f t="shared" si="55"/>
        <v>1</v>
      </c>
      <c r="R302" s="49">
        <f t="shared" si="56"/>
        <v>0</v>
      </c>
      <c r="S302" s="732">
        <f t="shared" si="57"/>
        <v>0</v>
      </c>
    </row>
    <row r="303" spans="1:19">
      <c r="A303" s="878"/>
      <c r="B303" s="126"/>
      <c r="C303" s="49">
        <f t="shared" si="48"/>
        <v>1</v>
      </c>
      <c r="D303" s="877"/>
      <c r="E303" s="49">
        <f t="shared" si="49"/>
        <v>1</v>
      </c>
      <c r="F303" s="877"/>
      <c r="G303" s="49">
        <f t="shared" si="50"/>
        <v>1</v>
      </c>
      <c r="H303" s="877"/>
      <c r="I303" s="49">
        <f t="shared" si="51"/>
        <v>1</v>
      </c>
      <c r="J303" s="877"/>
      <c r="K303" s="49">
        <f t="shared" si="52"/>
        <v>1</v>
      </c>
      <c r="L303" s="877"/>
      <c r="M303" s="49">
        <f t="shared" si="53"/>
        <v>1</v>
      </c>
      <c r="N303" s="877"/>
      <c r="O303" s="49">
        <f t="shared" si="54"/>
        <v>1</v>
      </c>
      <c r="P303" s="877"/>
      <c r="Q303" s="49">
        <f t="shared" si="55"/>
        <v>1</v>
      </c>
      <c r="R303" s="49">
        <f t="shared" si="56"/>
        <v>0</v>
      </c>
      <c r="S303" s="732">
        <f t="shared" si="57"/>
        <v>0</v>
      </c>
    </row>
    <row r="304" spans="1:19">
      <c r="A304" s="878"/>
      <c r="B304" s="126"/>
      <c r="C304" s="49">
        <f t="shared" si="48"/>
        <v>1</v>
      </c>
      <c r="D304" s="877"/>
      <c r="E304" s="49">
        <f t="shared" si="49"/>
        <v>1</v>
      </c>
      <c r="F304" s="877"/>
      <c r="G304" s="49">
        <f t="shared" si="50"/>
        <v>1</v>
      </c>
      <c r="H304" s="877"/>
      <c r="I304" s="49">
        <f t="shared" si="51"/>
        <v>1</v>
      </c>
      <c r="J304" s="877"/>
      <c r="K304" s="49">
        <f t="shared" si="52"/>
        <v>1</v>
      </c>
      <c r="L304" s="877"/>
      <c r="M304" s="49">
        <f t="shared" si="53"/>
        <v>1</v>
      </c>
      <c r="N304" s="877"/>
      <c r="O304" s="49">
        <f t="shared" si="54"/>
        <v>1</v>
      </c>
      <c r="P304" s="877"/>
      <c r="Q304" s="49">
        <f t="shared" si="55"/>
        <v>1</v>
      </c>
      <c r="R304" s="49">
        <f t="shared" si="56"/>
        <v>0</v>
      </c>
      <c r="S304" s="732">
        <f t="shared" si="57"/>
        <v>0</v>
      </c>
    </row>
    <row r="305" spans="1:19">
      <c r="A305" s="878"/>
      <c r="B305" s="126"/>
      <c r="C305" s="49">
        <f t="shared" si="48"/>
        <v>1</v>
      </c>
      <c r="D305" s="877"/>
      <c r="E305" s="49">
        <f t="shared" si="49"/>
        <v>1</v>
      </c>
      <c r="F305" s="877"/>
      <c r="G305" s="49">
        <f t="shared" si="50"/>
        <v>1</v>
      </c>
      <c r="H305" s="877"/>
      <c r="I305" s="49">
        <f t="shared" si="51"/>
        <v>1</v>
      </c>
      <c r="J305" s="877"/>
      <c r="K305" s="49">
        <f t="shared" si="52"/>
        <v>1</v>
      </c>
      <c r="L305" s="877"/>
      <c r="M305" s="49">
        <f t="shared" si="53"/>
        <v>1</v>
      </c>
      <c r="N305" s="877"/>
      <c r="O305" s="49">
        <f t="shared" si="54"/>
        <v>1</v>
      </c>
      <c r="P305" s="877"/>
      <c r="Q305" s="49">
        <f t="shared" si="55"/>
        <v>1</v>
      </c>
      <c r="R305" s="49">
        <f t="shared" si="56"/>
        <v>0</v>
      </c>
      <c r="S305" s="732">
        <f t="shared" si="57"/>
        <v>0</v>
      </c>
    </row>
    <row r="306" spans="1:19">
      <c r="A306" s="878"/>
      <c r="B306" s="126"/>
      <c r="C306" s="49">
        <f t="shared" si="48"/>
        <v>1</v>
      </c>
      <c r="D306" s="877"/>
      <c r="E306" s="49">
        <f t="shared" si="49"/>
        <v>1</v>
      </c>
      <c r="F306" s="877"/>
      <c r="G306" s="49">
        <f t="shared" si="50"/>
        <v>1</v>
      </c>
      <c r="H306" s="877"/>
      <c r="I306" s="49">
        <f t="shared" si="51"/>
        <v>1</v>
      </c>
      <c r="J306" s="877"/>
      <c r="K306" s="49">
        <f t="shared" si="52"/>
        <v>1</v>
      </c>
      <c r="L306" s="877"/>
      <c r="M306" s="49">
        <f t="shared" si="53"/>
        <v>1</v>
      </c>
      <c r="N306" s="877"/>
      <c r="O306" s="49">
        <f t="shared" si="54"/>
        <v>1</v>
      </c>
      <c r="P306" s="877"/>
      <c r="Q306" s="49">
        <f t="shared" si="55"/>
        <v>1</v>
      </c>
      <c r="R306" s="49">
        <f t="shared" si="56"/>
        <v>0</v>
      </c>
      <c r="S306" s="732">
        <f t="shared" si="57"/>
        <v>0</v>
      </c>
    </row>
    <row r="307" spans="1:19">
      <c r="A307" s="878"/>
      <c r="B307" s="126"/>
      <c r="C307" s="49">
        <f t="shared" si="48"/>
        <v>1</v>
      </c>
      <c r="D307" s="877"/>
      <c r="E307" s="49">
        <f t="shared" si="49"/>
        <v>1</v>
      </c>
      <c r="F307" s="877"/>
      <c r="G307" s="49">
        <f t="shared" si="50"/>
        <v>1</v>
      </c>
      <c r="H307" s="877"/>
      <c r="I307" s="49">
        <f t="shared" si="51"/>
        <v>1</v>
      </c>
      <c r="J307" s="877"/>
      <c r="K307" s="49">
        <f t="shared" si="52"/>
        <v>1</v>
      </c>
      <c r="L307" s="877"/>
      <c r="M307" s="49">
        <f t="shared" si="53"/>
        <v>1</v>
      </c>
      <c r="N307" s="877"/>
      <c r="O307" s="49">
        <f t="shared" si="54"/>
        <v>1</v>
      </c>
      <c r="P307" s="877"/>
      <c r="Q307" s="49">
        <f t="shared" si="55"/>
        <v>1</v>
      </c>
      <c r="R307" s="49">
        <f t="shared" si="56"/>
        <v>0</v>
      </c>
      <c r="S307" s="732">
        <f t="shared" si="57"/>
        <v>0</v>
      </c>
    </row>
    <row r="308" spans="1:19">
      <c r="A308" s="878"/>
      <c r="B308" s="126"/>
      <c r="C308" s="49">
        <f t="shared" si="48"/>
        <v>1</v>
      </c>
      <c r="D308" s="877"/>
      <c r="E308" s="49">
        <f t="shared" si="49"/>
        <v>1</v>
      </c>
      <c r="F308" s="877"/>
      <c r="G308" s="49">
        <f t="shared" si="50"/>
        <v>1</v>
      </c>
      <c r="H308" s="877"/>
      <c r="I308" s="49">
        <f t="shared" si="51"/>
        <v>1</v>
      </c>
      <c r="J308" s="877"/>
      <c r="K308" s="49">
        <f t="shared" si="52"/>
        <v>1</v>
      </c>
      <c r="L308" s="877"/>
      <c r="M308" s="49">
        <f t="shared" si="53"/>
        <v>1</v>
      </c>
      <c r="N308" s="877"/>
      <c r="O308" s="49">
        <f t="shared" si="54"/>
        <v>1</v>
      </c>
      <c r="P308" s="877"/>
      <c r="Q308" s="49">
        <f t="shared" si="55"/>
        <v>1</v>
      </c>
      <c r="R308" s="49">
        <f t="shared" si="56"/>
        <v>0</v>
      </c>
      <c r="S308" s="732">
        <f t="shared" si="57"/>
        <v>0</v>
      </c>
    </row>
    <row r="309" spans="1:19">
      <c r="A309" s="878"/>
      <c r="B309" s="126"/>
      <c r="C309" s="49">
        <f t="shared" si="48"/>
        <v>1</v>
      </c>
      <c r="D309" s="877"/>
      <c r="E309" s="49">
        <f t="shared" si="49"/>
        <v>1</v>
      </c>
      <c r="F309" s="877"/>
      <c r="G309" s="49">
        <f t="shared" si="50"/>
        <v>1</v>
      </c>
      <c r="H309" s="877"/>
      <c r="I309" s="49">
        <f t="shared" si="51"/>
        <v>1</v>
      </c>
      <c r="J309" s="877"/>
      <c r="K309" s="49">
        <f t="shared" si="52"/>
        <v>1</v>
      </c>
      <c r="L309" s="877"/>
      <c r="M309" s="49">
        <f t="shared" si="53"/>
        <v>1</v>
      </c>
      <c r="N309" s="877"/>
      <c r="O309" s="49">
        <f t="shared" si="54"/>
        <v>1</v>
      </c>
      <c r="P309" s="877"/>
      <c r="Q309" s="49">
        <f t="shared" si="55"/>
        <v>1</v>
      </c>
      <c r="R309" s="49">
        <f t="shared" si="56"/>
        <v>0</v>
      </c>
      <c r="S309" s="732">
        <f t="shared" si="57"/>
        <v>0</v>
      </c>
    </row>
    <row r="310" spans="1:19">
      <c r="A310" s="878"/>
      <c r="B310" s="126"/>
      <c r="C310" s="49">
        <f t="shared" si="48"/>
        <v>1</v>
      </c>
      <c r="D310" s="877"/>
      <c r="E310" s="49">
        <f t="shared" si="49"/>
        <v>1</v>
      </c>
      <c r="F310" s="877"/>
      <c r="G310" s="49">
        <f t="shared" si="50"/>
        <v>1</v>
      </c>
      <c r="H310" s="877"/>
      <c r="I310" s="49">
        <f t="shared" si="51"/>
        <v>1</v>
      </c>
      <c r="J310" s="877"/>
      <c r="K310" s="49">
        <f t="shared" si="52"/>
        <v>1</v>
      </c>
      <c r="L310" s="877"/>
      <c r="M310" s="49">
        <f t="shared" si="53"/>
        <v>1</v>
      </c>
      <c r="N310" s="877"/>
      <c r="O310" s="49">
        <f t="shared" si="54"/>
        <v>1</v>
      </c>
      <c r="P310" s="877"/>
      <c r="Q310" s="49">
        <f t="shared" si="55"/>
        <v>1</v>
      </c>
      <c r="R310" s="49">
        <f t="shared" si="56"/>
        <v>0</v>
      </c>
      <c r="S310" s="732">
        <f t="shared" si="57"/>
        <v>0</v>
      </c>
    </row>
    <row r="311" spans="1:19">
      <c r="A311" s="878"/>
      <c r="B311" s="126"/>
      <c r="C311" s="49">
        <f t="shared" si="48"/>
        <v>1</v>
      </c>
      <c r="D311" s="877"/>
      <c r="E311" s="49">
        <f t="shared" si="49"/>
        <v>1</v>
      </c>
      <c r="F311" s="877"/>
      <c r="G311" s="49">
        <f t="shared" si="50"/>
        <v>1</v>
      </c>
      <c r="H311" s="877"/>
      <c r="I311" s="49">
        <f t="shared" si="51"/>
        <v>1</v>
      </c>
      <c r="J311" s="877"/>
      <c r="K311" s="49">
        <f t="shared" si="52"/>
        <v>1</v>
      </c>
      <c r="L311" s="877"/>
      <c r="M311" s="49">
        <f t="shared" si="53"/>
        <v>1</v>
      </c>
      <c r="N311" s="877"/>
      <c r="O311" s="49">
        <f t="shared" si="54"/>
        <v>1</v>
      </c>
      <c r="P311" s="877"/>
      <c r="Q311" s="49">
        <f t="shared" si="55"/>
        <v>1</v>
      </c>
      <c r="R311" s="49">
        <f t="shared" si="56"/>
        <v>0</v>
      </c>
      <c r="S311" s="732">
        <f t="shared" si="57"/>
        <v>0</v>
      </c>
    </row>
    <row r="312" spans="1:19">
      <c r="A312" s="878"/>
      <c r="B312" s="126"/>
      <c r="C312" s="49">
        <f t="shared" si="48"/>
        <v>1</v>
      </c>
      <c r="D312" s="877"/>
      <c r="E312" s="49">
        <f t="shared" si="49"/>
        <v>1</v>
      </c>
      <c r="F312" s="877"/>
      <c r="G312" s="49">
        <f t="shared" si="50"/>
        <v>1</v>
      </c>
      <c r="H312" s="877"/>
      <c r="I312" s="49">
        <f t="shared" si="51"/>
        <v>1</v>
      </c>
      <c r="J312" s="877"/>
      <c r="K312" s="49">
        <f t="shared" si="52"/>
        <v>1</v>
      </c>
      <c r="L312" s="877"/>
      <c r="M312" s="49">
        <f t="shared" si="53"/>
        <v>1</v>
      </c>
      <c r="N312" s="877"/>
      <c r="O312" s="49">
        <f t="shared" si="54"/>
        <v>1</v>
      </c>
      <c r="P312" s="877"/>
      <c r="Q312" s="49">
        <f t="shared" si="55"/>
        <v>1</v>
      </c>
      <c r="R312" s="49">
        <f t="shared" si="56"/>
        <v>0</v>
      </c>
      <c r="S312" s="732">
        <f t="shared" si="57"/>
        <v>0</v>
      </c>
    </row>
    <row r="313" spans="1:19">
      <c r="A313" s="878"/>
      <c r="B313" s="126"/>
      <c r="C313" s="49">
        <f t="shared" si="48"/>
        <v>1</v>
      </c>
      <c r="D313" s="877"/>
      <c r="E313" s="49">
        <f t="shared" si="49"/>
        <v>1</v>
      </c>
      <c r="F313" s="877"/>
      <c r="G313" s="49">
        <f t="shared" si="50"/>
        <v>1</v>
      </c>
      <c r="H313" s="877"/>
      <c r="I313" s="49">
        <f t="shared" si="51"/>
        <v>1</v>
      </c>
      <c r="J313" s="877"/>
      <c r="K313" s="49">
        <f t="shared" si="52"/>
        <v>1</v>
      </c>
      <c r="L313" s="877"/>
      <c r="M313" s="49">
        <f t="shared" si="53"/>
        <v>1</v>
      </c>
      <c r="N313" s="877"/>
      <c r="O313" s="49">
        <f t="shared" si="54"/>
        <v>1</v>
      </c>
      <c r="P313" s="877"/>
      <c r="Q313" s="49">
        <f t="shared" si="55"/>
        <v>1</v>
      </c>
      <c r="R313" s="49">
        <f t="shared" si="56"/>
        <v>0</v>
      </c>
      <c r="S313" s="732">
        <f t="shared" si="57"/>
        <v>0</v>
      </c>
    </row>
    <row r="314" spans="1:19">
      <c r="A314" s="878"/>
      <c r="B314" s="126"/>
      <c r="C314" s="49">
        <f t="shared" si="48"/>
        <v>1</v>
      </c>
      <c r="D314" s="877"/>
      <c r="E314" s="49">
        <f t="shared" si="49"/>
        <v>1</v>
      </c>
      <c r="F314" s="877"/>
      <c r="G314" s="49">
        <f t="shared" si="50"/>
        <v>1</v>
      </c>
      <c r="H314" s="877"/>
      <c r="I314" s="49">
        <f t="shared" si="51"/>
        <v>1</v>
      </c>
      <c r="J314" s="877"/>
      <c r="K314" s="49">
        <f t="shared" si="52"/>
        <v>1</v>
      </c>
      <c r="L314" s="877"/>
      <c r="M314" s="49">
        <f t="shared" si="53"/>
        <v>1</v>
      </c>
      <c r="N314" s="877"/>
      <c r="O314" s="49">
        <f t="shared" si="54"/>
        <v>1</v>
      </c>
      <c r="P314" s="877"/>
      <c r="Q314" s="49">
        <f t="shared" si="55"/>
        <v>1</v>
      </c>
      <c r="R314" s="49">
        <f t="shared" si="56"/>
        <v>0</v>
      </c>
      <c r="S314" s="732">
        <f t="shared" si="57"/>
        <v>0</v>
      </c>
    </row>
    <row r="315" spans="1:19">
      <c r="A315" s="878"/>
      <c r="B315" s="126"/>
      <c r="C315" s="49">
        <f t="shared" si="48"/>
        <v>1</v>
      </c>
      <c r="D315" s="877"/>
      <c r="E315" s="49">
        <f t="shared" si="49"/>
        <v>1</v>
      </c>
      <c r="F315" s="877"/>
      <c r="G315" s="49">
        <f t="shared" si="50"/>
        <v>1</v>
      </c>
      <c r="H315" s="877"/>
      <c r="I315" s="49">
        <f t="shared" si="51"/>
        <v>1</v>
      </c>
      <c r="J315" s="877"/>
      <c r="K315" s="49">
        <f t="shared" si="52"/>
        <v>1</v>
      </c>
      <c r="L315" s="877"/>
      <c r="M315" s="49">
        <f t="shared" si="53"/>
        <v>1</v>
      </c>
      <c r="N315" s="877"/>
      <c r="O315" s="49">
        <f t="shared" si="54"/>
        <v>1</v>
      </c>
      <c r="P315" s="877"/>
      <c r="Q315" s="49">
        <f t="shared" si="55"/>
        <v>1</v>
      </c>
      <c r="R315" s="49">
        <f t="shared" si="56"/>
        <v>0</v>
      </c>
      <c r="S315" s="732">
        <f t="shared" si="57"/>
        <v>0</v>
      </c>
    </row>
    <row r="316" spans="1:19">
      <c r="A316" s="878"/>
      <c r="B316" s="126"/>
      <c r="C316" s="49">
        <f t="shared" si="48"/>
        <v>1</v>
      </c>
      <c r="D316" s="877"/>
      <c r="E316" s="49">
        <f t="shared" si="49"/>
        <v>1</v>
      </c>
      <c r="F316" s="877"/>
      <c r="G316" s="49">
        <f t="shared" si="50"/>
        <v>1</v>
      </c>
      <c r="H316" s="877"/>
      <c r="I316" s="49">
        <f t="shared" si="51"/>
        <v>1</v>
      </c>
      <c r="J316" s="877"/>
      <c r="K316" s="49">
        <f t="shared" si="52"/>
        <v>1</v>
      </c>
      <c r="L316" s="877"/>
      <c r="M316" s="49">
        <f t="shared" si="53"/>
        <v>1</v>
      </c>
      <c r="N316" s="877"/>
      <c r="O316" s="49">
        <f t="shared" si="54"/>
        <v>1</v>
      </c>
      <c r="P316" s="877"/>
      <c r="Q316" s="49">
        <f t="shared" si="55"/>
        <v>1</v>
      </c>
      <c r="R316" s="49">
        <f t="shared" si="56"/>
        <v>0</v>
      </c>
      <c r="S316" s="732">
        <f t="shared" si="57"/>
        <v>0</v>
      </c>
    </row>
    <row r="317" spans="1:19">
      <c r="A317" s="878"/>
      <c r="B317" s="126"/>
      <c r="C317" s="49">
        <f t="shared" si="48"/>
        <v>1</v>
      </c>
      <c r="D317" s="877"/>
      <c r="E317" s="49">
        <f t="shared" si="49"/>
        <v>1</v>
      </c>
      <c r="F317" s="877"/>
      <c r="G317" s="49">
        <f t="shared" si="50"/>
        <v>1</v>
      </c>
      <c r="H317" s="877"/>
      <c r="I317" s="49">
        <f t="shared" si="51"/>
        <v>1</v>
      </c>
      <c r="J317" s="877"/>
      <c r="K317" s="49">
        <f t="shared" si="52"/>
        <v>1</v>
      </c>
      <c r="L317" s="877"/>
      <c r="M317" s="49">
        <f t="shared" si="53"/>
        <v>1</v>
      </c>
      <c r="N317" s="877"/>
      <c r="O317" s="49">
        <f t="shared" si="54"/>
        <v>1</v>
      </c>
      <c r="P317" s="877"/>
      <c r="Q317" s="49">
        <f t="shared" si="55"/>
        <v>1</v>
      </c>
      <c r="R317" s="49">
        <f t="shared" si="56"/>
        <v>0</v>
      </c>
      <c r="S317" s="732">
        <f t="shared" si="57"/>
        <v>0</v>
      </c>
    </row>
    <row r="318" spans="1:19">
      <c r="A318" s="878"/>
      <c r="B318" s="126"/>
      <c r="C318" s="49">
        <f t="shared" si="48"/>
        <v>1</v>
      </c>
      <c r="D318" s="877"/>
      <c r="E318" s="49">
        <f t="shared" si="49"/>
        <v>1</v>
      </c>
      <c r="F318" s="877"/>
      <c r="G318" s="49">
        <f t="shared" si="50"/>
        <v>1</v>
      </c>
      <c r="H318" s="877"/>
      <c r="I318" s="49">
        <f t="shared" si="51"/>
        <v>1</v>
      </c>
      <c r="J318" s="877"/>
      <c r="K318" s="49">
        <f t="shared" si="52"/>
        <v>1</v>
      </c>
      <c r="L318" s="877"/>
      <c r="M318" s="49">
        <f t="shared" si="53"/>
        <v>1</v>
      </c>
      <c r="N318" s="877"/>
      <c r="O318" s="49">
        <f t="shared" si="54"/>
        <v>1</v>
      </c>
      <c r="P318" s="877"/>
      <c r="Q318" s="49">
        <f t="shared" si="55"/>
        <v>1</v>
      </c>
      <c r="R318" s="49">
        <f t="shared" si="56"/>
        <v>0</v>
      </c>
      <c r="S318" s="732">
        <f t="shared" si="57"/>
        <v>0</v>
      </c>
    </row>
    <row r="319" spans="1:19">
      <c r="A319" s="878"/>
      <c r="B319" s="126"/>
      <c r="C319" s="49">
        <f t="shared" si="48"/>
        <v>1</v>
      </c>
      <c r="D319" s="877"/>
      <c r="E319" s="49">
        <f t="shared" si="49"/>
        <v>1</v>
      </c>
      <c r="F319" s="877"/>
      <c r="G319" s="49">
        <f t="shared" si="50"/>
        <v>1</v>
      </c>
      <c r="H319" s="877"/>
      <c r="I319" s="49">
        <f t="shared" si="51"/>
        <v>1</v>
      </c>
      <c r="J319" s="877"/>
      <c r="K319" s="49">
        <f t="shared" si="52"/>
        <v>1</v>
      </c>
      <c r="L319" s="877"/>
      <c r="M319" s="49">
        <f t="shared" si="53"/>
        <v>1</v>
      </c>
      <c r="N319" s="877"/>
      <c r="O319" s="49">
        <f t="shared" si="54"/>
        <v>1</v>
      </c>
      <c r="P319" s="877"/>
      <c r="Q319" s="49">
        <f t="shared" si="55"/>
        <v>1</v>
      </c>
      <c r="R319" s="49">
        <f t="shared" si="56"/>
        <v>0</v>
      </c>
      <c r="S319" s="732">
        <f t="shared" si="57"/>
        <v>0</v>
      </c>
    </row>
    <row r="320" spans="1:19">
      <c r="A320" s="878"/>
      <c r="B320" s="126"/>
      <c r="C320" s="49">
        <f t="shared" si="48"/>
        <v>1</v>
      </c>
      <c r="D320" s="877"/>
      <c r="E320" s="49">
        <f t="shared" si="49"/>
        <v>1</v>
      </c>
      <c r="F320" s="877"/>
      <c r="G320" s="49">
        <f t="shared" si="50"/>
        <v>1</v>
      </c>
      <c r="H320" s="877"/>
      <c r="I320" s="49">
        <f t="shared" si="51"/>
        <v>1</v>
      </c>
      <c r="J320" s="877"/>
      <c r="K320" s="49">
        <f t="shared" si="52"/>
        <v>1</v>
      </c>
      <c r="L320" s="877"/>
      <c r="M320" s="49">
        <f t="shared" si="53"/>
        <v>1</v>
      </c>
      <c r="N320" s="877"/>
      <c r="O320" s="49">
        <f t="shared" si="54"/>
        <v>1</v>
      </c>
      <c r="P320" s="877"/>
      <c r="Q320" s="49">
        <f t="shared" si="55"/>
        <v>1</v>
      </c>
      <c r="R320" s="49">
        <f t="shared" si="56"/>
        <v>0</v>
      </c>
      <c r="S320" s="732">
        <f t="shared" si="57"/>
        <v>0</v>
      </c>
    </row>
    <row r="321" spans="1:19">
      <c r="A321" s="878"/>
      <c r="B321" s="126"/>
      <c r="C321" s="49">
        <f t="shared" si="48"/>
        <v>1</v>
      </c>
      <c r="D321" s="877"/>
      <c r="E321" s="49">
        <f t="shared" si="49"/>
        <v>1</v>
      </c>
      <c r="F321" s="877"/>
      <c r="G321" s="49">
        <f t="shared" si="50"/>
        <v>1</v>
      </c>
      <c r="H321" s="877"/>
      <c r="I321" s="49">
        <f t="shared" si="51"/>
        <v>1</v>
      </c>
      <c r="J321" s="877"/>
      <c r="K321" s="49">
        <f t="shared" si="52"/>
        <v>1</v>
      </c>
      <c r="L321" s="877"/>
      <c r="M321" s="49">
        <f t="shared" si="53"/>
        <v>1</v>
      </c>
      <c r="N321" s="877"/>
      <c r="O321" s="49">
        <f t="shared" si="54"/>
        <v>1</v>
      </c>
      <c r="P321" s="877"/>
      <c r="Q321" s="49">
        <f t="shared" si="55"/>
        <v>1</v>
      </c>
      <c r="R321" s="49">
        <f t="shared" si="56"/>
        <v>0</v>
      </c>
      <c r="S321" s="732">
        <f t="shared" ref="S321:S384" si="58">ROUND(R321*B321/10000,0)</f>
        <v>0</v>
      </c>
    </row>
    <row r="322" spans="1:19">
      <c r="A322" s="878"/>
      <c r="B322" s="126"/>
      <c r="C322" s="49">
        <f t="shared" si="48"/>
        <v>1</v>
      </c>
      <c r="D322" s="877"/>
      <c r="E322" s="49">
        <f t="shared" si="49"/>
        <v>1</v>
      </c>
      <c r="F322" s="877"/>
      <c r="G322" s="49">
        <f t="shared" si="50"/>
        <v>1</v>
      </c>
      <c r="H322" s="877"/>
      <c r="I322" s="49">
        <f t="shared" si="51"/>
        <v>1</v>
      </c>
      <c r="J322" s="877"/>
      <c r="K322" s="49">
        <f t="shared" si="52"/>
        <v>1</v>
      </c>
      <c r="L322" s="877"/>
      <c r="M322" s="49">
        <f t="shared" si="53"/>
        <v>1</v>
      </c>
      <c r="N322" s="877"/>
      <c r="O322" s="49">
        <f t="shared" si="54"/>
        <v>1</v>
      </c>
      <c r="P322" s="877"/>
      <c r="Q322" s="49">
        <f t="shared" si="55"/>
        <v>1</v>
      </c>
      <c r="R322" s="49">
        <f t="shared" si="56"/>
        <v>0</v>
      </c>
      <c r="S322" s="732">
        <f t="shared" si="58"/>
        <v>0</v>
      </c>
    </row>
    <row r="323" spans="1:19">
      <c r="A323" s="878"/>
      <c r="B323" s="126"/>
      <c r="C323" s="49">
        <f t="shared" si="48"/>
        <v>1</v>
      </c>
      <c r="D323" s="877"/>
      <c r="E323" s="49">
        <f t="shared" si="49"/>
        <v>1</v>
      </c>
      <c r="F323" s="877"/>
      <c r="G323" s="49">
        <f t="shared" si="50"/>
        <v>1</v>
      </c>
      <c r="H323" s="877"/>
      <c r="I323" s="49">
        <f t="shared" si="51"/>
        <v>1</v>
      </c>
      <c r="J323" s="877"/>
      <c r="K323" s="49">
        <f t="shared" si="52"/>
        <v>1</v>
      </c>
      <c r="L323" s="877"/>
      <c r="M323" s="49">
        <f t="shared" si="53"/>
        <v>1</v>
      </c>
      <c r="N323" s="877"/>
      <c r="O323" s="49">
        <f t="shared" si="54"/>
        <v>1</v>
      </c>
      <c r="P323" s="877"/>
      <c r="Q323" s="49">
        <f t="shared" si="55"/>
        <v>1</v>
      </c>
      <c r="R323" s="49">
        <f t="shared" si="56"/>
        <v>0</v>
      </c>
      <c r="S323" s="732">
        <f t="shared" si="58"/>
        <v>0</v>
      </c>
    </row>
    <row r="324" spans="1:19">
      <c r="A324" s="878"/>
      <c r="B324" s="126"/>
      <c r="C324" s="49">
        <f t="shared" si="48"/>
        <v>1</v>
      </c>
      <c r="D324" s="877"/>
      <c r="E324" s="49">
        <f t="shared" si="49"/>
        <v>1</v>
      </c>
      <c r="F324" s="877"/>
      <c r="G324" s="49">
        <f t="shared" si="50"/>
        <v>1</v>
      </c>
      <c r="H324" s="877"/>
      <c r="I324" s="49">
        <f t="shared" si="51"/>
        <v>1</v>
      </c>
      <c r="J324" s="877"/>
      <c r="K324" s="49">
        <f t="shared" si="52"/>
        <v>1</v>
      </c>
      <c r="L324" s="877"/>
      <c r="M324" s="49">
        <f t="shared" si="53"/>
        <v>1</v>
      </c>
      <c r="N324" s="877"/>
      <c r="O324" s="49">
        <f t="shared" si="54"/>
        <v>1</v>
      </c>
      <c r="P324" s="877"/>
      <c r="Q324" s="49">
        <f t="shared" si="55"/>
        <v>1</v>
      </c>
      <c r="R324" s="49">
        <f t="shared" si="56"/>
        <v>0</v>
      </c>
      <c r="S324" s="732">
        <f t="shared" si="58"/>
        <v>0</v>
      </c>
    </row>
    <row r="325" spans="1:19">
      <c r="A325" s="878"/>
      <c r="B325" s="126"/>
      <c r="C325" s="49">
        <f t="shared" si="48"/>
        <v>1</v>
      </c>
      <c r="D325" s="877"/>
      <c r="E325" s="49">
        <f t="shared" si="49"/>
        <v>1</v>
      </c>
      <c r="F325" s="877"/>
      <c r="G325" s="49">
        <f t="shared" si="50"/>
        <v>1</v>
      </c>
      <c r="H325" s="877"/>
      <c r="I325" s="49">
        <f t="shared" si="51"/>
        <v>1</v>
      </c>
      <c r="J325" s="877"/>
      <c r="K325" s="49">
        <f t="shared" si="52"/>
        <v>1</v>
      </c>
      <c r="L325" s="877"/>
      <c r="M325" s="49">
        <f t="shared" si="53"/>
        <v>1</v>
      </c>
      <c r="N325" s="877"/>
      <c r="O325" s="49">
        <f t="shared" si="54"/>
        <v>1</v>
      </c>
      <c r="P325" s="877"/>
      <c r="Q325" s="49">
        <f t="shared" si="55"/>
        <v>1</v>
      </c>
      <c r="R325" s="49">
        <f t="shared" si="56"/>
        <v>0</v>
      </c>
      <c r="S325" s="732">
        <f t="shared" si="58"/>
        <v>0</v>
      </c>
    </row>
    <row r="326" spans="1:19">
      <c r="A326" s="878"/>
      <c r="B326" s="126"/>
      <c r="C326" s="49">
        <f t="shared" si="48"/>
        <v>1</v>
      </c>
      <c r="D326" s="877"/>
      <c r="E326" s="49">
        <f t="shared" si="49"/>
        <v>1</v>
      </c>
      <c r="F326" s="877"/>
      <c r="G326" s="49">
        <f t="shared" si="50"/>
        <v>1</v>
      </c>
      <c r="H326" s="877"/>
      <c r="I326" s="49">
        <f t="shared" si="51"/>
        <v>1</v>
      </c>
      <c r="J326" s="877"/>
      <c r="K326" s="49">
        <f t="shared" si="52"/>
        <v>1</v>
      </c>
      <c r="L326" s="877"/>
      <c r="M326" s="49">
        <f t="shared" si="53"/>
        <v>1</v>
      </c>
      <c r="N326" s="877"/>
      <c r="O326" s="49">
        <f t="shared" si="54"/>
        <v>1</v>
      </c>
      <c r="P326" s="877"/>
      <c r="Q326" s="49">
        <f t="shared" si="55"/>
        <v>1</v>
      </c>
      <c r="R326" s="49">
        <f t="shared" si="56"/>
        <v>0</v>
      </c>
      <c r="S326" s="732">
        <f t="shared" si="58"/>
        <v>0</v>
      </c>
    </row>
    <row r="327" spans="1:19">
      <c r="A327" s="878"/>
      <c r="B327" s="126"/>
      <c r="C327" s="49">
        <f t="shared" si="48"/>
        <v>1</v>
      </c>
      <c r="D327" s="877"/>
      <c r="E327" s="49">
        <f t="shared" si="49"/>
        <v>1</v>
      </c>
      <c r="F327" s="877"/>
      <c r="G327" s="49">
        <f t="shared" si="50"/>
        <v>1</v>
      </c>
      <c r="H327" s="877"/>
      <c r="I327" s="49">
        <f t="shared" si="51"/>
        <v>1</v>
      </c>
      <c r="J327" s="877"/>
      <c r="K327" s="49">
        <f t="shared" si="52"/>
        <v>1</v>
      </c>
      <c r="L327" s="877"/>
      <c r="M327" s="49">
        <f t="shared" si="53"/>
        <v>1</v>
      </c>
      <c r="N327" s="877"/>
      <c r="O327" s="49">
        <f t="shared" si="54"/>
        <v>1</v>
      </c>
      <c r="P327" s="877"/>
      <c r="Q327" s="49">
        <f t="shared" si="55"/>
        <v>1</v>
      </c>
      <c r="R327" s="49">
        <f t="shared" si="56"/>
        <v>0</v>
      </c>
      <c r="S327" s="732">
        <f t="shared" si="58"/>
        <v>0</v>
      </c>
    </row>
    <row r="328" spans="1:19">
      <c r="A328" s="878"/>
      <c r="B328" s="126"/>
      <c r="C328" s="49">
        <f t="shared" si="48"/>
        <v>1</v>
      </c>
      <c r="D328" s="877"/>
      <c r="E328" s="49">
        <f t="shared" si="49"/>
        <v>1</v>
      </c>
      <c r="F328" s="877"/>
      <c r="G328" s="49">
        <f t="shared" si="50"/>
        <v>1</v>
      </c>
      <c r="H328" s="877"/>
      <c r="I328" s="49">
        <f t="shared" si="51"/>
        <v>1</v>
      </c>
      <c r="J328" s="877"/>
      <c r="K328" s="49">
        <f t="shared" si="52"/>
        <v>1</v>
      </c>
      <c r="L328" s="877"/>
      <c r="M328" s="49">
        <f t="shared" si="53"/>
        <v>1</v>
      </c>
      <c r="N328" s="877"/>
      <c r="O328" s="49">
        <f t="shared" si="54"/>
        <v>1</v>
      </c>
      <c r="P328" s="877"/>
      <c r="Q328" s="49">
        <f t="shared" si="55"/>
        <v>1</v>
      </c>
      <c r="R328" s="49">
        <f t="shared" si="56"/>
        <v>0</v>
      </c>
      <c r="S328" s="732">
        <f t="shared" si="58"/>
        <v>0</v>
      </c>
    </row>
    <row r="329" spans="1:19">
      <c r="A329" s="878"/>
      <c r="B329" s="126"/>
      <c r="C329" s="49">
        <f t="shared" si="48"/>
        <v>1</v>
      </c>
      <c r="D329" s="877"/>
      <c r="E329" s="49">
        <f t="shared" si="49"/>
        <v>1</v>
      </c>
      <c r="F329" s="877"/>
      <c r="G329" s="49">
        <f t="shared" si="50"/>
        <v>1</v>
      </c>
      <c r="H329" s="877"/>
      <c r="I329" s="49">
        <f t="shared" si="51"/>
        <v>1</v>
      </c>
      <c r="J329" s="877"/>
      <c r="K329" s="49">
        <f t="shared" si="52"/>
        <v>1</v>
      </c>
      <c r="L329" s="877"/>
      <c r="M329" s="49">
        <f t="shared" si="53"/>
        <v>1</v>
      </c>
      <c r="N329" s="877"/>
      <c r="O329" s="49">
        <f t="shared" si="54"/>
        <v>1</v>
      </c>
      <c r="P329" s="877"/>
      <c r="Q329" s="49">
        <f t="shared" si="55"/>
        <v>1</v>
      </c>
      <c r="R329" s="49">
        <f t="shared" si="56"/>
        <v>0</v>
      </c>
      <c r="S329" s="732">
        <f t="shared" si="58"/>
        <v>0</v>
      </c>
    </row>
    <row r="330" spans="1:19">
      <c r="A330" s="878"/>
      <c r="B330" s="126"/>
      <c r="C330" s="49">
        <f t="shared" si="48"/>
        <v>1</v>
      </c>
      <c r="D330" s="877"/>
      <c r="E330" s="49">
        <f t="shared" si="49"/>
        <v>1</v>
      </c>
      <c r="F330" s="877"/>
      <c r="G330" s="49">
        <f t="shared" si="50"/>
        <v>1</v>
      </c>
      <c r="H330" s="877"/>
      <c r="I330" s="49">
        <f t="shared" si="51"/>
        <v>1</v>
      </c>
      <c r="J330" s="877"/>
      <c r="K330" s="49">
        <f t="shared" si="52"/>
        <v>1</v>
      </c>
      <c r="L330" s="877"/>
      <c r="M330" s="49">
        <f t="shared" si="53"/>
        <v>1</v>
      </c>
      <c r="N330" s="877"/>
      <c r="O330" s="49">
        <f t="shared" si="54"/>
        <v>1</v>
      </c>
      <c r="P330" s="877"/>
      <c r="Q330" s="49">
        <f t="shared" si="55"/>
        <v>1</v>
      </c>
      <c r="R330" s="49">
        <f t="shared" si="56"/>
        <v>0</v>
      </c>
      <c r="S330" s="732">
        <f t="shared" si="58"/>
        <v>0</v>
      </c>
    </row>
    <row r="331" spans="1:19">
      <c r="A331" s="878"/>
      <c r="B331" s="126"/>
      <c r="C331" s="49">
        <f t="shared" si="48"/>
        <v>1</v>
      </c>
      <c r="D331" s="877"/>
      <c r="E331" s="49">
        <f t="shared" si="49"/>
        <v>1</v>
      </c>
      <c r="F331" s="877"/>
      <c r="G331" s="49">
        <f t="shared" si="50"/>
        <v>1</v>
      </c>
      <c r="H331" s="877"/>
      <c r="I331" s="49">
        <f t="shared" si="51"/>
        <v>1</v>
      </c>
      <c r="J331" s="877"/>
      <c r="K331" s="49">
        <f t="shared" si="52"/>
        <v>1</v>
      </c>
      <c r="L331" s="877"/>
      <c r="M331" s="49">
        <f t="shared" si="53"/>
        <v>1</v>
      </c>
      <c r="N331" s="877"/>
      <c r="O331" s="49">
        <f t="shared" si="54"/>
        <v>1</v>
      </c>
      <c r="P331" s="877"/>
      <c r="Q331" s="49">
        <f t="shared" si="55"/>
        <v>1</v>
      </c>
      <c r="R331" s="49">
        <f t="shared" si="56"/>
        <v>0</v>
      </c>
      <c r="S331" s="732">
        <f t="shared" si="58"/>
        <v>0</v>
      </c>
    </row>
    <row r="332" spans="1:19">
      <c r="A332" s="878"/>
      <c r="B332" s="126"/>
      <c r="C332" s="49">
        <f t="shared" si="48"/>
        <v>1</v>
      </c>
      <c r="D332" s="877"/>
      <c r="E332" s="49">
        <f t="shared" si="49"/>
        <v>1</v>
      </c>
      <c r="F332" s="877"/>
      <c r="G332" s="49">
        <f t="shared" si="50"/>
        <v>1</v>
      </c>
      <c r="H332" s="877"/>
      <c r="I332" s="49">
        <f t="shared" si="51"/>
        <v>1</v>
      </c>
      <c r="J332" s="877"/>
      <c r="K332" s="49">
        <f t="shared" si="52"/>
        <v>1</v>
      </c>
      <c r="L332" s="877"/>
      <c r="M332" s="49">
        <f t="shared" si="53"/>
        <v>1</v>
      </c>
      <c r="N332" s="877"/>
      <c r="O332" s="49">
        <f t="shared" si="54"/>
        <v>1</v>
      </c>
      <c r="P332" s="877"/>
      <c r="Q332" s="49">
        <f t="shared" si="55"/>
        <v>1</v>
      </c>
      <c r="R332" s="49">
        <f t="shared" si="56"/>
        <v>0</v>
      </c>
      <c r="S332" s="732">
        <f t="shared" si="58"/>
        <v>0</v>
      </c>
    </row>
    <row r="333" spans="1:19">
      <c r="A333" s="878"/>
      <c r="B333" s="126"/>
      <c r="C333" s="49">
        <f t="shared" si="48"/>
        <v>1</v>
      </c>
      <c r="D333" s="877"/>
      <c r="E333" s="49">
        <f t="shared" si="49"/>
        <v>1</v>
      </c>
      <c r="F333" s="877"/>
      <c r="G333" s="49">
        <f t="shared" si="50"/>
        <v>1</v>
      </c>
      <c r="H333" s="877"/>
      <c r="I333" s="49">
        <f t="shared" si="51"/>
        <v>1</v>
      </c>
      <c r="J333" s="877"/>
      <c r="K333" s="49">
        <f t="shared" si="52"/>
        <v>1</v>
      </c>
      <c r="L333" s="877"/>
      <c r="M333" s="49">
        <f t="shared" si="53"/>
        <v>1</v>
      </c>
      <c r="N333" s="877"/>
      <c r="O333" s="49">
        <f t="shared" si="54"/>
        <v>1</v>
      </c>
      <c r="P333" s="877"/>
      <c r="Q333" s="49">
        <f t="shared" si="55"/>
        <v>1</v>
      </c>
      <c r="R333" s="49">
        <f t="shared" si="56"/>
        <v>0</v>
      </c>
      <c r="S333" s="732">
        <f t="shared" si="58"/>
        <v>0</v>
      </c>
    </row>
    <row r="334" spans="1:19">
      <c r="A334" s="878"/>
      <c r="B334" s="126"/>
      <c r="C334" s="49">
        <f t="shared" si="48"/>
        <v>1</v>
      </c>
      <c r="D334" s="877"/>
      <c r="E334" s="49">
        <f t="shared" si="49"/>
        <v>1</v>
      </c>
      <c r="F334" s="877"/>
      <c r="G334" s="49">
        <f t="shared" si="50"/>
        <v>1</v>
      </c>
      <c r="H334" s="877"/>
      <c r="I334" s="49">
        <f t="shared" si="51"/>
        <v>1</v>
      </c>
      <c r="J334" s="877"/>
      <c r="K334" s="49">
        <f t="shared" si="52"/>
        <v>1</v>
      </c>
      <c r="L334" s="877"/>
      <c r="M334" s="49">
        <f t="shared" si="53"/>
        <v>1</v>
      </c>
      <c r="N334" s="877"/>
      <c r="O334" s="49">
        <f t="shared" si="54"/>
        <v>1</v>
      </c>
      <c r="P334" s="877"/>
      <c r="Q334" s="49">
        <f t="shared" si="55"/>
        <v>1</v>
      </c>
      <c r="R334" s="49">
        <f t="shared" si="56"/>
        <v>0</v>
      </c>
      <c r="S334" s="732">
        <f t="shared" si="58"/>
        <v>0</v>
      </c>
    </row>
    <row r="335" spans="1:19">
      <c r="A335" s="878"/>
      <c r="B335" s="126"/>
      <c r="C335" s="49">
        <f t="shared" si="48"/>
        <v>1</v>
      </c>
      <c r="D335" s="877"/>
      <c r="E335" s="49">
        <f t="shared" si="49"/>
        <v>1</v>
      </c>
      <c r="F335" s="877"/>
      <c r="G335" s="49">
        <f t="shared" si="50"/>
        <v>1</v>
      </c>
      <c r="H335" s="877"/>
      <c r="I335" s="49">
        <f t="shared" si="51"/>
        <v>1</v>
      </c>
      <c r="J335" s="877"/>
      <c r="K335" s="49">
        <f t="shared" si="52"/>
        <v>1</v>
      </c>
      <c r="L335" s="877"/>
      <c r="M335" s="49">
        <f t="shared" si="53"/>
        <v>1</v>
      </c>
      <c r="N335" s="877"/>
      <c r="O335" s="49">
        <f t="shared" si="54"/>
        <v>1</v>
      </c>
      <c r="P335" s="877"/>
      <c r="Q335" s="49">
        <f t="shared" si="55"/>
        <v>1</v>
      </c>
      <c r="R335" s="49">
        <f t="shared" si="56"/>
        <v>0</v>
      </c>
      <c r="S335" s="732">
        <f t="shared" si="58"/>
        <v>0</v>
      </c>
    </row>
    <row r="336" spans="1:19">
      <c r="A336" s="878"/>
      <c r="B336" s="126"/>
      <c r="C336" s="49">
        <f t="shared" si="48"/>
        <v>1</v>
      </c>
      <c r="D336" s="877"/>
      <c r="E336" s="49">
        <f t="shared" si="49"/>
        <v>1</v>
      </c>
      <c r="F336" s="877"/>
      <c r="G336" s="49">
        <f t="shared" si="50"/>
        <v>1</v>
      </c>
      <c r="H336" s="877"/>
      <c r="I336" s="49">
        <f t="shared" si="51"/>
        <v>1</v>
      </c>
      <c r="J336" s="877"/>
      <c r="K336" s="49">
        <f t="shared" si="52"/>
        <v>1</v>
      </c>
      <c r="L336" s="877"/>
      <c r="M336" s="49">
        <f t="shared" si="53"/>
        <v>1</v>
      </c>
      <c r="N336" s="877"/>
      <c r="O336" s="49">
        <f t="shared" si="54"/>
        <v>1</v>
      </c>
      <c r="P336" s="877"/>
      <c r="Q336" s="49">
        <f t="shared" si="55"/>
        <v>1</v>
      </c>
      <c r="R336" s="49">
        <f t="shared" si="56"/>
        <v>0</v>
      </c>
      <c r="S336" s="732">
        <f t="shared" si="58"/>
        <v>0</v>
      </c>
    </row>
    <row r="337" spans="1:19">
      <c r="A337" s="878"/>
      <c r="B337" s="126"/>
      <c r="C337" s="49">
        <f t="shared" si="48"/>
        <v>1</v>
      </c>
      <c r="D337" s="877"/>
      <c r="E337" s="49">
        <f t="shared" si="49"/>
        <v>1</v>
      </c>
      <c r="F337" s="877"/>
      <c r="G337" s="49">
        <f t="shared" si="50"/>
        <v>1</v>
      </c>
      <c r="H337" s="877"/>
      <c r="I337" s="49">
        <f t="shared" si="51"/>
        <v>1</v>
      </c>
      <c r="J337" s="877"/>
      <c r="K337" s="49">
        <f t="shared" si="52"/>
        <v>1</v>
      </c>
      <c r="L337" s="877"/>
      <c r="M337" s="49">
        <f t="shared" si="53"/>
        <v>1</v>
      </c>
      <c r="N337" s="877"/>
      <c r="O337" s="49">
        <f t="shared" si="54"/>
        <v>1</v>
      </c>
      <c r="P337" s="877"/>
      <c r="Q337" s="49">
        <f t="shared" si="55"/>
        <v>1</v>
      </c>
      <c r="R337" s="49">
        <f t="shared" si="56"/>
        <v>0</v>
      </c>
      <c r="S337" s="732">
        <f t="shared" si="58"/>
        <v>0</v>
      </c>
    </row>
    <row r="338" spans="1:19">
      <c r="A338" s="878"/>
      <c r="B338" s="126"/>
      <c r="C338" s="49">
        <f t="shared" si="48"/>
        <v>1</v>
      </c>
      <c r="D338" s="877"/>
      <c r="E338" s="49">
        <f t="shared" si="49"/>
        <v>1</v>
      </c>
      <c r="F338" s="877"/>
      <c r="G338" s="49">
        <f t="shared" si="50"/>
        <v>1</v>
      </c>
      <c r="H338" s="877"/>
      <c r="I338" s="49">
        <f t="shared" si="51"/>
        <v>1</v>
      </c>
      <c r="J338" s="877"/>
      <c r="K338" s="49">
        <f t="shared" si="52"/>
        <v>1</v>
      </c>
      <c r="L338" s="877"/>
      <c r="M338" s="49">
        <f t="shared" si="53"/>
        <v>1</v>
      </c>
      <c r="N338" s="877"/>
      <c r="O338" s="49">
        <f t="shared" si="54"/>
        <v>1</v>
      </c>
      <c r="P338" s="877"/>
      <c r="Q338" s="49">
        <f t="shared" si="55"/>
        <v>1</v>
      </c>
      <c r="R338" s="49">
        <f t="shared" si="56"/>
        <v>0</v>
      </c>
      <c r="S338" s="732">
        <f t="shared" si="58"/>
        <v>0</v>
      </c>
    </row>
    <row r="339" spans="1:19">
      <c r="A339" s="878"/>
      <c r="B339" s="126"/>
      <c r="C339" s="49">
        <f t="shared" si="48"/>
        <v>1</v>
      </c>
      <c r="D339" s="877"/>
      <c r="E339" s="49">
        <f t="shared" si="49"/>
        <v>1</v>
      </c>
      <c r="F339" s="877"/>
      <c r="G339" s="49">
        <f t="shared" si="50"/>
        <v>1</v>
      </c>
      <c r="H339" s="877"/>
      <c r="I339" s="49">
        <f t="shared" si="51"/>
        <v>1</v>
      </c>
      <c r="J339" s="877"/>
      <c r="K339" s="49">
        <f t="shared" si="52"/>
        <v>1</v>
      </c>
      <c r="L339" s="877"/>
      <c r="M339" s="49">
        <f t="shared" si="53"/>
        <v>1</v>
      </c>
      <c r="N339" s="877"/>
      <c r="O339" s="49">
        <f t="shared" si="54"/>
        <v>1</v>
      </c>
      <c r="P339" s="877"/>
      <c r="Q339" s="49">
        <f t="shared" si="55"/>
        <v>1</v>
      </c>
      <c r="R339" s="49">
        <f t="shared" si="56"/>
        <v>0</v>
      </c>
      <c r="S339" s="732">
        <f t="shared" si="58"/>
        <v>0</v>
      </c>
    </row>
    <row r="340" spans="1:19">
      <c r="A340" s="878"/>
      <c r="B340" s="126"/>
      <c r="C340" s="49">
        <f t="shared" si="48"/>
        <v>1</v>
      </c>
      <c r="D340" s="877"/>
      <c r="E340" s="49">
        <f t="shared" si="49"/>
        <v>1</v>
      </c>
      <c r="F340" s="877"/>
      <c r="G340" s="49">
        <f t="shared" si="50"/>
        <v>1</v>
      </c>
      <c r="H340" s="877"/>
      <c r="I340" s="49">
        <f t="shared" si="51"/>
        <v>1</v>
      </c>
      <c r="J340" s="877"/>
      <c r="K340" s="49">
        <f t="shared" si="52"/>
        <v>1</v>
      </c>
      <c r="L340" s="877"/>
      <c r="M340" s="49">
        <f t="shared" si="53"/>
        <v>1</v>
      </c>
      <c r="N340" s="877"/>
      <c r="O340" s="49">
        <f t="shared" si="54"/>
        <v>1</v>
      </c>
      <c r="P340" s="877"/>
      <c r="Q340" s="49">
        <f t="shared" si="55"/>
        <v>1</v>
      </c>
      <c r="R340" s="49">
        <f t="shared" si="56"/>
        <v>0</v>
      </c>
      <c r="S340" s="732">
        <f t="shared" si="58"/>
        <v>0</v>
      </c>
    </row>
    <row r="341" spans="1:19">
      <c r="A341" s="878"/>
      <c r="B341" s="126"/>
      <c r="C341" s="49">
        <f t="shared" si="48"/>
        <v>1</v>
      </c>
      <c r="D341" s="877"/>
      <c r="E341" s="49">
        <f t="shared" si="49"/>
        <v>1</v>
      </c>
      <c r="F341" s="877"/>
      <c r="G341" s="49">
        <f t="shared" si="50"/>
        <v>1</v>
      </c>
      <c r="H341" s="877"/>
      <c r="I341" s="49">
        <f t="shared" si="51"/>
        <v>1</v>
      </c>
      <c r="J341" s="877"/>
      <c r="K341" s="49">
        <f t="shared" si="52"/>
        <v>1</v>
      </c>
      <c r="L341" s="877"/>
      <c r="M341" s="49">
        <f t="shared" si="53"/>
        <v>1</v>
      </c>
      <c r="N341" s="877"/>
      <c r="O341" s="49">
        <f t="shared" si="54"/>
        <v>1</v>
      </c>
      <c r="P341" s="877"/>
      <c r="Q341" s="49">
        <f t="shared" si="55"/>
        <v>1</v>
      </c>
      <c r="R341" s="49">
        <f t="shared" si="56"/>
        <v>0</v>
      </c>
      <c r="S341" s="732">
        <f t="shared" si="58"/>
        <v>0</v>
      </c>
    </row>
    <row r="342" spans="1:19">
      <c r="A342" s="878"/>
      <c r="B342" s="126"/>
      <c r="C342" s="49">
        <f t="shared" si="48"/>
        <v>1</v>
      </c>
      <c r="D342" s="877"/>
      <c r="E342" s="49">
        <f t="shared" si="49"/>
        <v>1</v>
      </c>
      <c r="F342" s="877"/>
      <c r="G342" s="49">
        <f t="shared" si="50"/>
        <v>1</v>
      </c>
      <c r="H342" s="877"/>
      <c r="I342" s="49">
        <f t="shared" si="51"/>
        <v>1</v>
      </c>
      <c r="J342" s="877"/>
      <c r="K342" s="49">
        <f t="shared" si="52"/>
        <v>1</v>
      </c>
      <c r="L342" s="877"/>
      <c r="M342" s="49">
        <f t="shared" si="53"/>
        <v>1</v>
      </c>
      <c r="N342" s="877"/>
      <c r="O342" s="49">
        <f t="shared" si="54"/>
        <v>1</v>
      </c>
      <c r="P342" s="877"/>
      <c r="Q342" s="49">
        <f t="shared" si="55"/>
        <v>1</v>
      </c>
      <c r="R342" s="49">
        <f t="shared" si="56"/>
        <v>0</v>
      </c>
      <c r="S342" s="732">
        <f t="shared" si="58"/>
        <v>0</v>
      </c>
    </row>
    <row r="343" spans="1:19">
      <c r="A343" s="878"/>
      <c r="B343" s="126"/>
      <c r="C343" s="49">
        <f t="shared" si="48"/>
        <v>1</v>
      </c>
      <c r="D343" s="877"/>
      <c r="E343" s="49">
        <f t="shared" si="49"/>
        <v>1</v>
      </c>
      <c r="F343" s="877"/>
      <c r="G343" s="49">
        <f t="shared" si="50"/>
        <v>1</v>
      </c>
      <c r="H343" s="877"/>
      <c r="I343" s="49">
        <f t="shared" si="51"/>
        <v>1</v>
      </c>
      <c r="J343" s="877"/>
      <c r="K343" s="49">
        <f t="shared" si="52"/>
        <v>1</v>
      </c>
      <c r="L343" s="877"/>
      <c r="M343" s="49">
        <f t="shared" si="53"/>
        <v>1</v>
      </c>
      <c r="N343" s="877"/>
      <c r="O343" s="49">
        <f t="shared" si="54"/>
        <v>1</v>
      </c>
      <c r="P343" s="877"/>
      <c r="Q343" s="49">
        <f t="shared" si="55"/>
        <v>1</v>
      </c>
      <c r="R343" s="49">
        <f t="shared" si="56"/>
        <v>0</v>
      </c>
      <c r="S343" s="732">
        <f t="shared" si="58"/>
        <v>0</v>
      </c>
    </row>
    <row r="344" spans="1:19">
      <c r="A344" s="878"/>
      <c r="B344" s="126"/>
      <c r="C344" s="49">
        <f t="shared" si="48"/>
        <v>1</v>
      </c>
      <c r="D344" s="877"/>
      <c r="E344" s="49">
        <f t="shared" si="49"/>
        <v>1</v>
      </c>
      <c r="F344" s="877"/>
      <c r="G344" s="49">
        <f t="shared" si="50"/>
        <v>1</v>
      </c>
      <c r="H344" s="877"/>
      <c r="I344" s="49">
        <f t="shared" si="51"/>
        <v>1</v>
      </c>
      <c r="J344" s="877"/>
      <c r="K344" s="49">
        <f t="shared" si="52"/>
        <v>1</v>
      </c>
      <c r="L344" s="877"/>
      <c r="M344" s="49">
        <f t="shared" si="53"/>
        <v>1</v>
      </c>
      <c r="N344" s="877"/>
      <c r="O344" s="49">
        <f t="shared" si="54"/>
        <v>1</v>
      </c>
      <c r="P344" s="877"/>
      <c r="Q344" s="49">
        <f t="shared" si="55"/>
        <v>1</v>
      </c>
      <c r="R344" s="49">
        <f t="shared" si="56"/>
        <v>0</v>
      </c>
      <c r="S344" s="732">
        <f t="shared" si="58"/>
        <v>0</v>
      </c>
    </row>
    <row r="345" spans="1:19">
      <c r="A345" s="878"/>
      <c r="B345" s="126"/>
      <c r="C345" s="49">
        <f t="shared" si="48"/>
        <v>1</v>
      </c>
      <c r="D345" s="877"/>
      <c r="E345" s="49">
        <f t="shared" si="49"/>
        <v>1</v>
      </c>
      <c r="F345" s="877"/>
      <c r="G345" s="49">
        <f t="shared" si="50"/>
        <v>1</v>
      </c>
      <c r="H345" s="877"/>
      <c r="I345" s="49">
        <f t="shared" si="51"/>
        <v>1</v>
      </c>
      <c r="J345" s="877"/>
      <c r="K345" s="49">
        <f t="shared" si="52"/>
        <v>1</v>
      </c>
      <c r="L345" s="877"/>
      <c r="M345" s="49">
        <f t="shared" si="53"/>
        <v>1</v>
      </c>
      <c r="N345" s="877"/>
      <c r="O345" s="49">
        <f t="shared" si="54"/>
        <v>1</v>
      </c>
      <c r="P345" s="877"/>
      <c r="Q345" s="49">
        <f t="shared" si="55"/>
        <v>1</v>
      </c>
      <c r="R345" s="49">
        <f t="shared" si="56"/>
        <v>0</v>
      </c>
      <c r="S345" s="732">
        <f t="shared" si="58"/>
        <v>0</v>
      </c>
    </row>
    <row r="346" spans="1:19">
      <c r="A346" s="878"/>
      <c r="B346" s="126"/>
      <c r="C346" s="49">
        <f t="shared" ref="C346:C409" si="59">IF(B346="",1,(LOOKUP(B346,$3:$3,$4:$4)-LOOKUP($B$24,$3:$3,$4:$4)+100)/100)</f>
        <v>1</v>
      </c>
      <c r="D346" s="877"/>
      <c r="E346" s="49">
        <f t="shared" ref="E346:E409" si="60">(SUMIF($5:$5,D346,$6:$6)-SUMIF($5:$5,$D$24,$6:$6)+100)/100</f>
        <v>1</v>
      </c>
      <c r="F346" s="877"/>
      <c r="G346" s="49">
        <f t="shared" ref="G346:G409" si="61">(SUMIF($7:$7,F346,$8:$8)-SUMIF($7:$7,$F$24,$8:$8)+100)/100</f>
        <v>1</v>
      </c>
      <c r="H346" s="877"/>
      <c r="I346" s="49">
        <f t="shared" ref="I346:I409" si="62">(SUMIF($9:$9,H346,$10:$10)-SUMIF($9:$9,$H$24,$10:$10)+100)/100</f>
        <v>1</v>
      </c>
      <c r="J346" s="877"/>
      <c r="K346" s="49">
        <f t="shared" ref="K346:K409" si="63">(SUMIF($11:$11,J346,$12:$12)-SUMIF($11:$11,$J$24,$12:$12)+100)/100</f>
        <v>1</v>
      </c>
      <c r="L346" s="877"/>
      <c r="M346" s="49">
        <f t="shared" ref="M346:M409" si="64">(SUMIF($13:$13,L346,$14:$14)-SUMIF($13:$13,$L$24,$14:$14)+100)/100</f>
        <v>1</v>
      </c>
      <c r="N346" s="877"/>
      <c r="O346" s="49">
        <f t="shared" ref="O346:O409" si="65">(SUMIF($15:$15,N346,$16:$16)-SUMIF($15:$15,$N$24,$16:$16)+100)/100</f>
        <v>1</v>
      </c>
      <c r="P346" s="877"/>
      <c r="Q346" s="49">
        <f t="shared" ref="Q346:Q409" si="66">(SUMIF($17:$17,P346,$18:$18)-SUMIF($17:$17,$P$24,$18:$18)+100)/100</f>
        <v>1</v>
      </c>
      <c r="R346" s="49">
        <f t="shared" ref="R346:R409" si="67">IF(B346="",0,ROUND($R$24*C346*E346*G346*I346*K346*M346*O346*Q346,0))</f>
        <v>0</v>
      </c>
      <c r="S346" s="732">
        <f t="shared" si="58"/>
        <v>0</v>
      </c>
    </row>
    <row r="347" spans="1:19">
      <c r="A347" s="878"/>
      <c r="B347" s="126"/>
      <c r="C347" s="49">
        <f t="shared" si="59"/>
        <v>1</v>
      </c>
      <c r="D347" s="877"/>
      <c r="E347" s="49">
        <f t="shared" si="60"/>
        <v>1</v>
      </c>
      <c r="F347" s="877"/>
      <c r="G347" s="49">
        <f t="shared" si="61"/>
        <v>1</v>
      </c>
      <c r="H347" s="877"/>
      <c r="I347" s="49">
        <f t="shared" si="62"/>
        <v>1</v>
      </c>
      <c r="J347" s="877"/>
      <c r="K347" s="49">
        <f t="shared" si="63"/>
        <v>1</v>
      </c>
      <c r="L347" s="877"/>
      <c r="M347" s="49">
        <f t="shared" si="64"/>
        <v>1</v>
      </c>
      <c r="N347" s="877"/>
      <c r="O347" s="49">
        <f t="shared" si="65"/>
        <v>1</v>
      </c>
      <c r="P347" s="877"/>
      <c r="Q347" s="49">
        <f t="shared" si="66"/>
        <v>1</v>
      </c>
      <c r="R347" s="49">
        <f t="shared" si="67"/>
        <v>0</v>
      </c>
      <c r="S347" s="732">
        <f t="shared" si="58"/>
        <v>0</v>
      </c>
    </row>
    <row r="348" spans="1:19">
      <c r="A348" s="878"/>
      <c r="B348" s="126"/>
      <c r="C348" s="49">
        <f t="shared" si="59"/>
        <v>1</v>
      </c>
      <c r="D348" s="877"/>
      <c r="E348" s="49">
        <f t="shared" si="60"/>
        <v>1</v>
      </c>
      <c r="F348" s="877"/>
      <c r="G348" s="49">
        <f t="shared" si="61"/>
        <v>1</v>
      </c>
      <c r="H348" s="877"/>
      <c r="I348" s="49">
        <f t="shared" si="62"/>
        <v>1</v>
      </c>
      <c r="J348" s="877"/>
      <c r="K348" s="49">
        <f t="shared" si="63"/>
        <v>1</v>
      </c>
      <c r="L348" s="877"/>
      <c r="M348" s="49">
        <f t="shared" si="64"/>
        <v>1</v>
      </c>
      <c r="N348" s="877"/>
      <c r="O348" s="49">
        <f t="shared" si="65"/>
        <v>1</v>
      </c>
      <c r="P348" s="877"/>
      <c r="Q348" s="49">
        <f t="shared" si="66"/>
        <v>1</v>
      </c>
      <c r="R348" s="49">
        <f t="shared" si="67"/>
        <v>0</v>
      </c>
      <c r="S348" s="732">
        <f t="shared" si="58"/>
        <v>0</v>
      </c>
    </row>
    <row r="349" spans="1:19">
      <c r="A349" s="878"/>
      <c r="B349" s="126"/>
      <c r="C349" s="49">
        <f t="shared" si="59"/>
        <v>1</v>
      </c>
      <c r="D349" s="877"/>
      <c r="E349" s="49">
        <f t="shared" si="60"/>
        <v>1</v>
      </c>
      <c r="F349" s="877"/>
      <c r="G349" s="49">
        <f t="shared" si="61"/>
        <v>1</v>
      </c>
      <c r="H349" s="877"/>
      <c r="I349" s="49">
        <f t="shared" si="62"/>
        <v>1</v>
      </c>
      <c r="J349" s="877"/>
      <c r="K349" s="49">
        <f t="shared" si="63"/>
        <v>1</v>
      </c>
      <c r="L349" s="877"/>
      <c r="M349" s="49">
        <f t="shared" si="64"/>
        <v>1</v>
      </c>
      <c r="N349" s="877"/>
      <c r="O349" s="49">
        <f t="shared" si="65"/>
        <v>1</v>
      </c>
      <c r="P349" s="877"/>
      <c r="Q349" s="49">
        <f t="shared" si="66"/>
        <v>1</v>
      </c>
      <c r="R349" s="49">
        <f t="shared" si="67"/>
        <v>0</v>
      </c>
      <c r="S349" s="732">
        <f t="shared" si="58"/>
        <v>0</v>
      </c>
    </row>
    <row r="350" spans="1:19">
      <c r="A350" s="878"/>
      <c r="B350" s="126"/>
      <c r="C350" s="49">
        <f t="shared" si="59"/>
        <v>1</v>
      </c>
      <c r="D350" s="877"/>
      <c r="E350" s="49">
        <f t="shared" si="60"/>
        <v>1</v>
      </c>
      <c r="F350" s="877"/>
      <c r="G350" s="49">
        <f t="shared" si="61"/>
        <v>1</v>
      </c>
      <c r="H350" s="877"/>
      <c r="I350" s="49">
        <f t="shared" si="62"/>
        <v>1</v>
      </c>
      <c r="J350" s="877"/>
      <c r="K350" s="49">
        <f t="shared" si="63"/>
        <v>1</v>
      </c>
      <c r="L350" s="877"/>
      <c r="M350" s="49">
        <f t="shared" si="64"/>
        <v>1</v>
      </c>
      <c r="N350" s="877"/>
      <c r="O350" s="49">
        <f t="shared" si="65"/>
        <v>1</v>
      </c>
      <c r="P350" s="877"/>
      <c r="Q350" s="49">
        <f t="shared" si="66"/>
        <v>1</v>
      </c>
      <c r="R350" s="49">
        <f t="shared" si="67"/>
        <v>0</v>
      </c>
      <c r="S350" s="732">
        <f t="shared" si="58"/>
        <v>0</v>
      </c>
    </row>
    <row r="351" spans="1:19">
      <c r="A351" s="878"/>
      <c r="B351" s="126"/>
      <c r="C351" s="49">
        <f t="shared" si="59"/>
        <v>1</v>
      </c>
      <c r="D351" s="877"/>
      <c r="E351" s="49">
        <f t="shared" si="60"/>
        <v>1</v>
      </c>
      <c r="F351" s="877"/>
      <c r="G351" s="49">
        <f t="shared" si="61"/>
        <v>1</v>
      </c>
      <c r="H351" s="877"/>
      <c r="I351" s="49">
        <f t="shared" si="62"/>
        <v>1</v>
      </c>
      <c r="J351" s="877"/>
      <c r="K351" s="49">
        <f t="shared" si="63"/>
        <v>1</v>
      </c>
      <c r="L351" s="877"/>
      <c r="M351" s="49">
        <f t="shared" si="64"/>
        <v>1</v>
      </c>
      <c r="N351" s="877"/>
      <c r="O351" s="49">
        <f t="shared" si="65"/>
        <v>1</v>
      </c>
      <c r="P351" s="877"/>
      <c r="Q351" s="49">
        <f t="shared" si="66"/>
        <v>1</v>
      </c>
      <c r="R351" s="49">
        <f t="shared" si="67"/>
        <v>0</v>
      </c>
      <c r="S351" s="732">
        <f t="shared" si="58"/>
        <v>0</v>
      </c>
    </row>
    <row r="352" spans="1:19">
      <c r="A352" s="878"/>
      <c r="B352" s="126"/>
      <c r="C352" s="49">
        <f t="shared" si="59"/>
        <v>1</v>
      </c>
      <c r="D352" s="877"/>
      <c r="E352" s="49">
        <f t="shared" si="60"/>
        <v>1</v>
      </c>
      <c r="F352" s="877"/>
      <c r="G352" s="49">
        <f t="shared" si="61"/>
        <v>1</v>
      </c>
      <c r="H352" s="877"/>
      <c r="I352" s="49">
        <f t="shared" si="62"/>
        <v>1</v>
      </c>
      <c r="J352" s="877"/>
      <c r="K352" s="49">
        <f t="shared" si="63"/>
        <v>1</v>
      </c>
      <c r="L352" s="877"/>
      <c r="M352" s="49">
        <f t="shared" si="64"/>
        <v>1</v>
      </c>
      <c r="N352" s="877"/>
      <c r="O352" s="49">
        <f t="shared" si="65"/>
        <v>1</v>
      </c>
      <c r="P352" s="877"/>
      <c r="Q352" s="49">
        <f t="shared" si="66"/>
        <v>1</v>
      </c>
      <c r="R352" s="49">
        <f t="shared" si="67"/>
        <v>0</v>
      </c>
      <c r="S352" s="732">
        <f t="shared" si="58"/>
        <v>0</v>
      </c>
    </row>
    <row r="353" spans="1:19">
      <c r="A353" s="878"/>
      <c r="B353" s="126"/>
      <c r="C353" s="49">
        <f t="shared" si="59"/>
        <v>1</v>
      </c>
      <c r="D353" s="877"/>
      <c r="E353" s="49">
        <f t="shared" si="60"/>
        <v>1</v>
      </c>
      <c r="F353" s="877"/>
      <c r="G353" s="49">
        <f t="shared" si="61"/>
        <v>1</v>
      </c>
      <c r="H353" s="877"/>
      <c r="I353" s="49">
        <f t="shared" si="62"/>
        <v>1</v>
      </c>
      <c r="J353" s="877"/>
      <c r="K353" s="49">
        <f t="shared" si="63"/>
        <v>1</v>
      </c>
      <c r="L353" s="877"/>
      <c r="M353" s="49">
        <f t="shared" si="64"/>
        <v>1</v>
      </c>
      <c r="N353" s="877"/>
      <c r="O353" s="49">
        <f t="shared" si="65"/>
        <v>1</v>
      </c>
      <c r="P353" s="877"/>
      <c r="Q353" s="49">
        <f t="shared" si="66"/>
        <v>1</v>
      </c>
      <c r="R353" s="49">
        <f t="shared" si="67"/>
        <v>0</v>
      </c>
      <c r="S353" s="732">
        <f t="shared" si="58"/>
        <v>0</v>
      </c>
    </row>
    <row r="354" spans="1:19">
      <c r="A354" s="878"/>
      <c r="B354" s="126"/>
      <c r="C354" s="49">
        <f t="shared" si="59"/>
        <v>1</v>
      </c>
      <c r="D354" s="877"/>
      <c r="E354" s="49">
        <f t="shared" si="60"/>
        <v>1</v>
      </c>
      <c r="F354" s="877"/>
      <c r="G354" s="49">
        <f t="shared" si="61"/>
        <v>1</v>
      </c>
      <c r="H354" s="877"/>
      <c r="I354" s="49">
        <f t="shared" si="62"/>
        <v>1</v>
      </c>
      <c r="J354" s="877"/>
      <c r="K354" s="49">
        <f t="shared" si="63"/>
        <v>1</v>
      </c>
      <c r="L354" s="877"/>
      <c r="M354" s="49">
        <f t="shared" si="64"/>
        <v>1</v>
      </c>
      <c r="N354" s="877"/>
      <c r="O354" s="49">
        <f t="shared" si="65"/>
        <v>1</v>
      </c>
      <c r="P354" s="877"/>
      <c r="Q354" s="49">
        <f t="shared" si="66"/>
        <v>1</v>
      </c>
      <c r="R354" s="49">
        <f t="shared" si="67"/>
        <v>0</v>
      </c>
      <c r="S354" s="732">
        <f t="shared" si="58"/>
        <v>0</v>
      </c>
    </row>
    <row r="355" spans="1:19">
      <c r="A355" s="878"/>
      <c r="B355" s="126"/>
      <c r="C355" s="49">
        <f t="shared" si="59"/>
        <v>1</v>
      </c>
      <c r="D355" s="877"/>
      <c r="E355" s="49">
        <f t="shared" si="60"/>
        <v>1</v>
      </c>
      <c r="F355" s="877"/>
      <c r="G355" s="49">
        <f t="shared" si="61"/>
        <v>1</v>
      </c>
      <c r="H355" s="877"/>
      <c r="I355" s="49">
        <f t="shared" si="62"/>
        <v>1</v>
      </c>
      <c r="J355" s="877"/>
      <c r="K355" s="49">
        <f t="shared" si="63"/>
        <v>1</v>
      </c>
      <c r="L355" s="877"/>
      <c r="M355" s="49">
        <f t="shared" si="64"/>
        <v>1</v>
      </c>
      <c r="N355" s="877"/>
      <c r="O355" s="49">
        <f t="shared" si="65"/>
        <v>1</v>
      </c>
      <c r="P355" s="877"/>
      <c r="Q355" s="49">
        <f t="shared" si="66"/>
        <v>1</v>
      </c>
      <c r="R355" s="49">
        <f t="shared" si="67"/>
        <v>0</v>
      </c>
      <c r="S355" s="732">
        <f t="shared" si="58"/>
        <v>0</v>
      </c>
    </row>
    <row r="356" spans="1:19">
      <c r="A356" s="878"/>
      <c r="B356" s="126"/>
      <c r="C356" s="49">
        <f t="shared" si="59"/>
        <v>1</v>
      </c>
      <c r="D356" s="877"/>
      <c r="E356" s="49">
        <f t="shared" si="60"/>
        <v>1</v>
      </c>
      <c r="F356" s="877"/>
      <c r="G356" s="49">
        <f t="shared" si="61"/>
        <v>1</v>
      </c>
      <c r="H356" s="877"/>
      <c r="I356" s="49">
        <f t="shared" si="62"/>
        <v>1</v>
      </c>
      <c r="J356" s="877"/>
      <c r="K356" s="49">
        <f t="shared" si="63"/>
        <v>1</v>
      </c>
      <c r="L356" s="877"/>
      <c r="M356" s="49">
        <f t="shared" si="64"/>
        <v>1</v>
      </c>
      <c r="N356" s="877"/>
      <c r="O356" s="49">
        <f t="shared" si="65"/>
        <v>1</v>
      </c>
      <c r="P356" s="877"/>
      <c r="Q356" s="49">
        <f t="shared" si="66"/>
        <v>1</v>
      </c>
      <c r="R356" s="49">
        <f t="shared" si="67"/>
        <v>0</v>
      </c>
      <c r="S356" s="732">
        <f t="shared" si="58"/>
        <v>0</v>
      </c>
    </row>
    <row r="357" spans="1:19">
      <c r="A357" s="878"/>
      <c r="B357" s="126"/>
      <c r="C357" s="49">
        <f t="shared" si="59"/>
        <v>1</v>
      </c>
      <c r="D357" s="877"/>
      <c r="E357" s="49">
        <f t="shared" si="60"/>
        <v>1</v>
      </c>
      <c r="F357" s="877"/>
      <c r="G357" s="49">
        <f t="shared" si="61"/>
        <v>1</v>
      </c>
      <c r="H357" s="877"/>
      <c r="I357" s="49">
        <f t="shared" si="62"/>
        <v>1</v>
      </c>
      <c r="J357" s="877"/>
      <c r="K357" s="49">
        <f t="shared" si="63"/>
        <v>1</v>
      </c>
      <c r="L357" s="877"/>
      <c r="M357" s="49">
        <f t="shared" si="64"/>
        <v>1</v>
      </c>
      <c r="N357" s="877"/>
      <c r="O357" s="49">
        <f t="shared" si="65"/>
        <v>1</v>
      </c>
      <c r="P357" s="877"/>
      <c r="Q357" s="49">
        <f t="shared" si="66"/>
        <v>1</v>
      </c>
      <c r="R357" s="49">
        <f t="shared" si="67"/>
        <v>0</v>
      </c>
      <c r="S357" s="732">
        <f t="shared" si="58"/>
        <v>0</v>
      </c>
    </row>
    <row r="358" spans="1:19">
      <c r="A358" s="878"/>
      <c r="B358" s="126"/>
      <c r="C358" s="49">
        <f t="shared" si="59"/>
        <v>1</v>
      </c>
      <c r="D358" s="877"/>
      <c r="E358" s="49">
        <f t="shared" si="60"/>
        <v>1</v>
      </c>
      <c r="F358" s="877"/>
      <c r="G358" s="49">
        <f t="shared" si="61"/>
        <v>1</v>
      </c>
      <c r="H358" s="877"/>
      <c r="I358" s="49">
        <f t="shared" si="62"/>
        <v>1</v>
      </c>
      <c r="J358" s="877"/>
      <c r="K358" s="49">
        <f t="shared" si="63"/>
        <v>1</v>
      </c>
      <c r="L358" s="877"/>
      <c r="M358" s="49">
        <f t="shared" si="64"/>
        <v>1</v>
      </c>
      <c r="N358" s="877"/>
      <c r="O358" s="49">
        <f t="shared" si="65"/>
        <v>1</v>
      </c>
      <c r="P358" s="877"/>
      <c r="Q358" s="49">
        <f t="shared" si="66"/>
        <v>1</v>
      </c>
      <c r="R358" s="49">
        <f t="shared" si="67"/>
        <v>0</v>
      </c>
      <c r="S358" s="732">
        <f t="shared" si="58"/>
        <v>0</v>
      </c>
    </row>
    <row r="359" spans="1:19">
      <c r="A359" s="878"/>
      <c r="B359" s="126"/>
      <c r="C359" s="49">
        <f t="shared" si="59"/>
        <v>1</v>
      </c>
      <c r="D359" s="877"/>
      <c r="E359" s="49">
        <f t="shared" si="60"/>
        <v>1</v>
      </c>
      <c r="F359" s="877"/>
      <c r="G359" s="49">
        <f t="shared" si="61"/>
        <v>1</v>
      </c>
      <c r="H359" s="877"/>
      <c r="I359" s="49">
        <f t="shared" si="62"/>
        <v>1</v>
      </c>
      <c r="J359" s="877"/>
      <c r="K359" s="49">
        <f t="shared" si="63"/>
        <v>1</v>
      </c>
      <c r="L359" s="877"/>
      <c r="M359" s="49">
        <f t="shared" si="64"/>
        <v>1</v>
      </c>
      <c r="N359" s="877"/>
      <c r="O359" s="49">
        <f t="shared" si="65"/>
        <v>1</v>
      </c>
      <c r="P359" s="877"/>
      <c r="Q359" s="49">
        <f t="shared" si="66"/>
        <v>1</v>
      </c>
      <c r="R359" s="49">
        <f t="shared" si="67"/>
        <v>0</v>
      </c>
      <c r="S359" s="732">
        <f t="shared" si="58"/>
        <v>0</v>
      </c>
    </row>
    <row r="360" spans="1:19">
      <c r="A360" s="878"/>
      <c r="B360" s="126"/>
      <c r="C360" s="49">
        <f t="shared" si="59"/>
        <v>1</v>
      </c>
      <c r="D360" s="877"/>
      <c r="E360" s="49">
        <f t="shared" si="60"/>
        <v>1</v>
      </c>
      <c r="F360" s="877"/>
      <c r="G360" s="49">
        <f t="shared" si="61"/>
        <v>1</v>
      </c>
      <c r="H360" s="877"/>
      <c r="I360" s="49">
        <f t="shared" si="62"/>
        <v>1</v>
      </c>
      <c r="J360" s="877"/>
      <c r="K360" s="49">
        <f t="shared" si="63"/>
        <v>1</v>
      </c>
      <c r="L360" s="877"/>
      <c r="M360" s="49">
        <f t="shared" si="64"/>
        <v>1</v>
      </c>
      <c r="N360" s="877"/>
      <c r="O360" s="49">
        <f t="shared" si="65"/>
        <v>1</v>
      </c>
      <c r="P360" s="877"/>
      <c r="Q360" s="49">
        <f t="shared" si="66"/>
        <v>1</v>
      </c>
      <c r="R360" s="49">
        <f t="shared" si="67"/>
        <v>0</v>
      </c>
      <c r="S360" s="732">
        <f t="shared" si="58"/>
        <v>0</v>
      </c>
    </row>
    <row r="361" spans="1:19">
      <c r="A361" s="878"/>
      <c r="B361" s="126"/>
      <c r="C361" s="49">
        <f t="shared" si="59"/>
        <v>1</v>
      </c>
      <c r="D361" s="877"/>
      <c r="E361" s="49">
        <f t="shared" si="60"/>
        <v>1</v>
      </c>
      <c r="F361" s="877"/>
      <c r="G361" s="49">
        <f t="shared" si="61"/>
        <v>1</v>
      </c>
      <c r="H361" s="877"/>
      <c r="I361" s="49">
        <f t="shared" si="62"/>
        <v>1</v>
      </c>
      <c r="J361" s="877"/>
      <c r="K361" s="49">
        <f t="shared" si="63"/>
        <v>1</v>
      </c>
      <c r="L361" s="877"/>
      <c r="M361" s="49">
        <f t="shared" si="64"/>
        <v>1</v>
      </c>
      <c r="N361" s="877"/>
      <c r="O361" s="49">
        <f t="shared" si="65"/>
        <v>1</v>
      </c>
      <c r="P361" s="877"/>
      <c r="Q361" s="49">
        <f t="shared" si="66"/>
        <v>1</v>
      </c>
      <c r="R361" s="49">
        <f t="shared" si="67"/>
        <v>0</v>
      </c>
      <c r="S361" s="732">
        <f t="shared" si="58"/>
        <v>0</v>
      </c>
    </row>
    <row r="362" spans="1:19">
      <c r="A362" s="878"/>
      <c r="B362" s="126"/>
      <c r="C362" s="49">
        <f t="shared" si="59"/>
        <v>1</v>
      </c>
      <c r="D362" s="877"/>
      <c r="E362" s="49">
        <f t="shared" si="60"/>
        <v>1</v>
      </c>
      <c r="F362" s="877"/>
      <c r="G362" s="49">
        <f t="shared" si="61"/>
        <v>1</v>
      </c>
      <c r="H362" s="877"/>
      <c r="I362" s="49">
        <f t="shared" si="62"/>
        <v>1</v>
      </c>
      <c r="J362" s="877"/>
      <c r="K362" s="49">
        <f t="shared" si="63"/>
        <v>1</v>
      </c>
      <c r="L362" s="877"/>
      <c r="M362" s="49">
        <f t="shared" si="64"/>
        <v>1</v>
      </c>
      <c r="N362" s="877"/>
      <c r="O362" s="49">
        <f t="shared" si="65"/>
        <v>1</v>
      </c>
      <c r="P362" s="877"/>
      <c r="Q362" s="49">
        <f t="shared" si="66"/>
        <v>1</v>
      </c>
      <c r="R362" s="49">
        <f t="shared" si="67"/>
        <v>0</v>
      </c>
      <c r="S362" s="732">
        <f t="shared" si="58"/>
        <v>0</v>
      </c>
    </row>
    <row r="363" spans="1:19">
      <c r="A363" s="878"/>
      <c r="B363" s="126"/>
      <c r="C363" s="49">
        <f t="shared" si="59"/>
        <v>1</v>
      </c>
      <c r="D363" s="877"/>
      <c r="E363" s="49">
        <f t="shared" si="60"/>
        <v>1</v>
      </c>
      <c r="F363" s="877"/>
      <c r="G363" s="49">
        <f t="shared" si="61"/>
        <v>1</v>
      </c>
      <c r="H363" s="877"/>
      <c r="I363" s="49">
        <f t="shared" si="62"/>
        <v>1</v>
      </c>
      <c r="J363" s="877"/>
      <c r="K363" s="49">
        <f t="shared" si="63"/>
        <v>1</v>
      </c>
      <c r="L363" s="877"/>
      <c r="M363" s="49">
        <f t="shared" si="64"/>
        <v>1</v>
      </c>
      <c r="N363" s="877"/>
      <c r="O363" s="49">
        <f t="shared" si="65"/>
        <v>1</v>
      </c>
      <c r="P363" s="877"/>
      <c r="Q363" s="49">
        <f t="shared" si="66"/>
        <v>1</v>
      </c>
      <c r="R363" s="49">
        <f t="shared" si="67"/>
        <v>0</v>
      </c>
      <c r="S363" s="732">
        <f t="shared" si="58"/>
        <v>0</v>
      </c>
    </row>
    <row r="364" spans="1:19">
      <c r="A364" s="878"/>
      <c r="B364" s="126"/>
      <c r="C364" s="49">
        <f t="shared" si="59"/>
        <v>1</v>
      </c>
      <c r="D364" s="877"/>
      <c r="E364" s="49">
        <f t="shared" si="60"/>
        <v>1</v>
      </c>
      <c r="F364" s="877"/>
      <c r="G364" s="49">
        <f t="shared" si="61"/>
        <v>1</v>
      </c>
      <c r="H364" s="877"/>
      <c r="I364" s="49">
        <f t="shared" si="62"/>
        <v>1</v>
      </c>
      <c r="J364" s="877"/>
      <c r="K364" s="49">
        <f t="shared" si="63"/>
        <v>1</v>
      </c>
      <c r="L364" s="877"/>
      <c r="M364" s="49">
        <f t="shared" si="64"/>
        <v>1</v>
      </c>
      <c r="N364" s="877"/>
      <c r="O364" s="49">
        <f t="shared" si="65"/>
        <v>1</v>
      </c>
      <c r="P364" s="877"/>
      <c r="Q364" s="49">
        <f t="shared" si="66"/>
        <v>1</v>
      </c>
      <c r="R364" s="49">
        <f t="shared" si="67"/>
        <v>0</v>
      </c>
      <c r="S364" s="732">
        <f t="shared" si="58"/>
        <v>0</v>
      </c>
    </row>
    <row r="365" spans="1:19">
      <c r="A365" s="878"/>
      <c r="B365" s="126"/>
      <c r="C365" s="49">
        <f t="shared" si="59"/>
        <v>1</v>
      </c>
      <c r="D365" s="877"/>
      <c r="E365" s="49">
        <f t="shared" si="60"/>
        <v>1</v>
      </c>
      <c r="F365" s="877"/>
      <c r="G365" s="49">
        <f t="shared" si="61"/>
        <v>1</v>
      </c>
      <c r="H365" s="877"/>
      <c r="I365" s="49">
        <f t="shared" si="62"/>
        <v>1</v>
      </c>
      <c r="J365" s="877"/>
      <c r="K365" s="49">
        <f t="shared" si="63"/>
        <v>1</v>
      </c>
      <c r="L365" s="877"/>
      <c r="M365" s="49">
        <f t="shared" si="64"/>
        <v>1</v>
      </c>
      <c r="N365" s="877"/>
      <c r="O365" s="49">
        <f t="shared" si="65"/>
        <v>1</v>
      </c>
      <c r="P365" s="877"/>
      <c r="Q365" s="49">
        <f t="shared" si="66"/>
        <v>1</v>
      </c>
      <c r="R365" s="49">
        <f t="shared" si="67"/>
        <v>0</v>
      </c>
      <c r="S365" s="732">
        <f t="shared" si="58"/>
        <v>0</v>
      </c>
    </row>
    <row r="366" spans="1:19">
      <c r="A366" s="878"/>
      <c r="B366" s="126"/>
      <c r="C366" s="49">
        <f t="shared" si="59"/>
        <v>1</v>
      </c>
      <c r="D366" s="877"/>
      <c r="E366" s="49">
        <f t="shared" si="60"/>
        <v>1</v>
      </c>
      <c r="F366" s="877"/>
      <c r="G366" s="49">
        <f t="shared" si="61"/>
        <v>1</v>
      </c>
      <c r="H366" s="877"/>
      <c r="I366" s="49">
        <f t="shared" si="62"/>
        <v>1</v>
      </c>
      <c r="J366" s="877"/>
      <c r="K366" s="49">
        <f t="shared" si="63"/>
        <v>1</v>
      </c>
      <c r="L366" s="877"/>
      <c r="M366" s="49">
        <f t="shared" si="64"/>
        <v>1</v>
      </c>
      <c r="N366" s="877"/>
      <c r="O366" s="49">
        <f t="shared" si="65"/>
        <v>1</v>
      </c>
      <c r="P366" s="877"/>
      <c r="Q366" s="49">
        <f t="shared" si="66"/>
        <v>1</v>
      </c>
      <c r="R366" s="49">
        <f t="shared" si="67"/>
        <v>0</v>
      </c>
      <c r="S366" s="732">
        <f t="shared" si="58"/>
        <v>0</v>
      </c>
    </row>
    <row r="367" spans="1:19">
      <c r="A367" s="878"/>
      <c r="B367" s="126"/>
      <c r="C367" s="49">
        <f t="shared" si="59"/>
        <v>1</v>
      </c>
      <c r="D367" s="877"/>
      <c r="E367" s="49">
        <f t="shared" si="60"/>
        <v>1</v>
      </c>
      <c r="F367" s="877"/>
      <c r="G367" s="49">
        <f t="shared" si="61"/>
        <v>1</v>
      </c>
      <c r="H367" s="877"/>
      <c r="I367" s="49">
        <f t="shared" si="62"/>
        <v>1</v>
      </c>
      <c r="J367" s="877"/>
      <c r="K367" s="49">
        <f t="shared" si="63"/>
        <v>1</v>
      </c>
      <c r="L367" s="877"/>
      <c r="M367" s="49">
        <f t="shared" si="64"/>
        <v>1</v>
      </c>
      <c r="N367" s="877"/>
      <c r="O367" s="49">
        <f t="shared" si="65"/>
        <v>1</v>
      </c>
      <c r="P367" s="877"/>
      <c r="Q367" s="49">
        <f t="shared" si="66"/>
        <v>1</v>
      </c>
      <c r="R367" s="49">
        <f t="shared" si="67"/>
        <v>0</v>
      </c>
      <c r="S367" s="732">
        <f t="shared" si="58"/>
        <v>0</v>
      </c>
    </row>
    <row r="368" spans="1:19">
      <c r="A368" s="878"/>
      <c r="B368" s="126"/>
      <c r="C368" s="49">
        <f t="shared" si="59"/>
        <v>1</v>
      </c>
      <c r="D368" s="877"/>
      <c r="E368" s="49">
        <f t="shared" si="60"/>
        <v>1</v>
      </c>
      <c r="F368" s="877"/>
      <c r="G368" s="49">
        <f t="shared" si="61"/>
        <v>1</v>
      </c>
      <c r="H368" s="877"/>
      <c r="I368" s="49">
        <f t="shared" si="62"/>
        <v>1</v>
      </c>
      <c r="J368" s="877"/>
      <c r="K368" s="49">
        <f t="shared" si="63"/>
        <v>1</v>
      </c>
      <c r="L368" s="877"/>
      <c r="M368" s="49">
        <f t="shared" si="64"/>
        <v>1</v>
      </c>
      <c r="N368" s="877"/>
      <c r="O368" s="49">
        <f t="shared" si="65"/>
        <v>1</v>
      </c>
      <c r="P368" s="877"/>
      <c r="Q368" s="49">
        <f t="shared" si="66"/>
        <v>1</v>
      </c>
      <c r="R368" s="49">
        <f t="shared" si="67"/>
        <v>0</v>
      </c>
      <c r="S368" s="732">
        <f t="shared" si="58"/>
        <v>0</v>
      </c>
    </row>
    <row r="369" spans="1:19">
      <c r="A369" s="878"/>
      <c r="B369" s="126"/>
      <c r="C369" s="49">
        <f t="shared" si="59"/>
        <v>1</v>
      </c>
      <c r="D369" s="877"/>
      <c r="E369" s="49">
        <f t="shared" si="60"/>
        <v>1</v>
      </c>
      <c r="F369" s="877"/>
      <c r="G369" s="49">
        <f t="shared" si="61"/>
        <v>1</v>
      </c>
      <c r="H369" s="877"/>
      <c r="I369" s="49">
        <f t="shared" si="62"/>
        <v>1</v>
      </c>
      <c r="J369" s="877"/>
      <c r="K369" s="49">
        <f t="shared" si="63"/>
        <v>1</v>
      </c>
      <c r="L369" s="877"/>
      <c r="M369" s="49">
        <f t="shared" si="64"/>
        <v>1</v>
      </c>
      <c r="N369" s="877"/>
      <c r="O369" s="49">
        <f t="shared" si="65"/>
        <v>1</v>
      </c>
      <c r="P369" s="877"/>
      <c r="Q369" s="49">
        <f t="shared" si="66"/>
        <v>1</v>
      </c>
      <c r="R369" s="49">
        <f t="shared" si="67"/>
        <v>0</v>
      </c>
      <c r="S369" s="732">
        <f t="shared" si="58"/>
        <v>0</v>
      </c>
    </row>
    <row r="370" spans="1:19">
      <c r="A370" s="878"/>
      <c r="B370" s="126"/>
      <c r="C370" s="49">
        <f t="shared" si="59"/>
        <v>1</v>
      </c>
      <c r="D370" s="877"/>
      <c r="E370" s="49">
        <f t="shared" si="60"/>
        <v>1</v>
      </c>
      <c r="F370" s="877"/>
      <c r="G370" s="49">
        <f t="shared" si="61"/>
        <v>1</v>
      </c>
      <c r="H370" s="877"/>
      <c r="I370" s="49">
        <f t="shared" si="62"/>
        <v>1</v>
      </c>
      <c r="J370" s="877"/>
      <c r="K370" s="49">
        <f t="shared" si="63"/>
        <v>1</v>
      </c>
      <c r="L370" s="877"/>
      <c r="M370" s="49">
        <f t="shared" si="64"/>
        <v>1</v>
      </c>
      <c r="N370" s="877"/>
      <c r="O370" s="49">
        <f t="shared" si="65"/>
        <v>1</v>
      </c>
      <c r="P370" s="877"/>
      <c r="Q370" s="49">
        <f t="shared" si="66"/>
        <v>1</v>
      </c>
      <c r="R370" s="49">
        <f t="shared" si="67"/>
        <v>0</v>
      </c>
      <c r="S370" s="732">
        <f t="shared" si="58"/>
        <v>0</v>
      </c>
    </row>
    <row r="371" spans="1:19">
      <c r="A371" s="878"/>
      <c r="B371" s="126"/>
      <c r="C371" s="49">
        <f t="shared" si="59"/>
        <v>1</v>
      </c>
      <c r="D371" s="877"/>
      <c r="E371" s="49">
        <f t="shared" si="60"/>
        <v>1</v>
      </c>
      <c r="F371" s="877"/>
      <c r="G371" s="49">
        <f t="shared" si="61"/>
        <v>1</v>
      </c>
      <c r="H371" s="877"/>
      <c r="I371" s="49">
        <f t="shared" si="62"/>
        <v>1</v>
      </c>
      <c r="J371" s="877"/>
      <c r="K371" s="49">
        <f t="shared" si="63"/>
        <v>1</v>
      </c>
      <c r="L371" s="877"/>
      <c r="M371" s="49">
        <f t="shared" si="64"/>
        <v>1</v>
      </c>
      <c r="N371" s="877"/>
      <c r="O371" s="49">
        <f t="shared" si="65"/>
        <v>1</v>
      </c>
      <c r="P371" s="877"/>
      <c r="Q371" s="49">
        <f t="shared" si="66"/>
        <v>1</v>
      </c>
      <c r="R371" s="49">
        <f t="shared" si="67"/>
        <v>0</v>
      </c>
      <c r="S371" s="732">
        <f t="shared" si="58"/>
        <v>0</v>
      </c>
    </row>
    <row r="372" spans="1:19">
      <c r="A372" s="878"/>
      <c r="B372" s="126"/>
      <c r="C372" s="49">
        <f t="shared" si="59"/>
        <v>1</v>
      </c>
      <c r="D372" s="877"/>
      <c r="E372" s="49">
        <f t="shared" si="60"/>
        <v>1</v>
      </c>
      <c r="F372" s="877"/>
      <c r="G372" s="49">
        <f t="shared" si="61"/>
        <v>1</v>
      </c>
      <c r="H372" s="877"/>
      <c r="I372" s="49">
        <f t="shared" si="62"/>
        <v>1</v>
      </c>
      <c r="J372" s="877"/>
      <c r="K372" s="49">
        <f t="shared" si="63"/>
        <v>1</v>
      </c>
      <c r="L372" s="877"/>
      <c r="M372" s="49">
        <f t="shared" si="64"/>
        <v>1</v>
      </c>
      <c r="N372" s="877"/>
      <c r="O372" s="49">
        <f t="shared" si="65"/>
        <v>1</v>
      </c>
      <c r="P372" s="877"/>
      <c r="Q372" s="49">
        <f t="shared" si="66"/>
        <v>1</v>
      </c>
      <c r="R372" s="49">
        <f t="shared" si="67"/>
        <v>0</v>
      </c>
      <c r="S372" s="732">
        <f t="shared" si="58"/>
        <v>0</v>
      </c>
    </row>
    <row r="373" spans="1:19">
      <c r="A373" s="878"/>
      <c r="B373" s="126"/>
      <c r="C373" s="49">
        <f t="shared" si="59"/>
        <v>1</v>
      </c>
      <c r="D373" s="877"/>
      <c r="E373" s="49">
        <f t="shared" si="60"/>
        <v>1</v>
      </c>
      <c r="F373" s="877"/>
      <c r="G373" s="49">
        <f t="shared" si="61"/>
        <v>1</v>
      </c>
      <c r="H373" s="877"/>
      <c r="I373" s="49">
        <f t="shared" si="62"/>
        <v>1</v>
      </c>
      <c r="J373" s="877"/>
      <c r="K373" s="49">
        <f t="shared" si="63"/>
        <v>1</v>
      </c>
      <c r="L373" s="877"/>
      <c r="M373" s="49">
        <f t="shared" si="64"/>
        <v>1</v>
      </c>
      <c r="N373" s="877"/>
      <c r="O373" s="49">
        <f t="shared" si="65"/>
        <v>1</v>
      </c>
      <c r="P373" s="877"/>
      <c r="Q373" s="49">
        <f t="shared" si="66"/>
        <v>1</v>
      </c>
      <c r="R373" s="49">
        <f t="shared" si="67"/>
        <v>0</v>
      </c>
      <c r="S373" s="732">
        <f t="shared" si="58"/>
        <v>0</v>
      </c>
    </row>
    <row r="374" spans="1:19">
      <c r="A374" s="878"/>
      <c r="B374" s="126"/>
      <c r="C374" s="49">
        <f t="shared" si="59"/>
        <v>1</v>
      </c>
      <c r="D374" s="877"/>
      <c r="E374" s="49">
        <f t="shared" si="60"/>
        <v>1</v>
      </c>
      <c r="F374" s="877"/>
      <c r="G374" s="49">
        <f t="shared" si="61"/>
        <v>1</v>
      </c>
      <c r="H374" s="877"/>
      <c r="I374" s="49">
        <f t="shared" si="62"/>
        <v>1</v>
      </c>
      <c r="J374" s="877"/>
      <c r="K374" s="49">
        <f t="shared" si="63"/>
        <v>1</v>
      </c>
      <c r="L374" s="877"/>
      <c r="M374" s="49">
        <f t="shared" si="64"/>
        <v>1</v>
      </c>
      <c r="N374" s="877"/>
      <c r="O374" s="49">
        <f t="shared" si="65"/>
        <v>1</v>
      </c>
      <c r="P374" s="877"/>
      <c r="Q374" s="49">
        <f t="shared" si="66"/>
        <v>1</v>
      </c>
      <c r="R374" s="49">
        <f t="shared" si="67"/>
        <v>0</v>
      </c>
      <c r="S374" s="732">
        <f t="shared" si="58"/>
        <v>0</v>
      </c>
    </row>
    <row r="375" spans="1:19">
      <c r="A375" s="878"/>
      <c r="B375" s="126"/>
      <c r="C375" s="49">
        <f t="shared" si="59"/>
        <v>1</v>
      </c>
      <c r="D375" s="877"/>
      <c r="E375" s="49">
        <f t="shared" si="60"/>
        <v>1</v>
      </c>
      <c r="F375" s="877"/>
      <c r="G375" s="49">
        <f t="shared" si="61"/>
        <v>1</v>
      </c>
      <c r="H375" s="877"/>
      <c r="I375" s="49">
        <f t="shared" si="62"/>
        <v>1</v>
      </c>
      <c r="J375" s="877"/>
      <c r="K375" s="49">
        <f t="shared" si="63"/>
        <v>1</v>
      </c>
      <c r="L375" s="877"/>
      <c r="M375" s="49">
        <f t="shared" si="64"/>
        <v>1</v>
      </c>
      <c r="N375" s="877"/>
      <c r="O375" s="49">
        <f t="shared" si="65"/>
        <v>1</v>
      </c>
      <c r="P375" s="877"/>
      <c r="Q375" s="49">
        <f t="shared" si="66"/>
        <v>1</v>
      </c>
      <c r="R375" s="49">
        <f t="shared" si="67"/>
        <v>0</v>
      </c>
      <c r="S375" s="732">
        <f t="shared" si="58"/>
        <v>0</v>
      </c>
    </row>
    <row r="376" spans="1:19">
      <c r="A376" s="878"/>
      <c r="B376" s="126"/>
      <c r="C376" s="49">
        <f t="shared" si="59"/>
        <v>1</v>
      </c>
      <c r="D376" s="877"/>
      <c r="E376" s="49">
        <f t="shared" si="60"/>
        <v>1</v>
      </c>
      <c r="F376" s="877"/>
      <c r="G376" s="49">
        <f t="shared" si="61"/>
        <v>1</v>
      </c>
      <c r="H376" s="877"/>
      <c r="I376" s="49">
        <f t="shared" si="62"/>
        <v>1</v>
      </c>
      <c r="J376" s="877"/>
      <c r="K376" s="49">
        <f t="shared" si="63"/>
        <v>1</v>
      </c>
      <c r="L376" s="877"/>
      <c r="M376" s="49">
        <f t="shared" si="64"/>
        <v>1</v>
      </c>
      <c r="N376" s="877"/>
      <c r="O376" s="49">
        <f t="shared" si="65"/>
        <v>1</v>
      </c>
      <c r="P376" s="877"/>
      <c r="Q376" s="49">
        <f t="shared" si="66"/>
        <v>1</v>
      </c>
      <c r="R376" s="49">
        <f t="shared" si="67"/>
        <v>0</v>
      </c>
      <c r="S376" s="732">
        <f t="shared" si="58"/>
        <v>0</v>
      </c>
    </row>
    <row r="377" spans="1:19">
      <c r="A377" s="878"/>
      <c r="B377" s="126"/>
      <c r="C377" s="49">
        <f t="shared" si="59"/>
        <v>1</v>
      </c>
      <c r="D377" s="877"/>
      <c r="E377" s="49">
        <f t="shared" si="60"/>
        <v>1</v>
      </c>
      <c r="F377" s="877"/>
      <c r="G377" s="49">
        <f t="shared" si="61"/>
        <v>1</v>
      </c>
      <c r="H377" s="877"/>
      <c r="I377" s="49">
        <f t="shared" si="62"/>
        <v>1</v>
      </c>
      <c r="J377" s="877"/>
      <c r="K377" s="49">
        <f t="shared" si="63"/>
        <v>1</v>
      </c>
      <c r="L377" s="877"/>
      <c r="M377" s="49">
        <f t="shared" si="64"/>
        <v>1</v>
      </c>
      <c r="N377" s="877"/>
      <c r="O377" s="49">
        <f t="shared" si="65"/>
        <v>1</v>
      </c>
      <c r="P377" s="877"/>
      <c r="Q377" s="49">
        <f t="shared" si="66"/>
        <v>1</v>
      </c>
      <c r="R377" s="49">
        <f t="shared" si="67"/>
        <v>0</v>
      </c>
      <c r="S377" s="732">
        <f t="shared" si="58"/>
        <v>0</v>
      </c>
    </row>
    <row r="378" spans="1:19">
      <c r="A378" s="878"/>
      <c r="B378" s="126"/>
      <c r="C378" s="49">
        <f t="shared" si="59"/>
        <v>1</v>
      </c>
      <c r="D378" s="877"/>
      <c r="E378" s="49">
        <f t="shared" si="60"/>
        <v>1</v>
      </c>
      <c r="F378" s="877"/>
      <c r="G378" s="49">
        <f t="shared" si="61"/>
        <v>1</v>
      </c>
      <c r="H378" s="877"/>
      <c r="I378" s="49">
        <f t="shared" si="62"/>
        <v>1</v>
      </c>
      <c r="J378" s="877"/>
      <c r="K378" s="49">
        <f t="shared" si="63"/>
        <v>1</v>
      </c>
      <c r="L378" s="877"/>
      <c r="M378" s="49">
        <f t="shared" si="64"/>
        <v>1</v>
      </c>
      <c r="N378" s="877"/>
      <c r="O378" s="49">
        <f t="shared" si="65"/>
        <v>1</v>
      </c>
      <c r="P378" s="877"/>
      <c r="Q378" s="49">
        <f t="shared" si="66"/>
        <v>1</v>
      </c>
      <c r="R378" s="49">
        <f t="shared" si="67"/>
        <v>0</v>
      </c>
      <c r="S378" s="732">
        <f t="shared" si="58"/>
        <v>0</v>
      </c>
    </row>
    <row r="379" spans="1:19">
      <c r="A379" s="878"/>
      <c r="B379" s="126"/>
      <c r="C379" s="49">
        <f t="shared" si="59"/>
        <v>1</v>
      </c>
      <c r="D379" s="877"/>
      <c r="E379" s="49">
        <f t="shared" si="60"/>
        <v>1</v>
      </c>
      <c r="F379" s="877"/>
      <c r="G379" s="49">
        <f t="shared" si="61"/>
        <v>1</v>
      </c>
      <c r="H379" s="877"/>
      <c r="I379" s="49">
        <f t="shared" si="62"/>
        <v>1</v>
      </c>
      <c r="J379" s="877"/>
      <c r="K379" s="49">
        <f t="shared" si="63"/>
        <v>1</v>
      </c>
      <c r="L379" s="877"/>
      <c r="M379" s="49">
        <f t="shared" si="64"/>
        <v>1</v>
      </c>
      <c r="N379" s="877"/>
      <c r="O379" s="49">
        <f t="shared" si="65"/>
        <v>1</v>
      </c>
      <c r="P379" s="877"/>
      <c r="Q379" s="49">
        <f t="shared" si="66"/>
        <v>1</v>
      </c>
      <c r="R379" s="49">
        <f t="shared" si="67"/>
        <v>0</v>
      </c>
      <c r="S379" s="732">
        <f t="shared" si="58"/>
        <v>0</v>
      </c>
    </row>
    <row r="380" spans="1:19">
      <c r="A380" s="878"/>
      <c r="B380" s="126"/>
      <c r="C380" s="49">
        <f t="shared" si="59"/>
        <v>1</v>
      </c>
      <c r="D380" s="877"/>
      <c r="E380" s="49">
        <f t="shared" si="60"/>
        <v>1</v>
      </c>
      <c r="F380" s="877"/>
      <c r="G380" s="49">
        <f t="shared" si="61"/>
        <v>1</v>
      </c>
      <c r="H380" s="877"/>
      <c r="I380" s="49">
        <f t="shared" si="62"/>
        <v>1</v>
      </c>
      <c r="J380" s="877"/>
      <c r="K380" s="49">
        <f t="shared" si="63"/>
        <v>1</v>
      </c>
      <c r="L380" s="877"/>
      <c r="M380" s="49">
        <f t="shared" si="64"/>
        <v>1</v>
      </c>
      <c r="N380" s="877"/>
      <c r="O380" s="49">
        <f t="shared" si="65"/>
        <v>1</v>
      </c>
      <c r="P380" s="877"/>
      <c r="Q380" s="49">
        <f t="shared" si="66"/>
        <v>1</v>
      </c>
      <c r="R380" s="49">
        <f t="shared" si="67"/>
        <v>0</v>
      </c>
      <c r="S380" s="732">
        <f t="shared" si="58"/>
        <v>0</v>
      </c>
    </row>
    <row r="381" spans="1:19">
      <c r="A381" s="878"/>
      <c r="B381" s="126"/>
      <c r="C381" s="49">
        <f t="shared" si="59"/>
        <v>1</v>
      </c>
      <c r="D381" s="877"/>
      <c r="E381" s="49">
        <f t="shared" si="60"/>
        <v>1</v>
      </c>
      <c r="F381" s="877"/>
      <c r="G381" s="49">
        <f t="shared" si="61"/>
        <v>1</v>
      </c>
      <c r="H381" s="877"/>
      <c r="I381" s="49">
        <f t="shared" si="62"/>
        <v>1</v>
      </c>
      <c r="J381" s="877"/>
      <c r="K381" s="49">
        <f t="shared" si="63"/>
        <v>1</v>
      </c>
      <c r="L381" s="877"/>
      <c r="M381" s="49">
        <f t="shared" si="64"/>
        <v>1</v>
      </c>
      <c r="N381" s="877"/>
      <c r="O381" s="49">
        <f t="shared" si="65"/>
        <v>1</v>
      </c>
      <c r="P381" s="877"/>
      <c r="Q381" s="49">
        <f t="shared" si="66"/>
        <v>1</v>
      </c>
      <c r="R381" s="49">
        <f t="shared" si="67"/>
        <v>0</v>
      </c>
      <c r="S381" s="732">
        <f t="shared" si="58"/>
        <v>0</v>
      </c>
    </row>
    <row r="382" spans="1:19">
      <c r="A382" s="878"/>
      <c r="B382" s="126"/>
      <c r="C382" s="49">
        <f t="shared" si="59"/>
        <v>1</v>
      </c>
      <c r="D382" s="877"/>
      <c r="E382" s="49">
        <f t="shared" si="60"/>
        <v>1</v>
      </c>
      <c r="F382" s="877"/>
      <c r="G382" s="49">
        <f t="shared" si="61"/>
        <v>1</v>
      </c>
      <c r="H382" s="877"/>
      <c r="I382" s="49">
        <f t="shared" si="62"/>
        <v>1</v>
      </c>
      <c r="J382" s="877"/>
      <c r="K382" s="49">
        <f t="shared" si="63"/>
        <v>1</v>
      </c>
      <c r="L382" s="877"/>
      <c r="M382" s="49">
        <f t="shared" si="64"/>
        <v>1</v>
      </c>
      <c r="N382" s="877"/>
      <c r="O382" s="49">
        <f t="shared" si="65"/>
        <v>1</v>
      </c>
      <c r="P382" s="877"/>
      <c r="Q382" s="49">
        <f t="shared" si="66"/>
        <v>1</v>
      </c>
      <c r="R382" s="49">
        <f t="shared" si="67"/>
        <v>0</v>
      </c>
      <c r="S382" s="732">
        <f t="shared" si="58"/>
        <v>0</v>
      </c>
    </row>
    <row r="383" spans="1:19">
      <c r="A383" s="878"/>
      <c r="B383" s="126"/>
      <c r="C383" s="49">
        <f t="shared" si="59"/>
        <v>1</v>
      </c>
      <c r="D383" s="877"/>
      <c r="E383" s="49">
        <f t="shared" si="60"/>
        <v>1</v>
      </c>
      <c r="F383" s="877"/>
      <c r="G383" s="49">
        <f t="shared" si="61"/>
        <v>1</v>
      </c>
      <c r="H383" s="877"/>
      <c r="I383" s="49">
        <f t="shared" si="62"/>
        <v>1</v>
      </c>
      <c r="J383" s="877"/>
      <c r="K383" s="49">
        <f t="shared" si="63"/>
        <v>1</v>
      </c>
      <c r="L383" s="877"/>
      <c r="M383" s="49">
        <f t="shared" si="64"/>
        <v>1</v>
      </c>
      <c r="N383" s="877"/>
      <c r="O383" s="49">
        <f t="shared" si="65"/>
        <v>1</v>
      </c>
      <c r="P383" s="877"/>
      <c r="Q383" s="49">
        <f t="shared" si="66"/>
        <v>1</v>
      </c>
      <c r="R383" s="49">
        <f t="shared" si="67"/>
        <v>0</v>
      </c>
      <c r="S383" s="732">
        <f t="shared" si="58"/>
        <v>0</v>
      </c>
    </row>
    <row r="384" spans="1:19">
      <c r="A384" s="878"/>
      <c r="B384" s="126"/>
      <c r="C384" s="49">
        <f t="shared" si="59"/>
        <v>1</v>
      </c>
      <c r="D384" s="877"/>
      <c r="E384" s="49">
        <f t="shared" si="60"/>
        <v>1</v>
      </c>
      <c r="F384" s="877"/>
      <c r="G384" s="49">
        <f t="shared" si="61"/>
        <v>1</v>
      </c>
      <c r="H384" s="877"/>
      <c r="I384" s="49">
        <f t="shared" si="62"/>
        <v>1</v>
      </c>
      <c r="J384" s="877"/>
      <c r="K384" s="49">
        <f t="shared" si="63"/>
        <v>1</v>
      </c>
      <c r="L384" s="877"/>
      <c r="M384" s="49">
        <f t="shared" si="64"/>
        <v>1</v>
      </c>
      <c r="N384" s="877"/>
      <c r="O384" s="49">
        <f t="shared" si="65"/>
        <v>1</v>
      </c>
      <c r="P384" s="877"/>
      <c r="Q384" s="49">
        <f t="shared" si="66"/>
        <v>1</v>
      </c>
      <c r="R384" s="49">
        <f t="shared" si="67"/>
        <v>0</v>
      </c>
      <c r="S384" s="732">
        <f t="shared" si="58"/>
        <v>0</v>
      </c>
    </row>
    <row r="385" spans="1:19">
      <c r="A385" s="878"/>
      <c r="B385" s="126"/>
      <c r="C385" s="49">
        <f t="shared" si="59"/>
        <v>1</v>
      </c>
      <c r="D385" s="877"/>
      <c r="E385" s="49">
        <f t="shared" si="60"/>
        <v>1</v>
      </c>
      <c r="F385" s="877"/>
      <c r="G385" s="49">
        <f t="shared" si="61"/>
        <v>1</v>
      </c>
      <c r="H385" s="877"/>
      <c r="I385" s="49">
        <f t="shared" si="62"/>
        <v>1</v>
      </c>
      <c r="J385" s="877"/>
      <c r="K385" s="49">
        <f t="shared" si="63"/>
        <v>1</v>
      </c>
      <c r="L385" s="877"/>
      <c r="M385" s="49">
        <f t="shared" si="64"/>
        <v>1</v>
      </c>
      <c r="N385" s="877"/>
      <c r="O385" s="49">
        <f t="shared" si="65"/>
        <v>1</v>
      </c>
      <c r="P385" s="877"/>
      <c r="Q385" s="49">
        <f t="shared" si="66"/>
        <v>1</v>
      </c>
      <c r="R385" s="49">
        <f t="shared" si="67"/>
        <v>0</v>
      </c>
      <c r="S385" s="732">
        <f t="shared" ref="S385:S422" si="68">ROUND(R385*B385/10000,0)</f>
        <v>0</v>
      </c>
    </row>
    <row r="386" spans="1:19">
      <c r="A386" s="878"/>
      <c r="B386" s="126"/>
      <c r="C386" s="49">
        <f t="shared" si="59"/>
        <v>1</v>
      </c>
      <c r="D386" s="877"/>
      <c r="E386" s="49">
        <f t="shared" si="60"/>
        <v>1</v>
      </c>
      <c r="F386" s="877"/>
      <c r="G386" s="49">
        <f t="shared" si="61"/>
        <v>1</v>
      </c>
      <c r="H386" s="877"/>
      <c r="I386" s="49">
        <f t="shared" si="62"/>
        <v>1</v>
      </c>
      <c r="J386" s="877"/>
      <c r="K386" s="49">
        <f t="shared" si="63"/>
        <v>1</v>
      </c>
      <c r="L386" s="877"/>
      <c r="M386" s="49">
        <f t="shared" si="64"/>
        <v>1</v>
      </c>
      <c r="N386" s="877"/>
      <c r="O386" s="49">
        <f t="shared" si="65"/>
        <v>1</v>
      </c>
      <c r="P386" s="877"/>
      <c r="Q386" s="49">
        <f t="shared" si="66"/>
        <v>1</v>
      </c>
      <c r="R386" s="49">
        <f t="shared" si="67"/>
        <v>0</v>
      </c>
      <c r="S386" s="732">
        <f t="shared" si="68"/>
        <v>0</v>
      </c>
    </row>
    <row r="387" spans="1:19">
      <c r="A387" s="878"/>
      <c r="B387" s="126"/>
      <c r="C387" s="49">
        <f t="shared" si="59"/>
        <v>1</v>
      </c>
      <c r="D387" s="877"/>
      <c r="E387" s="49">
        <f t="shared" si="60"/>
        <v>1</v>
      </c>
      <c r="F387" s="877"/>
      <c r="G387" s="49">
        <f t="shared" si="61"/>
        <v>1</v>
      </c>
      <c r="H387" s="877"/>
      <c r="I387" s="49">
        <f t="shared" si="62"/>
        <v>1</v>
      </c>
      <c r="J387" s="877"/>
      <c r="K387" s="49">
        <f t="shared" si="63"/>
        <v>1</v>
      </c>
      <c r="L387" s="877"/>
      <c r="M387" s="49">
        <f t="shared" si="64"/>
        <v>1</v>
      </c>
      <c r="N387" s="877"/>
      <c r="O387" s="49">
        <f t="shared" si="65"/>
        <v>1</v>
      </c>
      <c r="P387" s="877"/>
      <c r="Q387" s="49">
        <f t="shared" si="66"/>
        <v>1</v>
      </c>
      <c r="R387" s="49">
        <f t="shared" si="67"/>
        <v>0</v>
      </c>
      <c r="S387" s="732">
        <f t="shared" si="68"/>
        <v>0</v>
      </c>
    </row>
    <row r="388" spans="1:19">
      <c r="A388" s="878"/>
      <c r="B388" s="126"/>
      <c r="C388" s="49">
        <f t="shared" si="59"/>
        <v>1</v>
      </c>
      <c r="D388" s="877"/>
      <c r="E388" s="49">
        <f t="shared" si="60"/>
        <v>1</v>
      </c>
      <c r="F388" s="877"/>
      <c r="G388" s="49">
        <f t="shared" si="61"/>
        <v>1</v>
      </c>
      <c r="H388" s="877"/>
      <c r="I388" s="49">
        <f t="shared" si="62"/>
        <v>1</v>
      </c>
      <c r="J388" s="877"/>
      <c r="K388" s="49">
        <f t="shared" si="63"/>
        <v>1</v>
      </c>
      <c r="L388" s="877"/>
      <c r="M388" s="49">
        <f t="shared" si="64"/>
        <v>1</v>
      </c>
      <c r="N388" s="877"/>
      <c r="O388" s="49">
        <f t="shared" si="65"/>
        <v>1</v>
      </c>
      <c r="P388" s="877"/>
      <c r="Q388" s="49">
        <f t="shared" si="66"/>
        <v>1</v>
      </c>
      <c r="R388" s="49">
        <f t="shared" si="67"/>
        <v>0</v>
      </c>
      <c r="S388" s="732">
        <f t="shared" si="68"/>
        <v>0</v>
      </c>
    </row>
    <row r="389" spans="1:19">
      <c r="A389" s="878"/>
      <c r="B389" s="126"/>
      <c r="C389" s="49">
        <f t="shared" si="59"/>
        <v>1</v>
      </c>
      <c r="D389" s="877"/>
      <c r="E389" s="49">
        <f t="shared" si="60"/>
        <v>1</v>
      </c>
      <c r="F389" s="877"/>
      <c r="G389" s="49">
        <f t="shared" si="61"/>
        <v>1</v>
      </c>
      <c r="H389" s="877"/>
      <c r="I389" s="49">
        <f t="shared" si="62"/>
        <v>1</v>
      </c>
      <c r="J389" s="877"/>
      <c r="K389" s="49">
        <f t="shared" si="63"/>
        <v>1</v>
      </c>
      <c r="L389" s="877"/>
      <c r="M389" s="49">
        <f t="shared" si="64"/>
        <v>1</v>
      </c>
      <c r="N389" s="877"/>
      <c r="O389" s="49">
        <f t="shared" si="65"/>
        <v>1</v>
      </c>
      <c r="P389" s="877"/>
      <c r="Q389" s="49">
        <f t="shared" si="66"/>
        <v>1</v>
      </c>
      <c r="R389" s="49">
        <f t="shared" si="67"/>
        <v>0</v>
      </c>
      <c r="S389" s="732">
        <f t="shared" si="68"/>
        <v>0</v>
      </c>
    </row>
    <row r="390" spans="1:19">
      <c r="A390" s="878"/>
      <c r="B390" s="126"/>
      <c r="C390" s="49">
        <f t="shared" si="59"/>
        <v>1</v>
      </c>
      <c r="D390" s="877"/>
      <c r="E390" s="49">
        <f t="shared" si="60"/>
        <v>1</v>
      </c>
      <c r="F390" s="877"/>
      <c r="G390" s="49">
        <f t="shared" si="61"/>
        <v>1</v>
      </c>
      <c r="H390" s="877"/>
      <c r="I390" s="49">
        <f t="shared" si="62"/>
        <v>1</v>
      </c>
      <c r="J390" s="877"/>
      <c r="K390" s="49">
        <f t="shared" si="63"/>
        <v>1</v>
      </c>
      <c r="L390" s="877"/>
      <c r="M390" s="49">
        <f t="shared" si="64"/>
        <v>1</v>
      </c>
      <c r="N390" s="877"/>
      <c r="O390" s="49">
        <f t="shared" si="65"/>
        <v>1</v>
      </c>
      <c r="P390" s="877"/>
      <c r="Q390" s="49">
        <f t="shared" si="66"/>
        <v>1</v>
      </c>
      <c r="R390" s="49">
        <f t="shared" si="67"/>
        <v>0</v>
      </c>
      <c r="S390" s="732">
        <f t="shared" si="68"/>
        <v>0</v>
      </c>
    </row>
    <row r="391" spans="1:19">
      <c r="A391" s="878"/>
      <c r="B391" s="126"/>
      <c r="C391" s="49">
        <f t="shared" si="59"/>
        <v>1</v>
      </c>
      <c r="D391" s="877"/>
      <c r="E391" s="49">
        <f t="shared" si="60"/>
        <v>1</v>
      </c>
      <c r="F391" s="877"/>
      <c r="G391" s="49">
        <f t="shared" si="61"/>
        <v>1</v>
      </c>
      <c r="H391" s="877"/>
      <c r="I391" s="49">
        <f t="shared" si="62"/>
        <v>1</v>
      </c>
      <c r="J391" s="877"/>
      <c r="K391" s="49">
        <f t="shared" si="63"/>
        <v>1</v>
      </c>
      <c r="L391" s="877"/>
      <c r="M391" s="49">
        <f t="shared" si="64"/>
        <v>1</v>
      </c>
      <c r="N391" s="877"/>
      <c r="O391" s="49">
        <f t="shared" si="65"/>
        <v>1</v>
      </c>
      <c r="P391" s="877"/>
      <c r="Q391" s="49">
        <f t="shared" si="66"/>
        <v>1</v>
      </c>
      <c r="R391" s="49">
        <f t="shared" si="67"/>
        <v>0</v>
      </c>
      <c r="S391" s="732">
        <f t="shared" si="68"/>
        <v>0</v>
      </c>
    </row>
    <row r="392" spans="1:19">
      <c r="A392" s="878"/>
      <c r="B392" s="126"/>
      <c r="C392" s="49">
        <f t="shared" si="59"/>
        <v>1</v>
      </c>
      <c r="D392" s="877"/>
      <c r="E392" s="49">
        <f t="shared" si="60"/>
        <v>1</v>
      </c>
      <c r="F392" s="877"/>
      <c r="G392" s="49">
        <f t="shared" si="61"/>
        <v>1</v>
      </c>
      <c r="H392" s="877"/>
      <c r="I392" s="49">
        <f t="shared" si="62"/>
        <v>1</v>
      </c>
      <c r="J392" s="877"/>
      <c r="K392" s="49">
        <f t="shared" si="63"/>
        <v>1</v>
      </c>
      <c r="L392" s="877"/>
      <c r="M392" s="49">
        <f t="shared" si="64"/>
        <v>1</v>
      </c>
      <c r="N392" s="877"/>
      <c r="O392" s="49">
        <f t="shared" si="65"/>
        <v>1</v>
      </c>
      <c r="P392" s="877"/>
      <c r="Q392" s="49">
        <f t="shared" si="66"/>
        <v>1</v>
      </c>
      <c r="R392" s="49">
        <f t="shared" si="67"/>
        <v>0</v>
      </c>
      <c r="S392" s="732">
        <f t="shared" si="68"/>
        <v>0</v>
      </c>
    </row>
    <row r="393" spans="1:19">
      <c r="A393" s="878"/>
      <c r="B393" s="126"/>
      <c r="C393" s="49">
        <f t="shared" si="59"/>
        <v>1</v>
      </c>
      <c r="D393" s="877"/>
      <c r="E393" s="49">
        <f t="shared" si="60"/>
        <v>1</v>
      </c>
      <c r="F393" s="877"/>
      <c r="G393" s="49">
        <f t="shared" si="61"/>
        <v>1</v>
      </c>
      <c r="H393" s="877"/>
      <c r="I393" s="49">
        <f t="shared" si="62"/>
        <v>1</v>
      </c>
      <c r="J393" s="877"/>
      <c r="K393" s="49">
        <f t="shared" si="63"/>
        <v>1</v>
      </c>
      <c r="L393" s="877"/>
      <c r="M393" s="49">
        <f t="shared" si="64"/>
        <v>1</v>
      </c>
      <c r="N393" s="877"/>
      <c r="O393" s="49">
        <f t="shared" si="65"/>
        <v>1</v>
      </c>
      <c r="P393" s="877"/>
      <c r="Q393" s="49">
        <f t="shared" si="66"/>
        <v>1</v>
      </c>
      <c r="R393" s="49">
        <f t="shared" si="67"/>
        <v>0</v>
      </c>
      <c r="S393" s="732">
        <f t="shared" si="68"/>
        <v>0</v>
      </c>
    </row>
    <row r="394" spans="1:19">
      <c r="A394" s="878"/>
      <c r="B394" s="126"/>
      <c r="C394" s="49">
        <f t="shared" si="59"/>
        <v>1</v>
      </c>
      <c r="D394" s="877"/>
      <c r="E394" s="49">
        <f t="shared" si="60"/>
        <v>1</v>
      </c>
      <c r="F394" s="877"/>
      <c r="G394" s="49">
        <f t="shared" si="61"/>
        <v>1</v>
      </c>
      <c r="H394" s="877"/>
      <c r="I394" s="49">
        <f t="shared" si="62"/>
        <v>1</v>
      </c>
      <c r="J394" s="877"/>
      <c r="K394" s="49">
        <f t="shared" si="63"/>
        <v>1</v>
      </c>
      <c r="L394" s="877"/>
      <c r="M394" s="49">
        <f t="shared" si="64"/>
        <v>1</v>
      </c>
      <c r="N394" s="877"/>
      <c r="O394" s="49">
        <f t="shared" si="65"/>
        <v>1</v>
      </c>
      <c r="P394" s="877"/>
      <c r="Q394" s="49">
        <f t="shared" si="66"/>
        <v>1</v>
      </c>
      <c r="R394" s="49">
        <f t="shared" si="67"/>
        <v>0</v>
      </c>
      <c r="S394" s="732">
        <f t="shared" si="68"/>
        <v>0</v>
      </c>
    </row>
    <row r="395" spans="1:19">
      <c r="A395" s="878"/>
      <c r="B395" s="126"/>
      <c r="C395" s="49">
        <f t="shared" si="59"/>
        <v>1</v>
      </c>
      <c r="D395" s="877"/>
      <c r="E395" s="49">
        <f t="shared" si="60"/>
        <v>1</v>
      </c>
      <c r="F395" s="877"/>
      <c r="G395" s="49">
        <f t="shared" si="61"/>
        <v>1</v>
      </c>
      <c r="H395" s="877"/>
      <c r="I395" s="49">
        <f t="shared" si="62"/>
        <v>1</v>
      </c>
      <c r="J395" s="877"/>
      <c r="K395" s="49">
        <f t="shared" si="63"/>
        <v>1</v>
      </c>
      <c r="L395" s="877"/>
      <c r="M395" s="49">
        <f t="shared" si="64"/>
        <v>1</v>
      </c>
      <c r="N395" s="877"/>
      <c r="O395" s="49">
        <f t="shared" si="65"/>
        <v>1</v>
      </c>
      <c r="P395" s="877"/>
      <c r="Q395" s="49">
        <f t="shared" si="66"/>
        <v>1</v>
      </c>
      <c r="R395" s="49">
        <f t="shared" si="67"/>
        <v>0</v>
      </c>
      <c r="S395" s="732">
        <f t="shared" si="68"/>
        <v>0</v>
      </c>
    </row>
    <row r="396" spans="1:19">
      <c r="A396" s="878"/>
      <c r="B396" s="126"/>
      <c r="C396" s="49">
        <f t="shared" si="59"/>
        <v>1</v>
      </c>
      <c r="D396" s="877"/>
      <c r="E396" s="49">
        <f t="shared" si="60"/>
        <v>1</v>
      </c>
      <c r="F396" s="877"/>
      <c r="G396" s="49">
        <f t="shared" si="61"/>
        <v>1</v>
      </c>
      <c r="H396" s="877"/>
      <c r="I396" s="49">
        <f t="shared" si="62"/>
        <v>1</v>
      </c>
      <c r="J396" s="877"/>
      <c r="K396" s="49">
        <f t="shared" si="63"/>
        <v>1</v>
      </c>
      <c r="L396" s="877"/>
      <c r="M396" s="49">
        <f t="shared" si="64"/>
        <v>1</v>
      </c>
      <c r="N396" s="877"/>
      <c r="O396" s="49">
        <f t="shared" si="65"/>
        <v>1</v>
      </c>
      <c r="P396" s="877"/>
      <c r="Q396" s="49">
        <f t="shared" si="66"/>
        <v>1</v>
      </c>
      <c r="R396" s="49">
        <f t="shared" si="67"/>
        <v>0</v>
      </c>
      <c r="S396" s="732">
        <f t="shared" si="68"/>
        <v>0</v>
      </c>
    </row>
    <row r="397" spans="1:19">
      <c r="A397" s="878"/>
      <c r="B397" s="126"/>
      <c r="C397" s="49">
        <f t="shared" si="59"/>
        <v>1</v>
      </c>
      <c r="D397" s="877"/>
      <c r="E397" s="49">
        <f t="shared" si="60"/>
        <v>1</v>
      </c>
      <c r="F397" s="877"/>
      <c r="G397" s="49">
        <f t="shared" si="61"/>
        <v>1</v>
      </c>
      <c r="H397" s="877"/>
      <c r="I397" s="49">
        <f t="shared" si="62"/>
        <v>1</v>
      </c>
      <c r="J397" s="877"/>
      <c r="K397" s="49">
        <f t="shared" si="63"/>
        <v>1</v>
      </c>
      <c r="L397" s="877"/>
      <c r="M397" s="49">
        <f t="shared" si="64"/>
        <v>1</v>
      </c>
      <c r="N397" s="877"/>
      <c r="O397" s="49">
        <f t="shared" si="65"/>
        <v>1</v>
      </c>
      <c r="P397" s="877"/>
      <c r="Q397" s="49">
        <f t="shared" si="66"/>
        <v>1</v>
      </c>
      <c r="R397" s="49">
        <f t="shared" si="67"/>
        <v>0</v>
      </c>
      <c r="S397" s="732">
        <f t="shared" si="68"/>
        <v>0</v>
      </c>
    </row>
    <row r="398" spans="1:19">
      <c r="A398" s="878"/>
      <c r="B398" s="126"/>
      <c r="C398" s="49">
        <f t="shared" si="59"/>
        <v>1</v>
      </c>
      <c r="D398" s="877"/>
      <c r="E398" s="49">
        <f t="shared" si="60"/>
        <v>1</v>
      </c>
      <c r="F398" s="877"/>
      <c r="G398" s="49">
        <f t="shared" si="61"/>
        <v>1</v>
      </c>
      <c r="H398" s="877"/>
      <c r="I398" s="49">
        <f t="shared" si="62"/>
        <v>1</v>
      </c>
      <c r="J398" s="877"/>
      <c r="K398" s="49">
        <f t="shared" si="63"/>
        <v>1</v>
      </c>
      <c r="L398" s="877"/>
      <c r="M398" s="49">
        <f t="shared" si="64"/>
        <v>1</v>
      </c>
      <c r="N398" s="877"/>
      <c r="O398" s="49">
        <f t="shared" si="65"/>
        <v>1</v>
      </c>
      <c r="P398" s="877"/>
      <c r="Q398" s="49">
        <f t="shared" si="66"/>
        <v>1</v>
      </c>
      <c r="R398" s="49">
        <f t="shared" si="67"/>
        <v>0</v>
      </c>
      <c r="S398" s="732">
        <f t="shared" si="68"/>
        <v>0</v>
      </c>
    </row>
    <row r="399" spans="1:19">
      <c r="A399" s="878"/>
      <c r="B399" s="126"/>
      <c r="C399" s="49">
        <f t="shared" si="59"/>
        <v>1</v>
      </c>
      <c r="D399" s="877"/>
      <c r="E399" s="49">
        <f t="shared" si="60"/>
        <v>1</v>
      </c>
      <c r="F399" s="877"/>
      <c r="G399" s="49">
        <f t="shared" si="61"/>
        <v>1</v>
      </c>
      <c r="H399" s="877"/>
      <c r="I399" s="49">
        <f t="shared" si="62"/>
        <v>1</v>
      </c>
      <c r="J399" s="877"/>
      <c r="K399" s="49">
        <f t="shared" si="63"/>
        <v>1</v>
      </c>
      <c r="L399" s="877"/>
      <c r="M399" s="49">
        <f t="shared" si="64"/>
        <v>1</v>
      </c>
      <c r="N399" s="877"/>
      <c r="O399" s="49">
        <f t="shared" si="65"/>
        <v>1</v>
      </c>
      <c r="P399" s="877"/>
      <c r="Q399" s="49">
        <f t="shared" si="66"/>
        <v>1</v>
      </c>
      <c r="R399" s="49">
        <f t="shared" si="67"/>
        <v>0</v>
      </c>
      <c r="S399" s="732">
        <f t="shared" si="68"/>
        <v>0</v>
      </c>
    </row>
    <row r="400" spans="1:19">
      <c r="A400" s="878"/>
      <c r="B400" s="126"/>
      <c r="C400" s="49">
        <f t="shared" si="59"/>
        <v>1</v>
      </c>
      <c r="D400" s="877"/>
      <c r="E400" s="49">
        <f t="shared" si="60"/>
        <v>1</v>
      </c>
      <c r="F400" s="877"/>
      <c r="G400" s="49">
        <f t="shared" si="61"/>
        <v>1</v>
      </c>
      <c r="H400" s="877"/>
      <c r="I400" s="49">
        <f t="shared" si="62"/>
        <v>1</v>
      </c>
      <c r="J400" s="877"/>
      <c r="K400" s="49">
        <f t="shared" si="63"/>
        <v>1</v>
      </c>
      <c r="L400" s="877"/>
      <c r="M400" s="49">
        <f t="shared" si="64"/>
        <v>1</v>
      </c>
      <c r="N400" s="877"/>
      <c r="O400" s="49">
        <f t="shared" si="65"/>
        <v>1</v>
      </c>
      <c r="P400" s="877"/>
      <c r="Q400" s="49">
        <f t="shared" si="66"/>
        <v>1</v>
      </c>
      <c r="R400" s="49">
        <f t="shared" si="67"/>
        <v>0</v>
      </c>
      <c r="S400" s="732">
        <f t="shared" si="68"/>
        <v>0</v>
      </c>
    </row>
    <row r="401" spans="1:19">
      <c r="A401" s="878"/>
      <c r="B401" s="126"/>
      <c r="C401" s="49">
        <f t="shared" si="59"/>
        <v>1</v>
      </c>
      <c r="D401" s="877"/>
      <c r="E401" s="49">
        <f t="shared" si="60"/>
        <v>1</v>
      </c>
      <c r="F401" s="877"/>
      <c r="G401" s="49">
        <f t="shared" si="61"/>
        <v>1</v>
      </c>
      <c r="H401" s="877"/>
      <c r="I401" s="49">
        <f t="shared" si="62"/>
        <v>1</v>
      </c>
      <c r="J401" s="877"/>
      <c r="K401" s="49">
        <f t="shared" si="63"/>
        <v>1</v>
      </c>
      <c r="L401" s="877"/>
      <c r="M401" s="49">
        <f t="shared" si="64"/>
        <v>1</v>
      </c>
      <c r="N401" s="877"/>
      <c r="O401" s="49">
        <f t="shared" si="65"/>
        <v>1</v>
      </c>
      <c r="P401" s="877"/>
      <c r="Q401" s="49">
        <f t="shared" si="66"/>
        <v>1</v>
      </c>
      <c r="R401" s="49">
        <f t="shared" si="67"/>
        <v>0</v>
      </c>
      <c r="S401" s="732">
        <f t="shared" si="68"/>
        <v>0</v>
      </c>
    </row>
    <row r="402" spans="1:19">
      <c r="A402" s="878"/>
      <c r="B402" s="126"/>
      <c r="C402" s="49">
        <f t="shared" si="59"/>
        <v>1</v>
      </c>
      <c r="D402" s="877"/>
      <c r="E402" s="49">
        <f t="shared" si="60"/>
        <v>1</v>
      </c>
      <c r="F402" s="877"/>
      <c r="G402" s="49">
        <f t="shared" si="61"/>
        <v>1</v>
      </c>
      <c r="H402" s="877"/>
      <c r="I402" s="49">
        <f t="shared" si="62"/>
        <v>1</v>
      </c>
      <c r="J402" s="877"/>
      <c r="K402" s="49">
        <f t="shared" si="63"/>
        <v>1</v>
      </c>
      <c r="L402" s="877"/>
      <c r="M402" s="49">
        <f t="shared" si="64"/>
        <v>1</v>
      </c>
      <c r="N402" s="877"/>
      <c r="O402" s="49">
        <f t="shared" si="65"/>
        <v>1</v>
      </c>
      <c r="P402" s="877"/>
      <c r="Q402" s="49">
        <f t="shared" si="66"/>
        <v>1</v>
      </c>
      <c r="R402" s="49">
        <f t="shared" si="67"/>
        <v>0</v>
      </c>
      <c r="S402" s="732">
        <f t="shared" si="68"/>
        <v>0</v>
      </c>
    </row>
    <row r="403" spans="1:19">
      <c r="A403" s="878"/>
      <c r="B403" s="126"/>
      <c r="C403" s="49">
        <f t="shared" si="59"/>
        <v>1</v>
      </c>
      <c r="D403" s="877"/>
      <c r="E403" s="49">
        <f t="shared" si="60"/>
        <v>1</v>
      </c>
      <c r="F403" s="877"/>
      <c r="G403" s="49">
        <f t="shared" si="61"/>
        <v>1</v>
      </c>
      <c r="H403" s="877"/>
      <c r="I403" s="49">
        <f t="shared" si="62"/>
        <v>1</v>
      </c>
      <c r="J403" s="877"/>
      <c r="K403" s="49">
        <f t="shared" si="63"/>
        <v>1</v>
      </c>
      <c r="L403" s="877"/>
      <c r="M403" s="49">
        <f t="shared" si="64"/>
        <v>1</v>
      </c>
      <c r="N403" s="877"/>
      <c r="O403" s="49">
        <f t="shared" si="65"/>
        <v>1</v>
      </c>
      <c r="P403" s="877"/>
      <c r="Q403" s="49">
        <f t="shared" si="66"/>
        <v>1</v>
      </c>
      <c r="R403" s="49">
        <f t="shared" si="67"/>
        <v>0</v>
      </c>
      <c r="S403" s="732">
        <f t="shared" si="68"/>
        <v>0</v>
      </c>
    </row>
    <row r="404" spans="1:19">
      <c r="A404" s="878"/>
      <c r="B404" s="126"/>
      <c r="C404" s="49">
        <f t="shared" si="59"/>
        <v>1</v>
      </c>
      <c r="D404" s="877"/>
      <c r="E404" s="49">
        <f t="shared" si="60"/>
        <v>1</v>
      </c>
      <c r="F404" s="877"/>
      <c r="G404" s="49">
        <f t="shared" si="61"/>
        <v>1</v>
      </c>
      <c r="H404" s="877"/>
      <c r="I404" s="49">
        <f t="shared" si="62"/>
        <v>1</v>
      </c>
      <c r="J404" s="877"/>
      <c r="K404" s="49">
        <f t="shared" si="63"/>
        <v>1</v>
      </c>
      <c r="L404" s="877"/>
      <c r="M404" s="49">
        <f t="shared" si="64"/>
        <v>1</v>
      </c>
      <c r="N404" s="877"/>
      <c r="O404" s="49">
        <f t="shared" si="65"/>
        <v>1</v>
      </c>
      <c r="P404" s="877"/>
      <c r="Q404" s="49">
        <f t="shared" si="66"/>
        <v>1</v>
      </c>
      <c r="R404" s="49">
        <f t="shared" si="67"/>
        <v>0</v>
      </c>
      <c r="S404" s="732">
        <f t="shared" si="68"/>
        <v>0</v>
      </c>
    </row>
    <row r="405" spans="1:19">
      <c r="A405" s="878"/>
      <c r="B405" s="126"/>
      <c r="C405" s="49">
        <f t="shared" si="59"/>
        <v>1</v>
      </c>
      <c r="D405" s="877"/>
      <c r="E405" s="49">
        <f t="shared" si="60"/>
        <v>1</v>
      </c>
      <c r="F405" s="877"/>
      <c r="G405" s="49">
        <f t="shared" si="61"/>
        <v>1</v>
      </c>
      <c r="H405" s="877"/>
      <c r="I405" s="49">
        <f t="shared" si="62"/>
        <v>1</v>
      </c>
      <c r="J405" s="877"/>
      <c r="K405" s="49">
        <f t="shared" si="63"/>
        <v>1</v>
      </c>
      <c r="L405" s="877"/>
      <c r="M405" s="49">
        <f t="shared" si="64"/>
        <v>1</v>
      </c>
      <c r="N405" s="877"/>
      <c r="O405" s="49">
        <f t="shared" si="65"/>
        <v>1</v>
      </c>
      <c r="P405" s="877"/>
      <c r="Q405" s="49">
        <f t="shared" si="66"/>
        <v>1</v>
      </c>
      <c r="R405" s="49">
        <f t="shared" si="67"/>
        <v>0</v>
      </c>
      <c r="S405" s="732">
        <f t="shared" si="68"/>
        <v>0</v>
      </c>
    </row>
    <row r="406" spans="1:19">
      <c r="A406" s="878"/>
      <c r="B406" s="126"/>
      <c r="C406" s="49">
        <f t="shared" si="59"/>
        <v>1</v>
      </c>
      <c r="D406" s="877"/>
      <c r="E406" s="49">
        <f t="shared" si="60"/>
        <v>1</v>
      </c>
      <c r="F406" s="877"/>
      <c r="G406" s="49">
        <f t="shared" si="61"/>
        <v>1</v>
      </c>
      <c r="H406" s="877"/>
      <c r="I406" s="49">
        <f t="shared" si="62"/>
        <v>1</v>
      </c>
      <c r="J406" s="877"/>
      <c r="K406" s="49">
        <f t="shared" si="63"/>
        <v>1</v>
      </c>
      <c r="L406" s="877"/>
      <c r="M406" s="49">
        <f t="shared" si="64"/>
        <v>1</v>
      </c>
      <c r="N406" s="877"/>
      <c r="O406" s="49">
        <f t="shared" si="65"/>
        <v>1</v>
      </c>
      <c r="P406" s="877"/>
      <c r="Q406" s="49">
        <f t="shared" si="66"/>
        <v>1</v>
      </c>
      <c r="R406" s="49">
        <f t="shared" si="67"/>
        <v>0</v>
      </c>
      <c r="S406" s="732">
        <f t="shared" si="68"/>
        <v>0</v>
      </c>
    </row>
    <row r="407" spans="1:19">
      <c r="A407" s="878"/>
      <c r="B407" s="126"/>
      <c r="C407" s="49">
        <f t="shared" si="59"/>
        <v>1</v>
      </c>
      <c r="D407" s="877"/>
      <c r="E407" s="49">
        <f t="shared" si="60"/>
        <v>1</v>
      </c>
      <c r="F407" s="877"/>
      <c r="G407" s="49">
        <f t="shared" si="61"/>
        <v>1</v>
      </c>
      <c r="H407" s="877"/>
      <c r="I407" s="49">
        <f t="shared" si="62"/>
        <v>1</v>
      </c>
      <c r="J407" s="877"/>
      <c r="K407" s="49">
        <f t="shared" si="63"/>
        <v>1</v>
      </c>
      <c r="L407" s="877"/>
      <c r="M407" s="49">
        <f t="shared" si="64"/>
        <v>1</v>
      </c>
      <c r="N407" s="877"/>
      <c r="O407" s="49">
        <f t="shared" si="65"/>
        <v>1</v>
      </c>
      <c r="P407" s="877"/>
      <c r="Q407" s="49">
        <f t="shared" si="66"/>
        <v>1</v>
      </c>
      <c r="R407" s="49">
        <f t="shared" si="67"/>
        <v>0</v>
      </c>
      <c r="S407" s="732">
        <f t="shared" si="68"/>
        <v>0</v>
      </c>
    </row>
    <row r="408" spans="1:19">
      <c r="A408" s="878"/>
      <c r="B408" s="126"/>
      <c r="C408" s="49">
        <f t="shared" si="59"/>
        <v>1</v>
      </c>
      <c r="D408" s="877"/>
      <c r="E408" s="49">
        <f t="shared" si="60"/>
        <v>1</v>
      </c>
      <c r="F408" s="877"/>
      <c r="G408" s="49">
        <f t="shared" si="61"/>
        <v>1</v>
      </c>
      <c r="H408" s="877"/>
      <c r="I408" s="49">
        <f t="shared" si="62"/>
        <v>1</v>
      </c>
      <c r="J408" s="877"/>
      <c r="K408" s="49">
        <f t="shared" si="63"/>
        <v>1</v>
      </c>
      <c r="L408" s="877"/>
      <c r="M408" s="49">
        <f t="shared" si="64"/>
        <v>1</v>
      </c>
      <c r="N408" s="877"/>
      <c r="O408" s="49">
        <f t="shared" si="65"/>
        <v>1</v>
      </c>
      <c r="P408" s="877"/>
      <c r="Q408" s="49">
        <f t="shared" si="66"/>
        <v>1</v>
      </c>
      <c r="R408" s="49">
        <f t="shared" si="67"/>
        <v>0</v>
      </c>
      <c r="S408" s="732">
        <f t="shared" si="68"/>
        <v>0</v>
      </c>
    </row>
    <row r="409" spans="1:19">
      <c r="A409" s="878"/>
      <c r="B409" s="126"/>
      <c r="C409" s="49">
        <f t="shared" si="59"/>
        <v>1</v>
      </c>
      <c r="D409" s="877"/>
      <c r="E409" s="49">
        <f t="shared" si="60"/>
        <v>1</v>
      </c>
      <c r="F409" s="877"/>
      <c r="G409" s="49">
        <f t="shared" si="61"/>
        <v>1</v>
      </c>
      <c r="H409" s="877"/>
      <c r="I409" s="49">
        <f t="shared" si="62"/>
        <v>1</v>
      </c>
      <c r="J409" s="877"/>
      <c r="K409" s="49">
        <f t="shared" si="63"/>
        <v>1</v>
      </c>
      <c r="L409" s="877"/>
      <c r="M409" s="49">
        <f t="shared" si="64"/>
        <v>1</v>
      </c>
      <c r="N409" s="877"/>
      <c r="O409" s="49">
        <f t="shared" si="65"/>
        <v>1</v>
      </c>
      <c r="P409" s="877"/>
      <c r="Q409" s="49">
        <f t="shared" si="66"/>
        <v>1</v>
      </c>
      <c r="R409" s="49">
        <f t="shared" si="67"/>
        <v>0</v>
      </c>
      <c r="S409" s="732">
        <f t="shared" si="68"/>
        <v>0</v>
      </c>
    </row>
    <row r="410" spans="1:19">
      <c r="A410" s="878"/>
      <c r="B410" s="126"/>
      <c r="C410" s="49">
        <f t="shared" ref="C410:C473" si="69">IF(B410="",1,(LOOKUP(B410,$3:$3,$4:$4)-LOOKUP($B$24,$3:$3,$4:$4)+100)/100)</f>
        <v>1</v>
      </c>
      <c r="D410" s="877"/>
      <c r="E410" s="49">
        <f t="shared" ref="E410:E473" si="70">(SUMIF($5:$5,D410,$6:$6)-SUMIF($5:$5,$D$24,$6:$6)+100)/100</f>
        <v>1</v>
      </c>
      <c r="F410" s="877"/>
      <c r="G410" s="49">
        <f t="shared" ref="G410:G473" si="71">(SUMIF($7:$7,F410,$8:$8)-SUMIF($7:$7,$F$24,$8:$8)+100)/100</f>
        <v>1</v>
      </c>
      <c r="H410" s="877"/>
      <c r="I410" s="49">
        <f t="shared" ref="I410:I473" si="72">(SUMIF($9:$9,H410,$10:$10)-SUMIF($9:$9,$H$24,$10:$10)+100)/100</f>
        <v>1</v>
      </c>
      <c r="J410" s="877"/>
      <c r="K410" s="49">
        <f t="shared" ref="K410:K473" si="73">(SUMIF($11:$11,J410,$12:$12)-SUMIF($11:$11,$J$24,$12:$12)+100)/100</f>
        <v>1</v>
      </c>
      <c r="L410" s="877"/>
      <c r="M410" s="49">
        <f t="shared" ref="M410:M473" si="74">(SUMIF($13:$13,L410,$14:$14)-SUMIF($13:$13,$L$24,$14:$14)+100)/100</f>
        <v>1</v>
      </c>
      <c r="N410" s="877"/>
      <c r="O410" s="49">
        <f t="shared" ref="O410:O473" si="75">(SUMIF($15:$15,N410,$16:$16)-SUMIF($15:$15,$N$24,$16:$16)+100)/100</f>
        <v>1</v>
      </c>
      <c r="P410" s="877"/>
      <c r="Q410" s="49">
        <f t="shared" ref="Q410:Q473" si="76">(SUMIF($17:$17,P410,$18:$18)-SUMIF($17:$17,$P$24,$18:$18)+100)/100</f>
        <v>1</v>
      </c>
      <c r="R410" s="49">
        <f t="shared" ref="R410:R473" si="77">IF(B410="",0,ROUND($R$24*C410*E410*G410*I410*K410*M410*O410*Q410,0))</f>
        <v>0</v>
      </c>
      <c r="S410" s="732">
        <f t="shared" si="68"/>
        <v>0</v>
      </c>
    </row>
    <row r="411" spans="1:19">
      <c r="A411" s="878"/>
      <c r="B411" s="126"/>
      <c r="C411" s="49">
        <f t="shared" si="69"/>
        <v>1</v>
      </c>
      <c r="D411" s="877"/>
      <c r="E411" s="49">
        <f t="shared" si="70"/>
        <v>1</v>
      </c>
      <c r="F411" s="877"/>
      <c r="G411" s="49">
        <f t="shared" si="71"/>
        <v>1</v>
      </c>
      <c r="H411" s="877"/>
      <c r="I411" s="49">
        <f t="shared" si="72"/>
        <v>1</v>
      </c>
      <c r="J411" s="877"/>
      <c r="K411" s="49">
        <f t="shared" si="73"/>
        <v>1</v>
      </c>
      <c r="L411" s="877"/>
      <c r="M411" s="49">
        <f t="shared" si="74"/>
        <v>1</v>
      </c>
      <c r="N411" s="877"/>
      <c r="O411" s="49">
        <f t="shared" si="75"/>
        <v>1</v>
      </c>
      <c r="P411" s="877"/>
      <c r="Q411" s="49">
        <f t="shared" si="76"/>
        <v>1</v>
      </c>
      <c r="R411" s="49">
        <f t="shared" si="77"/>
        <v>0</v>
      </c>
      <c r="S411" s="732">
        <f t="shared" si="68"/>
        <v>0</v>
      </c>
    </row>
    <row r="412" spans="1:19">
      <c r="A412" s="878"/>
      <c r="B412" s="126"/>
      <c r="C412" s="49">
        <f t="shared" si="69"/>
        <v>1</v>
      </c>
      <c r="D412" s="877"/>
      <c r="E412" s="49">
        <f t="shared" si="70"/>
        <v>1</v>
      </c>
      <c r="F412" s="877"/>
      <c r="G412" s="49">
        <f t="shared" si="71"/>
        <v>1</v>
      </c>
      <c r="H412" s="877"/>
      <c r="I412" s="49">
        <f t="shared" si="72"/>
        <v>1</v>
      </c>
      <c r="J412" s="877"/>
      <c r="K412" s="49">
        <f t="shared" si="73"/>
        <v>1</v>
      </c>
      <c r="L412" s="877"/>
      <c r="M412" s="49">
        <f t="shared" si="74"/>
        <v>1</v>
      </c>
      <c r="N412" s="877"/>
      <c r="O412" s="49">
        <f t="shared" si="75"/>
        <v>1</v>
      </c>
      <c r="P412" s="877"/>
      <c r="Q412" s="49">
        <f t="shared" si="76"/>
        <v>1</v>
      </c>
      <c r="R412" s="49">
        <f t="shared" si="77"/>
        <v>0</v>
      </c>
      <c r="S412" s="732">
        <f t="shared" si="68"/>
        <v>0</v>
      </c>
    </row>
    <row r="413" spans="1:19">
      <c r="A413" s="878"/>
      <c r="B413" s="126"/>
      <c r="C413" s="49">
        <f t="shared" si="69"/>
        <v>1</v>
      </c>
      <c r="D413" s="877"/>
      <c r="E413" s="49">
        <f t="shared" si="70"/>
        <v>1</v>
      </c>
      <c r="F413" s="877"/>
      <c r="G413" s="49">
        <f t="shared" si="71"/>
        <v>1</v>
      </c>
      <c r="H413" s="877"/>
      <c r="I413" s="49">
        <f t="shared" si="72"/>
        <v>1</v>
      </c>
      <c r="J413" s="877"/>
      <c r="K413" s="49">
        <f t="shared" si="73"/>
        <v>1</v>
      </c>
      <c r="L413" s="877"/>
      <c r="M413" s="49">
        <f t="shared" si="74"/>
        <v>1</v>
      </c>
      <c r="N413" s="877"/>
      <c r="O413" s="49">
        <f t="shared" si="75"/>
        <v>1</v>
      </c>
      <c r="P413" s="877"/>
      <c r="Q413" s="49">
        <f t="shared" si="76"/>
        <v>1</v>
      </c>
      <c r="R413" s="49">
        <f t="shared" si="77"/>
        <v>0</v>
      </c>
      <c r="S413" s="732">
        <f t="shared" si="68"/>
        <v>0</v>
      </c>
    </row>
    <row r="414" spans="1:19">
      <c r="A414" s="878"/>
      <c r="B414" s="126"/>
      <c r="C414" s="49">
        <f t="shared" si="69"/>
        <v>1</v>
      </c>
      <c r="D414" s="877"/>
      <c r="E414" s="49">
        <f t="shared" si="70"/>
        <v>1</v>
      </c>
      <c r="F414" s="877"/>
      <c r="G414" s="49">
        <f t="shared" si="71"/>
        <v>1</v>
      </c>
      <c r="H414" s="877"/>
      <c r="I414" s="49">
        <f t="shared" si="72"/>
        <v>1</v>
      </c>
      <c r="J414" s="877"/>
      <c r="K414" s="49">
        <f t="shared" si="73"/>
        <v>1</v>
      </c>
      <c r="L414" s="877"/>
      <c r="M414" s="49">
        <f t="shared" si="74"/>
        <v>1</v>
      </c>
      <c r="N414" s="877"/>
      <c r="O414" s="49">
        <f t="shared" si="75"/>
        <v>1</v>
      </c>
      <c r="P414" s="877"/>
      <c r="Q414" s="49">
        <f t="shared" si="76"/>
        <v>1</v>
      </c>
      <c r="R414" s="49">
        <f t="shared" si="77"/>
        <v>0</v>
      </c>
      <c r="S414" s="732">
        <f t="shared" si="68"/>
        <v>0</v>
      </c>
    </row>
    <row r="415" spans="1:19">
      <c r="A415" s="878"/>
      <c r="B415" s="126"/>
      <c r="C415" s="49">
        <f t="shared" si="69"/>
        <v>1</v>
      </c>
      <c r="D415" s="877"/>
      <c r="E415" s="49">
        <f t="shared" si="70"/>
        <v>1</v>
      </c>
      <c r="F415" s="877"/>
      <c r="G415" s="49">
        <f t="shared" si="71"/>
        <v>1</v>
      </c>
      <c r="H415" s="877"/>
      <c r="I415" s="49">
        <f t="shared" si="72"/>
        <v>1</v>
      </c>
      <c r="J415" s="877"/>
      <c r="K415" s="49">
        <f t="shared" si="73"/>
        <v>1</v>
      </c>
      <c r="L415" s="877"/>
      <c r="M415" s="49">
        <f t="shared" si="74"/>
        <v>1</v>
      </c>
      <c r="N415" s="877"/>
      <c r="O415" s="49">
        <f t="shared" si="75"/>
        <v>1</v>
      </c>
      <c r="P415" s="877"/>
      <c r="Q415" s="49">
        <f t="shared" si="76"/>
        <v>1</v>
      </c>
      <c r="R415" s="49">
        <f t="shared" si="77"/>
        <v>0</v>
      </c>
      <c r="S415" s="732">
        <f t="shared" si="68"/>
        <v>0</v>
      </c>
    </row>
    <row r="416" spans="1:19">
      <c r="A416" s="878"/>
      <c r="B416" s="126"/>
      <c r="C416" s="49">
        <f t="shared" si="69"/>
        <v>1</v>
      </c>
      <c r="D416" s="877"/>
      <c r="E416" s="49">
        <f t="shared" si="70"/>
        <v>1</v>
      </c>
      <c r="F416" s="877"/>
      <c r="G416" s="49">
        <f t="shared" si="71"/>
        <v>1</v>
      </c>
      <c r="H416" s="877"/>
      <c r="I416" s="49">
        <f t="shared" si="72"/>
        <v>1</v>
      </c>
      <c r="J416" s="877"/>
      <c r="K416" s="49">
        <f t="shared" si="73"/>
        <v>1</v>
      </c>
      <c r="L416" s="877"/>
      <c r="M416" s="49">
        <f t="shared" si="74"/>
        <v>1</v>
      </c>
      <c r="N416" s="877"/>
      <c r="O416" s="49">
        <f t="shared" si="75"/>
        <v>1</v>
      </c>
      <c r="P416" s="877"/>
      <c r="Q416" s="49">
        <f t="shared" si="76"/>
        <v>1</v>
      </c>
      <c r="R416" s="49">
        <f t="shared" si="77"/>
        <v>0</v>
      </c>
      <c r="S416" s="732">
        <f t="shared" si="68"/>
        <v>0</v>
      </c>
    </row>
    <row r="417" spans="1:19">
      <c r="A417" s="878"/>
      <c r="B417" s="126"/>
      <c r="C417" s="49">
        <f t="shared" si="69"/>
        <v>1</v>
      </c>
      <c r="D417" s="877"/>
      <c r="E417" s="49">
        <f t="shared" si="70"/>
        <v>1</v>
      </c>
      <c r="F417" s="877"/>
      <c r="G417" s="49">
        <f t="shared" si="71"/>
        <v>1</v>
      </c>
      <c r="H417" s="877"/>
      <c r="I417" s="49">
        <f t="shared" si="72"/>
        <v>1</v>
      </c>
      <c r="J417" s="877"/>
      <c r="K417" s="49">
        <f t="shared" si="73"/>
        <v>1</v>
      </c>
      <c r="L417" s="877"/>
      <c r="M417" s="49">
        <f t="shared" si="74"/>
        <v>1</v>
      </c>
      <c r="N417" s="877"/>
      <c r="O417" s="49">
        <f t="shared" si="75"/>
        <v>1</v>
      </c>
      <c r="P417" s="877"/>
      <c r="Q417" s="49">
        <f t="shared" si="76"/>
        <v>1</v>
      </c>
      <c r="R417" s="49">
        <f t="shared" si="77"/>
        <v>0</v>
      </c>
      <c r="S417" s="732">
        <f t="shared" si="68"/>
        <v>0</v>
      </c>
    </row>
    <row r="418" spans="1:19">
      <c r="A418" s="878"/>
      <c r="B418" s="126"/>
      <c r="C418" s="49">
        <f t="shared" si="69"/>
        <v>1</v>
      </c>
      <c r="D418" s="877"/>
      <c r="E418" s="49">
        <f t="shared" si="70"/>
        <v>1</v>
      </c>
      <c r="F418" s="877"/>
      <c r="G418" s="49">
        <f t="shared" si="71"/>
        <v>1</v>
      </c>
      <c r="H418" s="877"/>
      <c r="I418" s="49">
        <f t="shared" si="72"/>
        <v>1</v>
      </c>
      <c r="J418" s="877"/>
      <c r="K418" s="49">
        <f t="shared" si="73"/>
        <v>1</v>
      </c>
      <c r="L418" s="877"/>
      <c r="M418" s="49">
        <f t="shared" si="74"/>
        <v>1</v>
      </c>
      <c r="N418" s="877"/>
      <c r="O418" s="49">
        <f t="shared" si="75"/>
        <v>1</v>
      </c>
      <c r="P418" s="877"/>
      <c r="Q418" s="49">
        <f t="shared" si="76"/>
        <v>1</v>
      </c>
      <c r="R418" s="49">
        <f t="shared" si="77"/>
        <v>0</v>
      </c>
      <c r="S418" s="732">
        <f t="shared" si="68"/>
        <v>0</v>
      </c>
    </row>
    <row r="419" spans="1:19">
      <c r="A419" s="878"/>
      <c r="B419" s="126"/>
      <c r="C419" s="49">
        <f t="shared" si="69"/>
        <v>1</v>
      </c>
      <c r="D419" s="877"/>
      <c r="E419" s="49">
        <f t="shared" si="70"/>
        <v>1</v>
      </c>
      <c r="F419" s="877"/>
      <c r="G419" s="49">
        <f t="shared" si="71"/>
        <v>1</v>
      </c>
      <c r="H419" s="877"/>
      <c r="I419" s="49">
        <f t="shared" si="72"/>
        <v>1</v>
      </c>
      <c r="J419" s="877"/>
      <c r="K419" s="49">
        <f t="shared" si="73"/>
        <v>1</v>
      </c>
      <c r="L419" s="877"/>
      <c r="M419" s="49">
        <f t="shared" si="74"/>
        <v>1</v>
      </c>
      <c r="N419" s="877"/>
      <c r="O419" s="49">
        <f t="shared" si="75"/>
        <v>1</v>
      </c>
      <c r="P419" s="877"/>
      <c r="Q419" s="49">
        <f t="shared" si="76"/>
        <v>1</v>
      </c>
      <c r="R419" s="49">
        <f t="shared" si="77"/>
        <v>0</v>
      </c>
      <c r="S419" s="732">
        <f t="shared" si="68"/>
        <v>0</v>
      </c>
    </row>
    <row r="420" spans="1:19">
      <c r="A420" s="878"/>
      <c r="B420" s="126"/>
      <c r="C420" s="49">
        <f t="shared" si="69"/>
        <v>1</v>
      </c>
      <c r="D420" s="877"/>
      <c r="E420" s="49">
        <f t="shared" si="70"/>
        <v>1</v>
      </c>
      <c r="F420" s="877"/>
      <c r="G420" s="49">
        <f t="shared" si="71"/>
        <v>1</v>
      </c>
      <c r="H420" s="877"/>
      <c r="I420" s="49">
        <f t="shared" si="72"/>
        <v>1</v>
      </c>
      <c r="J420" s="877"/>
      <c r="K420" s="49">
        <f t="shared" si="73"/>
        <v>1</v>
      </c>
      <c r="L420" s="877"/>
      <c r="M420" s="49">
        <f t="shared" si="74"/>
        <v>1</v>
      </c>
      <c r="N420" s="877"/>
      <c r="O420" s="49">
        <f t="shared" si="75"/>
        <v>1</v>
      </c>
      <c r="P420" s="877"/>
      <c r="Q420" s="49">
        <f t="shared" si="76"/>
        <v>1</v>
      </c>
      <c r="R420" s="49">
        <f t="shared" si="77"/>
        <v>0</v>
      </c>
      <c r="S420" s="732">
        <f t="shared" si="68"/>
        <v>0</v>
      </c>
    </row>
    <row r="421" spans="1:19">
      <c r="A421" s="878"/>
      <c r="B421" s="126"/>
      <c r="C421" s="49">
        <f t="shared" si="69"/>
        <v>1</v>
      </c>
      <c r="D421" s="877"/>
      <c r="E421" s="49">
        <f t="shared" si="70"/>
        <v>1</v>
      </c>
      <c r="F421" s="877"/>
      <c r="G421" s="49">
        <f t="shared" si="71"/>
        <v>1</v>
      </c>
      <c r="H421" s="877"/>
      <c r="I421" s="49">
        <f t="shared" si="72"/>
        <v>1</v>
      </c>
      <c r="J421" s="877"/>
      <c r="K421" s="49">
        <f t="shared" si="73"/>
        <v>1</v>
      </c>
      <c r="L421" s="877"/>
      <c r="M421" s="49">
        <f t="shared" si="74"/>
        <v>1</v>
      </c>
      <c r="N421" s="877"/>
      <c r="O421" s="49">
        <f t="shared" si="75"/>
        <v>1</v>
      </c>
      <c r="P421" s="877"/>
      <c r="Q421" s="49">
        <f t="shared" si="76"/>
        <v>1</v>
      </c>
      <c r="R421" s="49">
        <f t="shared" si="77"/>
        <v>0</v>
      </c>
      <c r="S421" s="732">
        <f t="shared" si="68"/>
        <v>0</v>
      </c>
    </row>
    <row r="422" spans="1:19">
      <c r="A422" s="878"/>
      <c r="B422" s="126"/>
      <c r="C422" s="49">
        <f t="shared" si="69"/>
        <v>1</v>
      </c>
      <c r="D422" s="877"/>
      <c r="E422" s="49">
        <f t="shared" si="70"/>
        <v>1</v>
      </c>
      <c r="F422" s="877"/>
      <c r="G422" s="49">
        <f t="shared" si="71"/>
        <v>1</v>
      </c>
      <c r="H422" s="877"/>
      <c r="I422" s="49">
        <f t="shared" si="72"/>
        <v>1</v>
      </c>
      <c r="J422" s="877"/>
      <c r="K422" s="49">
        <f t="shared" si="73"/>
        <v>1</v>
      </c>
      <c r="L422" s="877"/>
      <c r="M422" s="49">
        <f t="shared" si="74"/>
        <v>1</v>
      </c>
      <c r="N422" s="877"/>
      <c r="O422" s="49">
        <f t="shared" si="75"/>
        <v>1</v>
      </c>
      <c r="P422" s="877"/>
      <c r="Q422" s="49">
        <f t="shared" si="76"/>
        <v>1</v>
      </c>
      <c r="R422" s="49">
        <f t="shared" si="77"/>
        <v>0</v>
      </c>
      <c r="S422" s="732">
        <f t="shared" si="68"/>
        <v>0</v>
      </c>
    </row>
    <row r="423" spans="1:19">
      <c r="A423" s="878"/>
      <c r="B423" s="126"/>
      <c r="C423" s="49">
        <f t="shared" si="69"/>
        <v>1</v>
      </c>
      <c r="D423" s="877"/>
      <c r="E423" s="49">
        <f t="shared" si="70"/>
        <v>1</v>
      </c>
      <c r="F423" s="877"/>
      <c r="G423" s="49">
        <f t="shared" si="71"/>
        <v>1</v>
      </c>
      <c r="H423" s="877"/>
      <c r="I423" s="49">
        <f t="shared" si="72"/>
        <v>1</v>
      </c>
      <c r="J423" s="877"/>
      <c r="K423" s="49">
        <f t="shared" si="73"/>
        <v>1</v>
      </c>
      <c r="L423" s="877"/>
      <c r="M423" s="49">
        <f t="shared" si="74"/>
        <v>1</v>
      </c>
      <c r="N423" s="877"/>
      <c r="O423" s="49">
        <f t="shared" si="75"/>
        <v>1</v>
      </c>
      <c r="P423" s="877"/>
      <c r="Q423" s="49">
        <f t="shared" si="76"/>
        <v>1</v>
      </c>
      <c r="R423" s="49">
        <f t="shared" si="77"/>
        <v>0</v>
      </c>
      <c r="S423" s="732">
        <f t="shared" ref="S423:S467" si="78">ROUND(R423*B423/10000,0)</f>
        <v>0</v>
      </c>
    </row>
    <row r="424" spans="1:19">
      <c r="A424" s="878"/>
      <c r="B424" s="126"/>
      <c r="C424" s="49">
        <f t="shared" si="69"/>
        <v>1</v>
      </c>
      <c r="D424" s="877"/>
      <c r="E424" s="49">
        <f t="shared" si="70"/>
        <v>1</v>
      </c>
      <c r="F424" s="877"/>
      <c r="G424" s="49">
        <f t="shared" si="71"/>
        <v>1</v>
      </c>
      <c r="H424" s="877"/>
      <c r="I424" s="49">
        <f t="shared" si="72"/>
        <v>1</v>
      </c>
      <c r="J424" s="877"/>
      <c r="K424" s="49">
        <f t="shared" si="73"/>
        <v>1</v>
      </c>
      <c r="L424" s="877"/>
      <c r="M424" s="49">
        <f t="shared" si="74"/>
        <v>1</v>
      </c>
      <c r="N424" s="877"/>
      <c r="O424" s="49">
        <f t="shared" si="75"/>
        <v>1</v>
      </c>
      <c r="P424" s="877"/>
      <c r="Q424" s="49">
        <f t="shared" si="76"/>
        <v>1</v>
      </c>
      <c r="R424" s="49">
        <f t="shared" si="77"/>
        <v>0</v>
      </c>
      <c r="S424" s="732">
        <f t="shared" si="78"/>
        <v>0</v>
      </c>
    </row>
    <row r="425" spans="1:19">
      <c r="A425" s="878"/>
      <c r="B425" s="126"/>
      <c r="C425" s="49">
        <f t="shared" si="69"/>
        <v>1</v>
      </c>
      <c r="D425" s="877"/>
      <c r="E425" s="49">
        <f t="shared" si="70"/>
        <v>1</v>
      </c>
      <c r="F425" s="877"/>
      <c r="G425" s="49">
        <f t="shared" si="71"/>
        <v>1</v>
      </c>
      <c r="H425" s="877"/>
      <c r="I425" s="49">
        <f t="shared" si="72"/>
        <v>1</v>
      </c>
      <c r="J425" s="877"/>
      <c r="K425" s="49">
        <f t="shared" si="73"/>
        <v>1</v>
      </c>
      <c r="L425" s="877"/>
      <c r="M425" s="49">
        <f t="shared" si="74"/>
        <v>1</v>
      </c>
      <c r="N425" s="877"/>
      <c r="O425" s="49">
        <f t="shared" si="75"/>
        <v>1</v>
      </c>
      <c r="P425" s="877"/>
      <c r="Q425" s="49">
        <f t="shared" si="76"/>
        <v>1</v>
      </c>
      <c r="R425" s="49">
        <f t="shared" si="77"/>
        <v>0</v>
      </c>
      <c r="S425" s="732">
        <f t="shared" si="78"/>
        <v>0</v>
      </c>
    </row>
    <row r="426" spans="1:19">
      <c r="A426" s="878"/>
      <c r="B426" s="126"/>
      <c r="C426" s="49">
        <f t="shared" si="69"/>
        <v>1</v>
      </c>
      <c r="D426" s="877"/>
      <c r="E426" s="49">
        <f t="shared" si="70"/>
        <v>1</v>
      </c>
      <c r="F426" s="877"/>
      <c r="G426" s="49">
        <f t="shared" si="71"/>
        <v>1</v>
      </c>
      <c r="H426" s="877"/>
      <c r="I426" s="49">
        <f t="shared" si="72"/>
        <v>1</v>
      </c>
      <c r="J426" s="877"/>
      <c r="K426" s="49">
        <f t="shared" si="73"/>
        <v>1</v>
      </c>
      <c r="L426" s="877"/>
      <c r="M426" s="49">
        <f t="shared" si="74"/>
        <v>1</v>
      </c>
      <c r="N426" s="877"/>
      <c r="O426" s="49">
        <f t="shared" si="75"/>
        <v>1</v>
      </c>
      <c r="P426" s="877"/>
      <c r="Q426" s="49">
        <f t="shared" si="76"/>
        <v>1</v>
      </c>
      <c r="R426" s="49">
        <f t="shared" si="77"/>
        <v>0</v>
      </c>
      <c r="S426" s="732">
        <f t="shared" si="78"/>
        <v>0</v>
      </c>
    </row>
    <row r="427" spans="1:19">
      <c r="A427" s="878"/>
      <c r="B427" s="126"/>
      <c r="C427" s="49">
        <f t="shared" si="69"/>
        <v>1</v>
      </c>
      <c r="D427" s="877"/>
      <c r="E427" s="49">
        <f t="shared" si="70"/>
        <v>1</v>
      </c>
      <c r="F427" s="877"/>
      <c r="G427" s="49">
        <f t="shared" si="71"/>
        <v>1</v>
      </c>
      <c r="H427" s="877"/>
      <c r="I427" s="49">
        <f t="shared" si="72"/>
        <v>1</v>
      </c>
      <c r="J427" s="877"/>
      <c r="K427" s="49">
        <f t="shared" si="73"/>
        <v>1</v>
      </c>
      <c r="L427" s="877"/>
      <c r="M427" s="49">
        <f t="shared" si="74"/>
        <v>1</v>
      </c>
      <c r="N427" s="877"/>
      <c r="O427" s="49">
        <f t="shared" si="75"/>
        <v>1</v>
      </c>
      <c r="P427" s="877"/>
      <c r="Q427" s="49">
        <f t="shared" si="76"/>
        <v>1</v>
      </c>
      <c r="R427" s="49">
        <f t="shared" si="77"/>
        <v>0</v>
      </c>
      <c r="S427" s="732">
        <f t="shared" si="78"/>
        <v>0</v>
      </c>
    </row>
    <row r="428" spans="1:19">
      <c r="A428" s="878"/>
      <c r="B428" s="126"/>
      <c r="C428" s="49">
        <f t="shared" si="69"/>
        <v>1</v>
      </c>
      <c r="D428" s="877"/>
      <c r="E428" s="49">
        <f t="shared" si="70"/>
        <v>1</v>
      </c>
      <c r="F428" s="877"/>
      <c r="G428" s="49">
        <f t="shared" si="71"/>
        <v>1</v>
      </c>
      <c r="H428" s="877"/>
      <c r="I428" s="49">
        <f t="shared" si="72"/>
        <v>1</v>
      </c>
      <c r="J428" s="877"/>
      <c r="K428" s="49">
        <f t="shared" si="73"/>
        <v>1</v>
      </c>
      <c r="L428" s="877"/>
      <c r="M428" s="49">
        <f t="shared" si="74"/>
        <v>1</v>
      </c>
      <c r="N428" s="877"/>
      <c r="O428" s="49">
        <f t="shared" si="75"/>
        <v>1</v>
      </c>
      <c r="P428" s="877"/>
      <c r="Q428" s="49">
        <f t="shared" si="76"/>
        <v>1</v>
      </c>
      <c r="R428" s="49">
        <f t="shared" si="77"/>
        <v>0</v>
      </c>
      <c r="S428" s="732">
        <f t="shared" si="78"/>
        <v>0</v>
      </c>
    </row>
    <row r="429" spans="1:19">
      <c r="A429" s="878"/>
      <c r="B429" s="126"/>
      <c r="C429" s="49">
        <f t="shared" si="69"/>
        <v>1</v>
      </c>
      <c r="D429" s="877"/>
      <c r="E429" s="49">
        <f t="shared" si="70"/>
        <v>1</v>
      </c>
      <c r="F429" s="877"/>
      <c r="G429" s="49">
        <f t="shared" si="71"/>
        <v>1</v>
      </c>
      <c r="H429" s="877"/>
      <c r="I429" s="49">
        <f t="shared" si="72"/>
        <v>1</v>
      </c>
      <c r="J429" s="877"/>
      <c r="K429" s="49">
        <f t="shared" si="73"/>
        <v>1</v>
      </c>
      <c r="L429" s="877"/>
      <c r="M429" s="49">
        <f t="shared" si="74"/>
        <v>1</v>
      </c>
      <c r="N429" s="877"/>
      <c r="O429" s="49">
        <f t="shared" si="75"/>
        <v>1</v>
      </c>
      <c r="P429" s="877"/>
      <c r="Q429" s="49">
        <f t="shared" si="76"/>
        <v>1</v>
      </c>
      <c r="R429" s="49">
        <f t="shared" si="77"/>
        <v>0</v>
      </c>
      <c r="S429" s="732">
        <f t="shared" si="78"/>
        <v>0</v>
      </c>
    </row>
    <row r="430" spans="1:19">
      <c r="A430" s="878"/>
      <c r="B430" s="126"/>
      <c r="C430" s="49">
        <f t="shared" si="69"/>
        <v>1</v>
      </c>
      <c r="D430" s="877"/>
      <c r="E430" s="49">
        <f t="shared" si="70"/>
        <v>1</v>
      </c>
      <c r="F430" s="877"/>
      <c r="G430" s="49">
        <f t="shared" si="71"/>
        <v>1</v>
      </c>
      <c r="H430" s="877"/>
      <c r="I430" s="49">
        <f t="shared" si="72"/>
        <v>1</v>
      </c>
      <c r="J430" s="877"/>
      <c r="K430" s="49">
        <f t="shared" si="73"/>
        <v>1</v>
      </c>
      <c r="L430" s="877"/>
      <c r="M430" s="49">
        <f t="shared" si="74"/>
        <v>1</v>
      </c>
      <c r="N430" s="877"/>
      <c r="O430" s="49">
        <f t="shared" si="75"/>
        <v>1</v>
      </c>
      <c r="P430" s="877"/>
      <c r="Q430" s="49">
        <f t="shared" si="76"/>
        <v>1</v>
      </c>
      <c r="R430" s="49">
        <f t="shared" si="77"/>
        <v>0</v>
      </c>
      <c r="S430" s="732">
        <f t="shared" si="78"/>
        <v>0</v>
      </c>
    </row>
    <row r="431" spans="1:19">
      <c r="A431" s="878"/>
      <c r="B431" s="126"/>
      <c r="C431" s="49">
        <f t="shared" si="69"/>
        <v>1</v>
      </c>
      <c r="D431" s="877"/>
      <c r="E431" s="49">
        <f t="shared" si="70"/>
        <v>1</v>
      </c>
      <c r="F431" s="877"/>
      <c r="G431" s="49">
        <f t="shared" si="71"/>
        <v>1</v>
      </c>
      <c r="H431" s="877"/>
      <c r="I431" s="49">
        <f t="shared" si="72"/>
        <v>1</v>
      </c>
      <c r="J431" s="877"/>
      <c r="K431" s="49">
        <f t="shared" si="73"/>
        <v>1</v>
      </c>
      <c r="L431" s="877"/>
      <c r="M431" s="49">
        <f t="shared" si="74"/>
        <v>1</v>
      </c>
      <c r="N431" s="877"/>
      <c r="O431" s="49">
        <f t="shared" si="75"/>
        <v>1</v>
      </c>
      <c r="P431" s="877"/>
      <c r="Q431" s="49">
        <f t="shared" si="76"/>
        <v>1</v>
      </c>
      <c r="R431" s="49">
        <f t="shared" si="77"/>
        <v>0</v>
      </c>
      <c r="S431" s="732">
        <f t="shared" si="78"/>
        <v>0</v>
      </c>
    </row>
    <row r="432" spans="1:19">
      <c r="A432" s="878"/>
      <c r="B432" s="126"/>
      <c r="C432" s="49">
        <f t="shared" si="69"/>
        <v>1</v>
      </c>
      <c r="D432" s="877"/>
      <c r="E432" s="49">
        <f t="shared" si="70"/>
        <v>1</v>
      </c>
      <c r="F432" s="877"/>
      <c r="G432" s="49">
        <f t="shared" si="71"/>
        <v>1</v>
      </c>
      <c r="H432" s="877"/>
      <c r="I432" s="49">
        <f t="shared" si="72"/>
        <v>1</v>
      </c>
      <c r="J432" s="877"/>
      <c r="K432" s="49">
        <f t="shared" si="73"/>
        <v>1</v>
      </c>
      <c r="L432" s="877"/>
      <c r="M432" s="49">
        <f t="shared" si="74"/>
        <v>1</v>
      </c>
      <c r="N432" s="877"/>
      <c r="O432" s="49">
        <f t="shared" si="75"/>
        <v>1</v>
      </c>
      <c r="P432" s="877"/>
      <c r="Q432" s="49">
        <f t="shared" si="76"/>
        <v>1</v>
      </c>
      <c r="R432" s="49">
        <f t="shared" si="77"/>
        <v>0</v>
      </c>
      <c r="S432" s="732">
        <f t="shared" si="78"/>
        <v>0</v>
      </c>
    </row>
    <row r="433" spans="1:19">
      <c r="A433" s="878"/>
      <c r="B433" s="126"/>
      <c r="C433" s="49">
        <f t="shared" si="69"/>
        <v>1</v>
      </c>
      <c r="D433" s="877"/>
      <c r="E433" s="49">
        <f t="shared" si="70"/>
        <v>1</v>
      </c>
      <c r="F433" s="877"/>
      <c r="G433" s="49">
        <f t="shared" si="71"/>
        <v>1</v>
      </c>
      <c r="H433" s="877"/>
      <c r="I433" s="49">
        <f t="shared" si="72"/>
        <v>1</v>
      </c>
      <c r="J433" s="877"/>
      <c r="K433" s="49">
        <f t="shared" si="73"/>
        <v>1</v>
      </c>
      <c r="L433" s="877"/>
      <c r="M433" s="49">
        <f t="shared" si="74"/>
        <v>1</v>
      </c>
      <c r="N433" s="877"/>
      <c r="O433" s="49">
        <f t="shared" si="75"/>
        <v>1</v>
      </c>
      <c r="P433" s="877"/>
      <c r="Q433" s="49">
        <f t="shared" si="76"/>
        <v>1</v>
      </c>
      <c r="R433" s="49">
        <f t="shared" si="77"/>
        <v>0</v>
      </c>
      <c r="S433" s="732">
        <f t="shared" si="78"/>
        <v>0</v>
      </c>
    </row>
    <row r="434" spans="1:19">
      <c r="A434" s="878"/>
      <c r="B434" s="126"/>
      <c r="C434" s="49">
        <f t="shared" si="69"/>
        <v>1</v>
      </c>
      <c r="D434" s="877"/>
      <c r="E434" s="49">
        <f t="shared" si="70"/>
        <v>1</v>
      </c>
      <c r="F434" s="877"/>
      <c r="G434" s="49">
        <f t="shared" si="71"/>
        <v>1</v>
      </c>
      <c r="H434" s="877"/>
      <c r="I434" s="49">
        <f t="shared" si="72"/>
        <v>1</v>
      </c>
      <c r="J434" s="877"/>
      <c r="K434" s="49">
        <f t="shared" si="73"/>
        <v>1</v>
      </c>
      <c r="L434" s="877"/>
      <c r="M434" s="49">
        <f t="shared" si="74"/>
        <v>1</v>
      </c>
      <c r="N434" s="877"/>
      <c r="O434" s="49">
        <f t="shared" si="75"/>
        <v>1</v>
      </c>
      <c r="P434" s="877"/>
      <c r="Q434" s="49">
        <f t="shared" si="76"/>
        <v>1</v>
      </c>
      <c r="R434" s="49">
        <f t="shared" si="77"/>
        <v>0</v>
      </c>
      <c r="S434" s="732">
        <f t="shared" si="78"/>
        <v>0</v>
      </c>
    </row>
    <row r="435" spans="1:19">
      <c r="A435" s="878"/>
      <c r="B435" s="126"/>
      <c r="C435" s="49">
        <f t="shared" si="69"/>
        <v>1</v>
      </c>
      <c r="D435" s="877"/>
      <c r="E435" s="49">
        <f t="shared" si="70"/>
        <v>1</v>
      </c>
      <c r="F435" s="877"/>
      <c r="G435" s="49">
        <f t="shared" si="71"/>
        <v>1</v>
      </c>
      <c r="H435" s="877"/>
      <c r="I435" s="49">
        <f t="shared" si="72"/>
        <v>1</v>
      </c>
      <c r="J435" s="877"/>
      <c r="K435" s="49">
        <f t="shared" si="73"/>
        <v>1</v>
      </c>
      <c r="L435" s="877"/>
      <c r="M435" s="49">
        <f t="shared" si="74"/>
        <v>1</v>
      </c>
      <c r="N435" s="877"/>
      <c r="O435" s="49">
        <f t="shared" si="75"/>
        <v>1</v>
      </c>
      <c r="P435" s="877"/>
      <c r="Q435" s="49">
        <f t="shared" si="76"/>
        <v>1</v>
      </c>
      <c r="R435" s="49">
        <f t="shared" si="77"/>
        <v>0</v>
      </c>
      <c r="S435" s="732">
        <f t="shared" si="78"/>
        <v>0</v>
      </c>
    </row>
    <row r="436" spans="1:19">
      <c r="A436" s="878"/>
      <c r="B436" s="126"/>
      <c r="C436" s="49">
        <f t="shared" si="69"/>
        <v>1</v>
      </c>
      <c r="D436" s="877"/>
      <c r="E436" s="49">
        <f t="shared" si="70"/>
        <v>1</v>
      </c>
      <c r="F436" s="877"/>
      <c r="G436" s="49">
        <f t="shared" si="71"/>
        <v>1</v>
      </c>
      <c r="H436" s="877"/>
      <c r="I436" s="49">
        <f t="shared" si="72"/>
        <v>1</v>
      </c>
      <c r="J436" s="877"/>
      <c r="K436" s="49">
        <f t="shared" si="73"/>
        <v>1</v>
      </c>
      <c r="L436" s="877"/>
      <c r="M436" s="49">
        <f t="shared" si="74"/>
        <v>1</v>
      </c>
      <c r="N436" s="877"/>
      <c r="O436" s="49">
        <f t="shared" si="75"/>
        <v>1</v>
      </c>
      <c r="P436" s="877"/>
      <c r="Q436" s="49">
        <f t="shared" si="76"/>
        <v>1</v>
      </c>
      <c r="R436" s="49">
        <f t="shared" si="77"/>
        <v>0</v>
      </c>
      <c r="S436" s="732">
        <f t="shared" si="78"/>
        <v>0</v>
      </c>
    </row>
    <row r="437" spans="1:19">
      <c r="A437" s="878"/>
      <c r="B437" s="126"/>
      <c r="C437" s="49">
        <f t="shared" si="69"/>
        <v>1</v>
      </c>
      <c r="D437" s="877"/>
      <c r="E437" s="49">
        <f t="shared" si="70"/>
        <v>1</v>
      </c>
      <c r="F437" s="877"/>
      <c r="G437" s="49">
        <f t="shared" si="71"/>
        <v>1</v>
      </c>
      <c r="H437" s="877"/>
      <c r="I437" s="49">
        <f t="shared" si="72"/>
        <v>1</v>
      </c>
      <c r="J437" s="877"/>
      <c r="K437" s="49">
        <f t="shared" si="73"/>
        <v>1</v>
      </c>
      <c r="L437" s="877"/>
      <c r="M437" s="49">
        <f t="shared" si="74"/>
        <v>1</v>
      </c>
      <c r="N437" s="877"/>
      <c r="O437" s="49">
        <f t="shared" si="75"/>
        <v>1</v>
      </c>
      <c r="P437" s="877"/>
      <c r="Q437" s="49">
        <f t="shared" si="76"/>
        <v>1</v>
      </c>
      <c r="R437" s="49">
        <f t="shared" si="77"/>
        <v>0</v>
      </c>
      <c r="S437" s="732">
        <f t="shared" si="78"/>
        <v>0</v>
      </c>
    </row>
    <row r="438" spans="1:19">
      <c r="A438" s="878"/>
      <c r="B438" s="126"/>
      <c r="C438" s="49">
        <f t="shared" si="69"/>
        <v>1</v>
      </c>
      <c r="D438" s="877"/>
      <c r="E438" s="49">
        <f t="shared" si="70"/>
        <v>1</v>
      </c>
      <c r="F438" s="877"/>
      <c r="G438" s="49">
        <f t="shared" si="71"/>
        <v>1</v>
      </c>
      <c r="H438" s="877"/>
      <c r="I438" s="49">
        <f t="shared" si="72"/>
        <v>1</v>
      </c>
      <c r="J438" s="877"/>
      <c r="K438" s="49">
        <f t="shared" si="73"/>
        <v>1</v>
      </c>
      <c r="L438" s="877"/>
      <c r="M438" s="49">
        <f t="shared" si="74"/>
        <v>1</v>
      </c>
      <c r="N438" s="877"/>
      <c r="O438" s="49">
        <f t="shared" si="75"/>
        <v>1</v>
      </c>
      <c r="P438" s="877"/>
      <c r="Q438" s="49">
        <f t="shared" si="76"/>
        <v>1</v>
      </c>
      <c r="R438" s="49">
        <f t="shared" si="77"/>
        <v>0</v>
      </c>
      <c r="S438" s="732">
        <f t="shared" si="78"/>
        <v>0</v>
      </c>
    </row>
    <row r="439" spans="1:19">
      <c r="A439" s="878"/>
      <c r="B439" s="126"/>
      <c r="C439" s="49">
        <f t="shared" si="69"/>
        <v>1</v>
      </c>
      <c r="D439" s="877"/>
      <c r="E439" s="49">
        <f t="shared" si="70"/>
        <v>1</v>
      </c>
      <c r="F439" s="877"/>
      <c r="G439" s="49">
        <f t="shared" si="71"/>
        <v>1</v>
      </c>
      <c r="H439" s="877"/>
      <c r="I439" s="49">
        <f t="shared" si="72"/>
        <v>1</v>
      </c>
      <c r="J439" s="877"/>
      <c r="K439" s="49">
        <f t="shared" si="73"/>
        <v>1</v>
      </c>
      <c r="L439" s="877"/>
      <c r="M439" s="49">
        <f t="shared" si="74"/>
        <v>1</v>
      </c>
      <c r="N439" s="877"/>
      <c r="O439" s="49">
        <f t="shared" si="75"/>
        <v>1</v>
      </c>
      <c r="P439" s="877"/>
      <c r="Q439" s="49">
        <f t="shared" si="76"/>
        <v>1</v>
      </c>
      <c r="R439" s="49">
        <f t="shared" si="77"/>
        <v>0</v>
      </c>
      <c r="S439" s="732">
        <f t="shared" si="78"/>
        <v>0</v>
      </c>
    </row>
    <row r="440" spans="1:19">
      <c r="A440" s="878"/>
      <c r="B440" s="126"/>
      <c r="C440" s="49">
        <f t="shared" si="69"/>
        <v>1</v>
      </c>
      <c r="D440" s="877"/>
      <c r="E440" s="49">
        <f t="shared" si="70"/>
        <v>1</v>
      </c>
      <c r="F440" s="877"/>
      <c r="G440" s="49">
        <f t="shared" si="71"/>
        <v>1</v>
      </c>
      <c r="H440" s="877"/>
      <c r="I440" s="49">
        <f t="shared" si="72"/>
        <v>1</v>
      </c>
      <c r="J440" s="877"/>
      <c r="K440" s="49">
        <f t="shared" si="73"/>
        <v>1</v>
      </c>
      <c r="L440" s="877"/>
      <c r="M440" s="49">
        <f t="shared" si="74"/>
        <v>1</v>
      </c>
      <c r="N440" s="877"/>
      <c r="O440" s="49">
        <f t="shared" si="75"/>
        <v>1</v>
      </c>
      <c r="P440" s="877"/>
      <c r="Q440" s="49">
        <f t="shared" si="76"/>
        <v>1</v>
      </c>
      <c r="R440" s="49">
        <f t="shared" si="77"/>
        <v>0</v>
      </c>
      <c r="S440" s="732">
        <f t="shared" si="78"/>
        <v>0</v>
      </c>
    </row>
    <row r="441" spans="1:19">
      <c r="A441" s="878"/>
      <c r="B441" s="126"/>
      <c r="C441" s="49">
        <f t="shared" si="69"/>
        <v>1</v>
      </c>
      <c r="D441" s="877"/>
      <c r="E441" s="49">
        <f t="shared" si="70"/>
        <v>1</v>
      </c>
      <c r="F441" s="877"/>
      <c r="G441" s="49">
        <f t="shared" si="71"/>
        <v>1</v>
      </c>
      <c r="H441" s="877"/>
      <c r="I441" s="49">
        <f t="shared" si="72"/>
        <v>1</v>
      </c>
      <c r="J441" s="877"/>
      <c r="K441" s="49">
        <f t="shared" si="73"/>
        <v>1</v>
      </c>
      <c r="L441" s="877"/>
      <c r="M441" s="49">
        <f t="shared" si="74"/>
        <v>1</v>
      </c>
      <c r="N441" s="877"/>
      <c r="O441" s="49">
        <f t="shared" si="75"/>
        <v>1</v>
      </c>
      <c r="P441" s="877"/>
      <c r="Q441" s="49">
        <f t="shared" si="76"/>
        <v>1</v>
      </c>
      <c r="R441" s="49">
        <f t="shared" si="77"/>
        <v>0</v>
      </c>
      <c r="S441" s="732">
        <f t="shared" si="78"/>
        <v>0</v>
      </c>
    </row>
    <row r="442" spans="1:19">
      <c r="A442" s="878"/>
      <c r="B442" s="126"/>
      <c r="C442" s="49">
        <f t="shared" si="69"/>
        <v>1</v>
      </c>
      <c r="D442" s="877"/>
      <c r="E442" s="49">
        <f t="shared" si="70"/>
        <v>1</v>
      </c>
      <c r="F442" s="877"/>
      <c r="G442" s="49">
        <f t="shared" si="71"/>
        <v>1</v>
      </c>
      <c r="H442" s="877"/>
      <c r="I442" s="49">
        <f t="shared" si="72"/>
        <v>1</v>
      </c>
      <c r="J442" s="877"/>
      <c r="K442" s="49">
        <f t="shared" si="73"/>
        <v>1</v>
      </c>
      <c r="L442" s="877"/>
      <c r="M442" s="49">
        <f t="shared" si="74"/>
        <v>1</v>
      </c>
      <c r="N442" s="877"/>
      <c r="O442" s="49">
        <f t="shared" si="75"/>
        <v>1</v>
      </c>
      <c r="P442" s="877"/>
      <c r="Q442" s="49">
        <f t="shared" si="76"/>
        <v>1</v>
      </c>
      <c r="R442" s="49">
        <f t="shared" si="77"/>
        <v>0</v>
      </c>
      <c r="S442" s="732">
        <f t="shared" si="78"/>
        <v>0</v>
      </c>
    </row>
    <row r="443" spans="1:19">
      <c r="A443" s="878"/>
      <c r="B443" s="126"/>
      <c r="C443" s="49">
        <f t="shared" si="69"/>
        <v>1</v>
      </c>
      <c r="D443" s="877"/>
      <c r="E443" s="49">
        <f t="shared" si="70"/>
        <v>1</v>
      </c>
      <c r="F443" s="877"/>
      <c r="G443" s="49">
        <f t="shared" si="71"/>
        <v>1</v>
      </c>
      <c r="H443" s="877"/>
      <c r="I443" s="49">
        <f t="shared" si="72"/>
        <v>1</v>
      </c>
      <c r="J443" s="877"/>
      <c r="K443" s="49">
        <f t="shared" si="73"/>
        <v>1</v>
      </c>
      <c r="L443" s="877"/>
      <c r="M443" s="49">
        <f t="shared" si="74"/>
        <v>1</v>
      </c>
      <c r="N443" s="877"/>
      <c r="O443" s="49">
        <f t="shared" si="75"/>
        <v>1</v>
      </c>
      <c r="P443" s="877"/>
      <c r="Q443" s="49">
        <f t="shared" si="76"/>
        <v>1</v>
      </c>
      <c r="R443" s="49">
        <f t="shared" si="77"/>
        <v>0</v>
      </c>
      <c r="S443" s="732">
        <f t="shared" si="78"/>
        <v>0</v>
      </c>
    </row>
    <row r="444" spans="1:19">
      <c r="A444" s="878"/>
      <c r="B444" s="126"/>
      <c r="C444" s="49">
        <f t="shared" si="69"/>
        <v>1</v>
      </c>
      <c r="D444" s="877"/>
      <c r="E444" s="49">
        <f t="shared" si="70"/>
        <v>1</v>
      </c>
      <c r="F444" s="877"/>
      <c r="G444" s="49">
        <f t="shared" si="71"/>
        <v>1</v>
      </c>
      <c r="H444" s="877"/>
      <c r="I444" s="49">
        <f t="shared" si="72"/>
        <v>1</v>
      </c>
      <c r="J444" s="877"/>
      <c r="K444" s="49">
        <f t="shared" si="73"/>
        <v>1</v>
      </c>
      <c r="L444" s="877"/>
      <c r="M444" s="49">
        <f t="shared" si="74"/>
        <v>1</v>
      </c>
      <c r="N444" s="877"/>
      <c r="O444" s="49">
        <f t="shared" si="75"/>
        <v>1</v>
      </c>
      <c r="P444" s="877"/>
      <c r="Q444" s="49">
        <f t="shared" si="76"/>
        <v>1</v>
      </c>
      <c r="R444" s="49">
        <f t="shared" si="77"/>
        <v>0</v>
      </c>
      <c r="S444" s="732">
        <f t="shared" si="78"/>
        <v>0</v>
      </c>
    </row>
    <row r="445" spans="1:19">
      <c r="A445" s="878"/>
      <c r="B445" s="126"/>
      <c r="C445" s="49">
        <f t="shared" si="69"/>
        <v>1</v>
      </c>
      <c r="D445" s="877"/>
      <c r="E445" s="49">
        <f t="shared" si="70"/>
        <v>1</v>
      </c>
      <c r="F445" s="877"/>
      <c r="G445" s="49">
        <f t="shared" si="71"/>
        <v>1</v>
      </c>
      <c r="H445" s="877"/>
      <c r="I445" s="49">
        <f t="shared" si="72"/>
        <v>1</v>
      </c>
      <c r="J445" s="877"/>
      <c r="K445" s="49">
        <f t="shared" si="73"/>
        <v>1</v>
      </c>
      <c r="L445" s="877"/>
      <c r="M445" s="49">
        <f t="shared" si="74"/>
        <v>1</v>
      </c>
      <c r="N445" s="877"/>
      <c r="O445" s="49">
        <f t="shared" si="75"/>
        <v>1</v>
      </c>
      <c r="P445" s="877"/>
      <c r="Q445" s="49">
        <f t="shared" si="76"/>
        <v>1</v>
      </c>
      <c r="R445" s="49">
        <f t="shared" si="77"/>
        <v>0</v>
      </c>
      <c r="S445" s="732">
        <f t="shared" si="78"/>
        <v>0</v>
      </c>
    </row>
    <row r="446" spans="1:19">
      <c r="A446" s="878"/>
      <c r="B446" s="126"/>
      <c r="C446" s="49">
        <f t="shared" si="69"/>
        <v>1</v>
      </c>
      <c r="D446" s="877"/>
      <c r="E446" s="49">
        <f t="shared" si="70"/>
        <v>1</v>
      </c>
      <c r="F446" s="877"/>
      <c r="G446" s="49">
        <f t="shared" si="71"/>
        <v>1</v>
      </c>
      <c r="H446" s="877"/>
      <c r="I446" s="49">
        <f t="shared" si="72"/>
        <v>1</v>
      </c>
      <c r="J446" s="877"/>
      <c r="K446" s="49">
        <f t="shared" si="73"/>
        <v>1</v>
      </c>
      <c r="L446" s="877"/>
      <c r="M446" s="49">
        <f t="shared" si="74"/>
        <v>1</v>
      </c>
      <c r="N446" s="877"/>
      <c r="O446" s="49">
        <f t="shared" si="75"/>
        <v>1</v>
      </c>
      <c r="P446" s="877"/>
      <c r="Q446" s="49">
        <f t="shared" si="76"/>
        <v>1</v>
      </c>
      <c r="R446" s="49">
        <f t="shared" si="77"/>
        <v>0</v>
      </c>
      <c r="S446" s="732">
        <f t="shared" si="78"/>
        <v>0</v>
      </c>
    </row>
    <row r="447" spans="1:19">
      <c r="A447" s="878"/>
      <c r="B447" s="126"/>
      <c r="C447" s="49">
        <f t="shared" si="69"/>
        <v>1</v>
      </c>
      <c r="D447" s="877"/>
      <c r="E447" s="49">
        <f t="shared" si="70"/>
        <v>1</v>
      </c>
      <c r="F447" s="877"/>
      <c r="G447" s="49">
        <f t="shared" si="71"/>
        <v>1</v>
      </c>
      <c r="H447" s="877"/>
      <c r="I447" s="49">
        <f t="shared" si="72"/>
        <v>1</v>
      </c>
      <c r="J447" s="877"/>
      <c r="K447" s="49">
        <f t="shared" si="73"/>
        <v>1</v>
      </c>
      <c r="L447" s="877"/>
      <c r="M447" s="49">
        <f t="shared" si="74"/>
        <v>1</v>
      </c>
      <c r="N447" s="877"/>
      <c r="O447" s="49">
        <f t="shared" si="75"/>
        <v>1</v>
      </c>
      <c r="P447" s="877"/>
      <c r="Q447" s="49">
        <f t="shared" si="76"/>
        <v>1</v>
      </c>
      <c r="R447" s="49">
        <f t="shared" si="77"/>
        <v>0</v>
      </c>
      <c r="S447" s="732">
        <f t="shared" si="78"/>
        <v>0</v>
      </c>
    </row>
    <row r="448" spans="1:19">
      <c r="A448" s="878"/>
      <c r="B448" s="126"/>
      <c r="C448" s="49">
        <f t="shared" si="69"/>
        <v>1</v>
      </c>
      <c r="D448" s="877"/>
      <c r="E448" s="49">
        <f t="shared" si="70"/>
        <v>1</v>
      </c>
      <c r="F448" s="877"/>
      <c r="G448" s="49">
        <f t="shared" si="71"/>
        <v>1</v>
      </c>
      <c r="H448" s="877"/>
      <c r="I448" s="49">
        <f t="shared" si="72"/>
        <v>1</v>
      </c>
      <c r="J448" s="877"/>
      <c r="K448" s="49">
        <f t="shared" si="73"/>
        <v>1</v>
      </c>
      <c r="L448" s="877"/>
      <c r="M448" s="49">
        <f t="shared" si="74"/>
        <v>1</v>
      </c>
      <c r="N448" s="877"/>
      <c r="O448" s="49">
        <f t="shared" si="75"/>
        <v>1</v>
      </c>
      <c r="P448" s="877"/>
      <c r="Q448" s="49">
        <f t="shared" si="76"/>
        <v>1</v>
      </c>
      <c r="R448" s="49">
        <f t="shared" si="77"/>
        <v>0</v>
      </c>
      <c r="S448" s="732">
        <f t="shared" si="78"/>
        <v>0</v>
      </c>
    </row>
    <row r="449" spans="1:19">
      <c r="A449" s="878"/>
      <c r="B449" s="126"/>
      <c r="C449" s="49">
        <f t="shared" si="69"/>
        <v>1</v>
      </c>
      <c r="D449" s="877"/>
      <c r="E449" s="49">
        <f t="shared" si="70"/>
        <v>1</v>
      </c>
      <c r="F449" s="877"/>
      <c r="G449" s="49">
        <f t="shared" si="71"/>
        <v>1</v>
      </c>
      <c r="H449" s="877"/>
      <c r="I449" s="49">
        <f t="shared" si="72"/>
        <v>1</v>
      </c>
      <c r="J449" s="877"/>
      <c r="K449" s="49">
        <f t="shared" si="73"/>
        <v>1</v>
      </c>
      <c r="L449" s="877"/>
      <c r="M449" s="49">
        <f t="shared" si="74"/>
        <v>1</v>
      </c>
      <c r="N449" s="877"/>
      <c r="O449" s="49">
        <f t="shared" si="75"/>
        <v>1</v>
      </c>
      <c r="P449" s="877"/>
      <c r="Q449" s="49">
        <f t="shared" si="76"/>
        <v>1</v>
      </c>
      <c r="R449" s="49">
        <f t="shared" si="77"/>
        <v>0</v>
      </c>
      <c r="S449" s="732">
        <f t="shared" si="78"/>
        <v>0</v>
      </c>
    </row>
    <row r="450" spans="1:19">
      <c r="A450" s="878"/>
      <c r="B450" s="126"/>
      <c r="C450" s="49">
        <f t="shared" si="69"/>
        <v>1</v>
      </c>
      <c r="D450" s="877"/>
      <c r="E450" s="49">
        <f t="shared" si="70"/>
        <v>1</v>
      </c>
      <c r="F450" s="877"/>
      <c r="G450" s="49">
        <f t="shared" si="71"/>
        <v>1</v>
      </c>
      <c r="H450" s="877"/>
      <c r="I450" s="49">
        <f t="shared" si="72"/>
        <v>1</v>
      </c>
      <c r="J450" s="877"/>
      <c r="K450" s="49">
        <f t="shared" si="73"/>
        <v>1</v>
      </c>
      <c r="L450" s="877"/>
      <c r="M450" s="49">
        <f t="shared" si="74"/>
        <v>1</v>
      </c>
      <c r="N450" s="877"/>
      <c r="O450" s="49">
        <f t="shared" si="75"/>
        <v>1</v>
      </c>
      <c r="P450" s="877"/>
      <c r="Q450" s="49">
        <f t="shared" si="76"/>
        <v>1</v>
      </c>
      <c r="R450" s="49">
        <f t="shared" si="77"/>
        <v>0</v>
      </c>
      <c r="S450" s="732">
        <f t="shared" si="78"/>
        <v>0</v>
      </c>
    </row>
    <row r="451" spans="1:19">
      <c r="A451" s="878"/>
      <c r="B451" s="126"/>
      <c r="C451" s="49">
        <f t="shared" si="69"/>
        <v>1</v>
      </c>
      <c r="D451" s="877"/>
      <c r="E451" s="49">
        <f t="shared" si="70"/>
        <v>1</v>
      </c>
      <c r="F451" s="877"/>
      <c r="G451" s="49">
        <f t="shared" si="71"/>
        <v>1</v>
      </c>
      <c r="H451" s="877"/>
      <c r="I451" s="49">
        <f t="shared" si="72"/>
        <v>1</v>
      </c>
      <c r="J451" s="877"/>
      <c r="K451" s="49">
        <f t="shared" si="73"/>
        <v>1</v>
      </c>
      <c r="L451" s="877"/>
      <c r="M451" s="49">
        <f t="shared" si="74"/>
        <v>1</v>
      </c>
      <c r="N451" s="877"/>
      <c r="O451" s="49">
        <f t="shared" si="75"/>
        <v>1</v>
      </c>
      <c r="P451" s="877"/>
      <c r="Q451" s="49">
        <f t="shared" si="76"/>
        <v>1</v>
      </c>
      <c r="R451" s="49">
        <f t="shared" si="77"/>
        <v>0</v>
      </c>
      <c r="S451" s="732">
        <f t="shared" si="78"/>
        <v>0</v>
      </c>
    </row>
    <row r="452" spans="1:19">
      <c r="A452" s="878"/>
      <c r="B452" s="126"/>
      <c r="C452" s="49">
        <f t="shared" si="69"/>
        <v>1</v>
      </c>
      <c r="D452" s="877"/>
      <c r="E452" s="49">
        <f t="shared" si="70"/>
        <v>1</v>
      </c>
      <c r="F452" s="877"/>
      <c r="G452" s="49">
        <f t="shared" si="71"/>
        <v>1</v>
      </c>
      <c r="H452" s="877"/>
      <c r="I452" s="49">
        <f t="shared" si="72"/>
        <v>1</v>
      </c>
      <c r="J452" s="877"/>
      <c r="K452" s="49">
        <f t="shared" si="73"/>
        <v>1</v>
      </c>
      <c r="L452" s="877"/>
      <c r="M452" s="49">
        <f t="shared" si="74"/>
        <v>1</v>
      </c>
      <c r="N452" s="877"/>
      <c r="O452" s="49">
        <f t="shared" si="75"/>
        <v>1</v>
      </c>
      <c r="P452" s="877"/>
      <c r="Q452" s="49">
        <f t="shared" si="76"/>
        <v>1</v>
      </c>
      <c r="R452" s="49">
        <f t="shared" si="77"/>
        <v>0</v>
      </c>
      <c r="S452" s="732">
        <f t="shared" si="78"/>
        <v>0</v>
      </c>
    </row>
    <row r="453" spans="1:19">
      <c r="A453" s="878"/>
      <c r="B453" s="126"/>
      <c r="C453" s="49">
        <f t="shared" si="69"/>
        <v>1</v>
      </c>
      <c r="D453" s="877"/>
      <c r="E453" s="49">
        <f t="shared" si="70"/>
        <v>1</v>
      </c>
      <c r="F453" s="877"/>
      <c r="G453" s="49">
        <f t="shared" si="71"/>
        <v>1</v>
      </c>
      <c r="H453" s="877"/>
      <c r="I453" s="49">
        <f t="shared" si="72"/>
        <v>1</v>
      </c>
      <c r="J453" s="877"/>
      <c r="K453" s="49">
        <f t="shared" si="73"/>
        <v>1</v>
      </c>
      <c r="L453" s="877"/>
      <c r="M453" s="49">
        <f t="shared" si="74"/>
        <v>1</v>
      </c>
      <c r="N453" s="877"/>
      <c r="O453" s="49">
        <f t="shared" si="75"/>
        <v>1</v>
      </c>
      <c r="P453" s="877"/>
      <c r="Q453" s="49">
        <f t="shared" si="76"/>
        <v>1</v>
      </c>
      <c r="R453" s="49">
        <f t="shared" si="77"/>
        <v>0</v>
      </c>
      <c r="S453" s="732">
        <f t="shared" si="78"/>
        <v>0</v>
      </c>
    </row>
    <row r="454" spans="1:19">
      <c r="A454" s="878"/>
      <c r="B454" s="126"/>
      <c r="C454" s="49">
        <f t="shared" si="69"/>
        <v>1</v>
      </c>
      <c r="D454" s="877"/>
      <c r="E454" s="49">
        <f t="shared" si="70"/>
        <v>1</v>
      </c>
      <c r="F454" s="877"/>
      <c r="G454" s="49">
        <f t="shared" si="71"/>
        <v>1</v>
      </c>
      <c r="H454" s="877"/>
      <c r="I454" s="49">
        <f t="shared" si="72"/>
        <v>1</v>
      </c>
      <c r="J454" s="877"/>
      <c r="K454" s="49">
        <f t="shared" si="73"/>
        <v>1</v>
      </c>
      <c r="L454" s="877"/>
      <c r="M454" s="49">
        <f t="shared" si="74"/>
        <v>1</v>
      </c>
      <c r="N454" s="877"/>
      <c r="O454" s="49">
        <f t="shared" si="75"/>
        <v>1</v>
      </c>
      <c r="P454" s="877"/>
      <c r="Q454" s="49">
        <f t="shared" si="76"/>
        <v>1</v>
      </c>
      <c r="R454" s="49">
        <f t="shared" si="77"/>
        <v>0</v>
      </c>
      <c r="S454" s="732">
        <f t="shared" si="78"/>
        <v>0</v>
      </c>
    </row>
    <row r="455" spans="1:19">
      <c r="A455" s="878"/>
      <c r="B455" s="126"/>
      <c r="C455" s="49">
        <f t="shared" si="69"/>
        <v>1</v>
      </c>
      <c r="D455" s="877"/>
      <c r="E455" s="49">
        <f t="shared" si="70"/>
        <v>1</v>
      </c>
      <c r="F455" s="877"/>
      <c r="G455" s="49">
        <f t="shared" si="71"/>
        <v>1</v>
      </c>
      <c r="H455" s="877"/>
      <c r="I455" s="49">
        <f t="shared" si="72"/>
        <v>1</v>
      </c>
      <c r="J455" s="877"/>
      <c r="K455" s="49">
        <f t="shared" si="73"/>
        <v>1</v>
      </c>
      <c r="L455" s="877"/>
      <c r="M455" s="49">
        <f t="shared" si="74"/>
        <v>1</v>
      </c>
      <c r="N455" s="877"/>
      <c r="O455" s="49">
        <f t="shared" si="75"/>
        <v>1</v>
      </c>
      <c r="P455" s="877"/>
      <c r="Q455" s="49">
        <f t="shared" si="76"/>
        <v>1</v>
      </c>
      <c r="R455" s="49">
        <f t="shared" si="77"/>
        <v>0</v>
      </c>
      <c r="S455" s="732">
        <f t="shared" si="78"/>
        <v>0</v>
      </c>
    </row>
    <row r="456" spans="1:19">
      <c r="A456" s="878"/>
      <c r="B456" s="126"/>
      <c r="C456" s="49">
        <f t="shared" si="69"/>
        <v>1</v>
      </c>
      <c r="D456" s="877"/>
      <c r="E456" s="49">
        <f t="shared" si="70"/>
        <v>1</v>
      </c>
      <c r="F456" s="877"/>
      <c r="G456" s="49">
        <f t="shared" si="71"/>
        <v>1</v>
      </c>
      <c r="H456" s="877"/>
      <c r="I456" s="49">
        <f t="shared" si="72"/>
        <v>1</v>
      </c>
      <c r="J456" s="877"/>
      <c r="K456" s="49">
        <f t="shared" si="73"/>
        <v>1</v>
      </c>
      <c r="L456" s="877"/>
      <c r="M456" s="49">
        <f t="shared" si="74"/>
        <v>1</v>
      </c>
      <c r="N456" s="877"/>
      <c r="O456" s="49">
        <f t="shared" si="75"/>
        <v>1</v>
      </c>
      <c r="P456" s="877"/>
      <c r="Q456" s="49">
        <f t="shared" si="76"/>
        <v>1</v>
      </c>
      <c r="R456" s="49">
        <f t="shared" si="77"/>
        <v>0</v>
      </c>
      <c r="S456" s="732">
        <f t="shared" si="78"/>
        <v>0</v>
      </c>
    </row>
    <row r="457" spans="1:19">
      <c r="A457" s="878"/>
      <c r="B457" s="126"/>
      <c r="C457" s="49">
        <f t="shared" si="69"/>
        <v>1</v>
      </c>
      <c r="D457" s="877"/>
      <c r="E457" s="49">
        <f t="shared" si="70"/>
        <v>1</v>
      </c>
      <c r="F457" s="877"/>
      <c r="G457" s="49">
        <f t="shared" si="71"/>
        <v>1</v>
      </c>
      <c r="H457" s="877"/>
      <c r="I457" s="49">
        <f t="shared" si="72"/>
        <v>1</v>
      </c>
      <c r="J457" s="877"/>
      <c r="K457" s="49">
        <f t="shared" si="73"/>
        <v>1</v>
      </c>
      <c r="L457" s="877"/>
      <c r="M457" s="49">
        <f t="shared" si="74"/>
        <v>1</v>
      </c>
      <c r="N457" s="877"/>
      <c r="O457" s="49">
        <f t="shared" si="75"/>
        <v>1</v>
      </c>
      <c r="P457" s="877"/>
      <c r="Q457" s="49">
        <f t="shared" si="76"/>
        <v>1</v>
      </c>
      <c r="R457" s="49">
        <f t="shared" si="77"/>
        <v>0</v>
      </c>
      <c r="S457" s="732">
        <f t="shared" si="78"/>
        <v>0</v>
      </c>
    </row>
    <row r="458" spans="1:19">
      <c r="A458" s="878"/>
      <c r="B458" s="126"/>
      <c r="C458" s="49">
        <f t="shared" si="69"/>
        <v>1</v>
      </c>
      <c r="D458" s="877"/>
      <c r="E458" s="49">
        <f t="shared" si="70"/>
        <v>1</v>
      </c>
      <c r="F458" s="877"/>
      <c r="G458" s="49">
        <f t="shared" si="71"/>
        <v>1</v>
      </c>
      <c r="H458" s="877"/>
      <c r="I458" s="49">
        <f t="shared" si="72"/>
        <v>1</v>
      </c>
      <c r="J458" s="877"/>
      <c r="K458" s="49">
        <f t="shared" si="73"/>
        <v>1</v>
      </c>
      <c r="L458" s="877"/>
      <c r="M458" s="49">
        <f t="shared" si="74"/>
        <v>1</v>
      </c>
      <c r="N458" s="877"/>
      <c r="O458" s="49">
        <f t="shared" si="75"/>
        <v>1</v>
      </c>
      <c r="P458" s="877"/>
      <c r="Q458" s="49">
        <f t="shared" si="76"/>
        <v>1</v>
      </c>
      <c r="R458" s="49">
        <f t="shared" si="77"/>
        <v>0</v>
      </c>
      <c r="S458" s="732">
        <f t="shared" si="78"/>
        <v>0</v>
      </c>
    </row>
    <row r="459" spans="1:19">
      <c r="A459" s="878"/>
      <c r="B459" s="126"/>
      <c r="C459" s="49">
        <f t="shared" si="69"/>
        <v>1</v>
      </c>
      <c r="D459" s="877"/>
      <c r="E459" s="49">
        <f t="shared" si="70"/>
        <v>1</v>
      </c>
      <c r="F459" s="877"/>
      <c r="G459" s="49">
        <f t="shared" si="71"/>
        <v>1</v>
      </c>
      <c r="H459" s="877"/>
      <c r="I459" s="49">
        <f t="shared" si="72"/>
        <v>1</v>
      </c>
      <c r="J459" s="877"/>
      <c r="K459" s="49">
        <f t="shared" si="73"/>
        <v>1</v>
      </c>
      <c r="L459" s="877"/>
      <c r="M459" s="49">
        <f t="shared" si="74"/>
        <v>1</v>
      </c>
      <c r="N459" s="877"/>
      <c r="O459" s="49">
        <f t="shared" si="75"/>
        <v>1</v>
      </c>
      <c r="P459" s="877"/>
      <c r="Q459" s="49">
        <f t="shared" si="76"/>
        <v>1</v>
      </c>
      <c r="R459" s="49">
        <f t="shared" si="77"/>
        <v>0</v>
      </c>
      <c r="S459" s="732">
        <f t="shared" si="78"/>
        <v>0</v>
      </c>
    </row>
    <row r="460" spans="1:19">
      <c r="A460" s="878"/>
      <c r="B460" s="126"/>
      <c r="C460" s="49">
        <f t="shared" si="69"/>
        <v>1</v>
      </c>
      <c r="D460" s="877"/>
      <c r="E460" s="49">
        <f t="shared" si="70"/>
        <v>1</v>
      </c>
      <c r="F460" s="877"/>
      <c r="G460" s="49">
        <f t="shared" si="71"/>
        <v>1</v>
      </c>
      <c r="H460" s="877"/>
      <c r="I460" s="49">
        <f t="shared" si="72"/>
        <v>1</v>
      </c>
      <c r="J460" s="877"/>
      <c r="K460" s="49">
        <f t="shared" si="73"/>
        <v>1</v>
      </c>
      <c r="L460" s="877"/>
      <c r="M460" s="49">
        <f t="shared" si="74"/>
        <v>1</v>
      </c>
      <c r="N460" s="877"/>
      <c r="O460" s="49">
        <f t="shared" si="75"/>
        <v>1</v>
      </c>
      <c r="P460" s="877"/>
      <c r="Q460" s="49">
        <f t="shared" si="76"/>
        <v>1</v>
      </c>
      <c r="R460" s="49">
        <f t="shared" si="77"/>
        <v>0</v>
      </c>
      <c r="S460" s="732">
        <f t="shared" si="78"/>
        <v>0</v>
      </c>
    </row>
    <row r="461" spans="1:19">
      <c r="A461" s="878"/>
      <c r="B461" s="126"/>
      <c r="C461" s="49">
        <f t="shared" si="69"/>
        <v>1</v>
      </c>
      <c r="D461" s="877"/>
      <c r="E461" s="49">
        <f t="shared" si="70"/>
        <v>1</v>
      </c>
      <c r="F461" s="877"/>
      <c r="G461" s="49">
        <f t="shared" si="71"/>
        <v>1</v>
      </c>
      <c r="H461" s="877"/>
      <c r="I461" s="49">
        <f t="shared" si="72"/>
        <v>1</v>
      </c>
      <c r="J461" s="877"/>
      <c r="K461" s="49">
        <f t="shared" si="73"/>
        <v>1</v>
      </c>
      <c r="L461" s="877"/>
      <c r="M461" s="49">
        <f t="shared" si="74"/>
        <v>1</v>
      </c>
      <c r="N461" s="877"/>
      <c r="O461" s="49">
        <f t="shared" si="75"/>
        <v>1</v>
      </c>
      <c r="P461" s="877"/>
      <c r="Q461" s="49">
        <f t="shared" si="76"/>
        <v>1</v>
      </c>
      <c r="R461" s="49">
        <f t="shared" si="77"/>
        <v>0</v>
      </c>
      <c r="S461" s="732">
        <f t="shared" si="78"/>
        <v>0</v>
      </c>
    </row>
    <row r="462" spans="1:19">
      <c r="A462" s="878"/>
      <c r="B462" s="126"/>
      <c r="C462" s="49">
        <f t="shared" si="69"/>
        <v>1</v>
      </c>
      <c r="D462" s="877"/>
      <c r="E462" s="49">
        <f t="shared" si="70"/>
        <v>1</v>
      </c>
      <c r="F462" s="877"/>
      <c r="G462" s="49">
        <f t="shared" si="71"/>
        <v>1</v>
      </c>
      <c r="H462" s="877"/>
      <c r="I462" s="49">
        <f t="shared" si="72"/>
        <v>1</v>
      </c>
      <c r="J462" s="877"/>
      <c r="K462" s="49">
        <f t="shared" si="73"/>
        <v>1</v>
      </c>
      <c r="L462" s="877"/>
      <c r="M462" s="49">
        <f t="shared" si="74"/>
        <v>1</v>
      </c>
      <c r="N462" s="877"/>
      <c r="O462" s="49">
        <f t="shared" si="75"/>
        <v>1</v>
      </c>
      <c r="P462" s="877"/>
      <c r="Q462" s="49">
        <f t="shared" si="76"/>
        <v>1</v>
      </c>
      <c r="R462" s="49">
        <f t="shared" si="77"/>
        <v>0</v>
      </c>
      <c r="S462" s="732">
        <f t="shared" si="78"/>
        <v>0</v>
      </c>
    </row>
    <row r="463" spans="1:19">
      <c r="A463" s="878"/>
      <c r="B463" s="126"/>
      <c r="C463" s="49">
        <f t="shared" si="69"/>
        <v>1</v>
      </c>
      <c r="D463" s="877"/>
      <c r="E463" s="49">
        <f t="shared" si="70"/>
        <v>1</v>
      </c>
      <c r="F463" s="877"/>
      <c r="G463" s="49">
        <f t="shared" si="71"/>
        <v>1</v>
      </c>
      <c r="H463" s="877"/>
      <c r="I463" s="49">
        <f t="shared" si="72"/>
        <v>1</v>
      </c>
      <c r="J463" s="877"/>
      <c r="K463" s="49">
        <f t="shared" si="73"/>
        <v>1</v>
      </c>
      <c r="L463" s="877"/>
      <c r="M463" s="49">
        <f t="shared" si="74"/>
        <v>1</v>
      </c>
      <c r="N463" s="877"/>
      <c r="O463" s="49">
        <f t="shared" si="75"/>
        <v>1</v>
      </c>
      <c r="P463" s="877"/>
      <c r="Q463" s="49">
        <f t="shared" si="76"/>
        <v>1</v>
      </c>
      <c r="R463" s="49">
        <f t="shared" si="77"/>
        <v>0</v>
      </c>
      <c r="S463" s="732">
        <f t="shared" si="78"/>
        <v>0</v>
      </c>
    </row>
    <row r="464" spans="1:19">
      <c r="A464" s="878"/>
      <c r="B464" s="126"/>
      <c r="C464" s="49">
        <f t="shared" si="69"/>
        <v>1</v>
      </c>
      <c r="D464" s="877"/>
      <c r="E464" s="49">
        <f t="shared" si="70"/>
        <v>1</v>
      </c>
      <c r="F464" s="877"/>
      <c r="G464" s="49">
        <f t="shared" si="71"/>
        <v>1</v>
      </c>
      <c r="H464" s="877"/>
      <c r="I464" s="49">
        <f t="shared" si="72"/>
        <v>1</v>
      </c>
      <c r="J464" s="877"/>
      <c r="K464" s="49">
        <f t="shared" si="73"/>
        <v>1</v>
      </c>
      <c r="L464" s="877"/>
      <c r="M464" s="49">
        <f t="shared" si="74"/>
        <v>1</v>
      </c>
      <c r="N464" s="877"/>
      <c r="O464" s="49">
        <f t="shared" si="75"/>
        <v>1</v>
      </c>
      <c r="P464" s="877"/>
      <c r="Q464" s="49">
        <f t="shared" si="76"/>
        <v>1</v>
      </c>
      <c r="R464" s="49">
        <f t="shared" si="77"/>
        <v>0</v>
      </c>
      <c r="S464" s="732">
        <f t="shared" si="78"/>
        <v>0</v>
      </c>
    </row>
    <row r="465" spans="1:19">
      <c r="A465" s="878"/>
      <c r="B465" s="126"/>
      <c r="C465" s="49">
        <f t="shared" si="69"/>
        <v>1</v>
      </c>
      <c r="D465" s="877"/>
      <c r="E465" s="49">
        <f t="shared" si="70"/>
        <v>1</v>
      </c>
      <c r="F465" s="877"/>
      <c r="G465" s="49">
        <f t="shared" si="71"/>
        <v>1</v>
      </c>
      <c r="H465" s="877"/>
      <c r="I465" s="49">
        <f t="shared" si="72"/>
        <v>1</v>
      </c>
      <c r="J465" s="877"/>
      <c r="K465" s="49">
        <f t="shared" si="73"/>
        <v>1</v>
      </c>
      <c r="L465" s="877"/>
      <c r="M465" s="49">
        <f t="shared" si="74"/>
        <v>1</v>
      </c>
      <c r="N465" s="877"/>
      <c r="O465" s="49">
        <f t="shared" si="75"/>
        <v>1</v>
      </c>
      <c r="P465" s="877"/>
      <c r="Q465" s="49">
        <f t="shared" si="76"/>
        <v>1</v>
      </c>
      <c r="R465" s="49">
        <f t="shared" si="77"/>
        <v>0</v>
      </c>
      <c r="S465" s="732">
        <f t="shared" si="78"/>
        <v>0</v>
      </c>
    </row>
    <row r="466" spans="1:19">
      <c r="A466" s="878"/>
      <c r="B466" s="126"/>
      <c r="C466" s="49">
        <f t="shared" si="69"/>
        <v>1</v>
      </c>
      <c r="D466" s="877"/>
      <c r="E466" s="49">
        <f t="shared" si="70"/>
        <v>1</v>
      </c>
      <c r="F466" s="877"/>
      <c r="G466" s="49">
        <f t="shared" si="71"/>
        <v>1</v>
      </c>
      <c r="H466" s="877"/>
      <c r="I466" s="49">
        <f t="shared" si="72"/>
        <v>1</v>
      </c>
      <c r="J466" s="877"/>
      <c r="K466" s="49">
        <f t="shared" si="73"/>
        <v>1</v>
      </c>
      <c r="L466" s="877"/>
      <c r="M466" s="49">
        <f t="shared" si="74"/>
        <v>1</v>
      </c>
      <c r="N466" s="877"/>
      <c r="O466" s="49">
        <f t="shared" si="75"/>
        <v>1</v>
      </c>
      <c r="P466" s="877"/>
      <c r="Q466" s="49">
        <f t="shared" si="76"/>
        <v>1</v>
      </c>
      <c r="R466" s="49">
        <f t="shared" si="77"/>
        <v>0</v>
      </c>
      <c r="S466" s="732">
        <f t="shared" si="78"/>
        <v>0</v>
      </c>
    </row>
    <row r="467" spans="1:19">
      <c r="A467" s="878"/>
      <c r="B467" s="126"/>
      <c r="C467" s="49">
        <f t="shared" si="69"/>
        <v>1</v>
      </c>
      <c r="D467" s="877"/>
      <c r="E467" s="49">
        <f t="shared" si="70"/>
        <v>1</v>
      </c>
      <c r="F467" s="877"/>
      <c r="G467" s="49">
        <f t="shared" si="71"/>
        <v>1</v>
      </c>
      <c r="H467" s="877"/>
      <c r="I467" s="49">
        <f t="shared" si="72"/>
        <v>1</v>
      </c>
      <c r="J467" s="877"/>
      <c r="K467" s="49">
        <f t="shared" si="73"/>
        <v>1</v>
      </c>
      <c r="L467" s="877"/>
      <c r="M467" s="49">
        <f t="shared" si="74"/>
        <v>1</v>
      </c>
      <c r="N467" s="877"/>
      <c r="O467" s="49">
        <f t="shared" si="75"/>
        <v>1</v>
      </c>
      <c r="P467" s="877"/>
      <c r="Q467" s="49">
        <f t="shared" si="76"/>
        <v>1</v>
      </c>
      <c r="R467" s="49">
        <f t="shared" si="77"/>
        <v>0</v>
      </c>
      <c r="S467" s="732">
        <f t="shared" si="78"/>
        <v>0</v>
      </c>
    </row>
    <row r="468" spans="1:19">
      <c r="A468" s="878"/>
      <c r="B468" s="126"/>
      <c r="C468" s="49">
        <f t="shared" si="69"/>
        <v>1</v>
      </c>
      <c r="D468" s="877"/>
      <c r="E468" s="49">
        <f t="shared" si="70"/>
        <v>1</v>
      </c>
      <c r="F468" s="877"/>
      <c r="G468" s="49">
        <f t="shared" si="71"/>
        <v>1</v>
      </c>
      <c r="H468" s="877"/>
      <c r="I468" s="49">
        <f t="shared" si="72"/>
        <v>1</v>
      </c>
      <c r="J468" s="877"/>
      <c r="K468" s="49">
        <f t="shared" si="73"/>
        <v>1</v>
      </c>
      <c r="L468" s="877"/>
      <c r="M468" s="49">
        <f t="shared" si="74"/>
        <v>1</v>
      </c>
      <c r="N468" s="877"/>
      <c r="O468" s="49">
        <f t="shared" si="75"/>
        <v>1</v>
      </c>
      <c r="P468" s="877"/>
      <c r="Q468" s="49">
        <f t="shared" si="76"/>
        <v>1</v>
      </c>
      <c r="R468" s="49">
        <f t="shared" si="77"/>
        <v>0</v>
      </c>
      <c r="S468" s="732">
        <f t="shared" ref="S468:S497" si="79">ROUND(R468*B468/10000,0)</f>
        <v>0</v>
      </c>
    </row>
    <row r="469" spans="1:19">
      <c r="A469" s="878"/>
      <c r="B469" s="126"/>
      <c r="C469" s="49">
        <f t="shared" si="69"/>
        <v>1</v>
      </c>
      <c r="D469" s="877"/>
      <c r="E469" s="49">
        <f t="shared" si="70"/>
        <v>1</v>
      </c>
      <c r="F469" s="877"/>
      <c r="G469" s="49">
        <f t="shared" si="71"/>
        <v>1</v>
      </c>
      <c r="H469" s="877"/>
      <c r="I469" s="49">
        <f t="shared" si="72"/>
        <v>1</v>
      </c>
      <c r="J469" s="877"/>
      <c r="K469" s="49">
        <f t="shared" si="73"/>
        <v>1</v>
      </c>
      <c r="L469" s="877"/>
      <c r="M469" s="49">
        <f t="shared" si="74"/>
        <v>1</v>
      </c>
      <c r="N469" s="877"/>
      <c r="O469" s="49">
        <f t="shared" si="75"/>
        <v>1</v>
      </c>
      <c r="P469" s="877"/>
      <c r="Q469" s="49">
        <f t="shared" si="76"/>
        <v>1</v>
      </c>
      <c r="R469" s="49">
        <f t="shared" si="77"/>
        <v>0</v>
      </c>
      <c r="S469" s="732">
        <f t="shared" si="79"/>
        <v>0</v>
      </c>
    </row>
    <row r="470" spans="1:19">
      <c r="A470" s="878"/>
      <c r="B470" s="126"/>
      <c r="C470" s="49">
        <f t="shared" si="69"/>
        <v>1</v>
      </c>
      <c r="D470" s="877"/>
      <c r="E470" s="49">
        <f t="shared" si="70"/>
        <v>1</v>
      </c>
      <c r="F470" s="877"/>
      <c r="G470" s="49">
        <f t="shared" si="71"/>
        <v>1</v>
      </c>
      <c r="H470" s="877"/>
      <c r="I470" s="49">
        <f t="shared" si="72"/>
        <v>1</v>
      </c>
      <c r="J470" s="877"/>
      <c r="K470" s="49">
        <f t="shared" si="73"/>
        <v>1</v>
      </c>
      <c r="L470" s="877"/>
      <c r="M470" s="49">
        <f t="shared" si="74"/>
        <v>1</v>
      </c>
      <c r="N470" s="877"/>
      <c r="O470" s="49">
        <f t="shared" si="75"/>
        <v>1</v>
      </c>
      <c r="P470" s="877"/>
      <c r="Q470" s="49">
        <f t="shared" si="76"/>
        <v>1</v>
      </c>
      <c r="R470" s="49">
        <f t="shared" si="77"/>
        <v>0</v>
      </c>
      <c r="S470" s="732">
        <f t="shared" si="79"/>
        <v>0</v>
      </c>
    </row>
    <row r="471" spans="1:19">
      <c r="A471" s="878"/>
      <c r="B471" s="126"/>
      <c r="C471" s="49">
        <f t="shared" si="69"/>
        <v>1</v>
      </c>
      <c r="D471" s="877"/>
      <c r="E471" s="49">
        <f t="shared" si="70"/>
        <v>1</v>
      </c>
      <c r="F471" s="877"/>
      <c r="G471" s="49">
        <f t="shared" si="71"/>
        <v>1</v>
      </c>
      <c r="H471" s="877"/>
      <c r="I471" s="49">
        <f t="shared" si="72"/>
        <v>1</v>
      </c>
      <c r="J471" s="877"/>
      <c r="K471" s="49">
        <f t="shared" si="73"/>
        <v>1</v>
      </c>
      <c r="L471" s="877"/>
      <c r="M471" s="49">
        <f t="shared" si="74"/>
        <v>1</v>
      </c>
      <c r="N471" s="877"/>
      <c r="O471" s="49">
        <f t="shared" si="75"/>
        <v>1</v>
      </c>
      <c r="P471" s="877"/>
      <c r="Q471" s="49">
        <f t="shared" si="76"/>
        <v>1</v>
      </c>
      <c r="R471" s="49">
        <f t="shared" si="77"/>
        <v>0</v>
      </c>
      <c r="S471" s="732">
        <f t="shared" si="79"/>
        <v>0</v>
      </c>
    </row>
    <row r="472" spans="1:19">
      <c r="A472" s="878"/>
      <c r="B472" s="126"/>
      <c r="C472" s="49">
        <f t="shared" si="69"/>
        <v>1</v>
      </c>
      <c r="D472" s="877"/>
      <c r="E472" s="49">
        <f t="shared" si="70"/>
        <v>1</v>
      </c>
      <c r="F472" s="877"/>
      <c r="G472" s="49">
        <f t="shared" si="71"/>
        <v>1</v>
      </c>
      <c r="H472" s="877"/>
      <c r="I472" s="49">
        <f t="shared" si="72"/>
        <v>1</v>
      </c>
      <c r="J472" s="877"/>
      <c r="K472" s="49">
        <f t="shared" si="73"/>
        <v>1</v>
      </c>
      <c r="L472" s="877"/>
      <c r="M472" s="49">
        <f t="shared" si="74"/>
        <v>1</v>
      </c>
      <c r="N472" s="877"/>
      <c r="O472" s="49">
        <f t="shared" si="75"/>
        <v>1</v>
      </c>
      <c r="P472" s="877"/>
      <c r="Q472" s="49">
        <f t="shared" si="76"/>
        <v>1</v>
      </c>
      <c r="R472" s="49">
        <f t="shared" si="77"/>
        <v>0</v>
      </c>
      <c r="S472" s="732">
        <f t="shared" si="79"/>
        <v>0</v>
      </c>
    </row>
    <row r="473" spans="1:19">
      <c r="A473" s="878"/>
      <c r="B473" s="126"/>
      <c r="C473" s="49">
        <f t="shared" si="69"/>
        <v>1</v>
      </c>
      <c r="D473" s="877"/>
      <c r="E473" s="49">
        <f t="shared" si="70"/>
        <v>1</v>
      </c>
      <c r="F473" s="877"/>
      <c r="G473" s="49">
        <f t="shared" si="71"/>
        <v>1</v>
      </c>
      <c r="H473" s="877"/>
      <c r="I473" s="49">
        <f t="shared" si="72"/>
        <v>1</v>
      </c>
      <c r="J473" s="877"/>
      <c r="K473" s="49">
        <f t="shared" si="73"/>
        <v>1</v>
      </c>
      <c r="L473" s="877"/>
      <c r="M473" s="49">
        <f t="shared" si="74"/>
        <v>1</v>
      </c>
      <c r="N473" s="877"/>
      <c r="O473" s="49">
        <f t="shared" si="75"/>
        <v>1</v>
      </c>
      <c r="P473" s="877"/>
      <c r="Q473" s="49">
        <f t="shared" si="76"/>
        <v>1</v>
      </c>
      <c r="R473" s="49">
        <f t="shared" si="77"/>
        <v>0</v>
      </c>
      <c r="S473" s="732">
        <f t="shared" si="79"/>
        <v>0</v>
      </c>
    </row>
    <row r="474" spans="1:19">
      <c r="A474" s="878"/>
      <c r="B474" s="126"/>
      <c r="C474" s="49">
        <f t="shared" ref="C474:C524" si="80">IF(B474="",1,(LOOKUP(B474,$3:$3,$4:$4)-LOOKUP($B$24,$3:$3,$4:$4)+100)/100)</f>
        <v>1</v>
      </c>
      <c r="D474" s="877"/>
      <c r="E474" s="49">
        <f t="shared" ref="E474:E524" si="81">(SUMIF($5:$5,D474,$6:$6)-SUMIF($5:$5,$D$24,$6:$6)+100)/100</f>
        <v>1</v>
      </c>
      <c r="F474" s="877"/>
      <c r="G474" s="49">
        <f t="shared" ref="G474:G524" si="82">(SUMIF($7:$7,F474,$8:$8)-SUMIF($7:$7,$F$24,$8:$8)+100)/100</f>
        <v>1</v>
      </c>
      <c r="H474" s="877"/>
      <c r="I474" s="49">
        <f t="shared" ref="I474:I524" si="83">(SUMIF($9:$9,H474,$10:$10)-SUMIF($9:$9,$H$24,$10:$10)+100)/100</f>
        <v>1</v>
      </c>
      <c r="J474" s="877"/>
      <c r="K474" s="49">
        <f t="shared" ref="K474:K524" si="84">(SUMIF($11:$11,J474,$12:$12)-SUMIF($11:$11,$J$24,$12:$12)+100)/100</f>
        <v>1</v>
      </c>
      <c r="L474" s="877"/>
      <c r="M474" s="49">
        <f t="shared" ref="M474:M524" si="85">(SUMIF($13:$13,L474,$14:$14)-SUMIF($13:$13,$L$24,$14:$14)+100)/100</f>
        <v>1</v>
      </c>
      <c r="N474" s="877"/>
      <c r="O474" s="49">
        <f t="shared" ref="O474:O524" si="86">(SUMIF($15:$15,N474,$16:$16)-SUMIF($15:$15,$N$24,$16:$16)+100)/100</f>
        <v>1</v>
      </c>
      <c r="P474" s="877"/>
      <c r="Q474" s="49">
        <f t="shared" ref="Q474:Q524" si="87">(SUMIF($17:$17,P474,$18:$18)-SUMIF($17:$17,$P$24,$18:$18)+100)/100</f>
        <v>1</v>
      </c>
      <c r="R474" s="49">
        <f t="shared" ref="R474:R524" si="88">IF(B474="",0,ROUND($R$24*C474*E474*G474*I474*K474*M474*O474*Q474,0))</f>
        <v>0</v>
      </c>
      <c r="S474" s="732">
        <f t="shared" si="79"/>
        <v>0</v>
      </c>
    </row>
    <row r="475" spans="1:19">
      <c r="A475" s="878"/>
      <c r="B475" s="126"/>
      <c r="C475" s="49">
        <f t="shared" si="80"/>
        <v>1</v>
      </c>
      <c r="D475" s="877"/>
      <c r="E475" s="49">
        <f t="shared" si="81"/>
        <v>1</v>
      </c>
      <c r="F475" s="877"/>
      <c r="G475" s="49">
        <f t="shared" si="82"/>
        <v>1</v>
      </c>
      <c r="H475" s="877"/>
      <c r="I475" s="49">
        <f t="shared" si="83"/>
        <v>1</v>
      </c>
      <c r="J475" s="877"/>
      <c r="K475" s="49">
        <f t="shared" si="84"/>
        <v>1</v>
      </c>
      <c r="L475" s="877"/>
      <c r="M475" s="49">
        <f t="shared" si="85"/>
        <v>1</v>
      </c>
      <c r="N475" s="877"/>
      <c r="O475" s="49">
        <f t="shared" si="86"/>
        <v>1</v>
      </c>
      <c r="P475" s="877"/>
      <c r="Q475" s="49">
        <f t="shared" si="87"/>
        <v>1</v>
      </c>
      <c r="R475" s="49">
        <f t="shared" si="88"/>
        <v>0</v>
      </c>
      <c r="S475" s="732">
        <f t="shared" si="79"/>
        <v>0</v>
      </c>
    </row>
    <row r="476" spans="1:19">
      <c r="A476" s="878"/>
      <c r="B476" s="126"/>
      <c r="C476" s="49">
        <f t="shared" si="80"/>
        <v>1</v>
      </c>
      <c r="D476" s="877"/>
      <c r="E476" s="49">
        <f t="shared" si="81"/>
        <v>1</v>
      </c>
      <c r="F476" s="877"/>
      <c r="G476" s="49">
        <f t="shared" si="82"/>
        <v>1</v>
      </c>
      <c r="H476" s="877"/>
      <c r="I476" s="49">
        <f t="shared" si="83"/>
        <v>1</v>
      </c>
      <c r="J476" s="877"/>
      <c r="K476" s="49">
        <f t="shared" si="84"/>
        <v>1</v>
      </c>
      <c r="L476" s="877"/>
      <c r="M476" s="49">
        <f t="shared" si="85"/>
        <v>1</v>
      </c>
      <c r="N476" s="877"/>
      <c r="O476" s="49">
        <f t="shared" si="86"/>
        <v>1</v>
      </c>
      <c r="P476" s="877"/>
      <c r="Q476" s="49">
        <f t="shared" si="87"/>
        <v>1</v>
      </c>
      <c r="R476" s="49">
        <f t="shared" si="88"/>
        <v>0</v>
      </c>
      <c r="S476" s="732">
        <f t="shared" si="79"/>
        <v>0</v>
      </c>
    </row>
    <row r="477" spans="1:19">
      <c r="A477" s="878"/>
      <c r="B477" s="126"/>
      <c r="C477" s="49">
        <f t="shared" si="80"/>
        <v>1</v>
      </c>
      <c r="D477" s="877"/>
      <c r="E477" s="49">
        <f t="shared" si="81"/>
        <v>1</v>
      </c>
      <c r="F477" s="877"/>
      <c r="G477" s="49">
        <f t="shared" si="82"/>
        <v>1</v>
      </c>
      <c r="H477" s="877"/>
      <c r="I477" s="49">
        <f t="shared" si="83"/>
        <v>1</v>
      </c>
      <c r="J477" s="877"/>
      <c r="K477" s="49">
        <f t="shared" si="84"/>
        <v>1</v>
      </c>
      <c r="L477" s="877"/>
      <c r="M477" s="49">
        <f t="shared" si="85"/>
        <v>1</v>
      </c>
      <c r="N477" s="877"/>
      <c r="O477" s="49">
        <f t="shared" si="86"/>
        <v>1</v>
      </c>
      <c r="P477" s="877"/>
      <c r="Q477" s="49">
        <f t="shared" si="87"/>
        <v>1</v>
      </c>
      <c r="R477" s="49">
        <f t="shared" si="88"/>
        <v>0</v>
      </c>
      <c r="S477" s="732">
        <f t="shared" si="79"/>
        <v>0</v>
      </c>
    </row>
    <row r="478" spans="1:19">
      <c r="A478" s="878"/>
      <c r="B478" s="126"/>
      <c r="C478" s="49">
        <f t="shared" si="80"/>
        <v>1</v>
      </c>
      <c r="D478" s="877"/>
      <c r="E478" s="49">
        <f t="shared" si="81"/>
        <v>1</v>
      </c>
      <c r="F478" s="877"/>
      <c r="G478" s="49">
        <f t="shared" si="82"/>
        <v>1</v>
      </c>
      <c r="H478" s="877"/>
      <c r="I478" s="49">
        <f t="shared" si="83"/>
        <v>1</v>
      </c>
      <c r="J478" s="877"/>
      <c r="K478" s="49">
        <f t="shared" si="84"/>
        <v>1</v>
      </c>
      <c r="L478" s="877"/>
      <c r="M478" s="49">
        <f t="shared" si="85"/>
        <v>1</v>
      </c>
      <c r="N478" s="877"/>
      <c r="O478" s="49">
        <f t="shared" si="86"/>
        <v>1</v>
      </c>
      <c r="P478" s="877"/>
      <c r="Q478" s="49">
        <f t="shared" si="87"/>
        <v>1</v>
      </c>
      <c r="R478" s="49">
        <f t="shared" si="88"/>
        <v>0</v>
      </c>
      <c r="S478" s="732">
        <f t="shared" si="79"/>
        <v>0</v>
      </c>
    </row>
    <row r="479" spans="1:19">
      <c r="A479" s="878"/>
      <c r="B479" s="126"/>
      <c r="C479" s="49">
        <f t="shared" si="80"/>
        <v>1</v>
      </c>
      <c r="D479" s="877"/>
      <c r="E479" s="49">
        <f t="shared" si="81"/>
        <v>1</v>
      </c>
      <c r="F479" s="877"/>
      <c r="G479" s="49">
        <f t="shared" si="82"/>
        <v>1</v>
      </c>
      <c r="H479" s="877"/>
      <c r="I479" s="49">
        <f t="shared" si="83"/>
        <v>1</v>
      </c>
      <c r="J479" s="877"/>
      <c r="K479" s="49">
        <f t="shared" si="84"/>
        <v>1</v>
      </c>
      <c r="L479" s="877"/>
      <c r="M479" s="49">
        <f t="shared" si="85"/>
        <v>1</v>
      </c>
      <c r="N479" s="877"/>
      <c r="O479" s="49">
        <f t="shared" si="86"/>
        <v>1</v>
      </c>
      <c r="P479" s="877"/>
      <c r="Q479" s="49">
        <f t="shared" si="87"/>
        <v>1</v>
      </c>
      <c r="R479" s="49">
        <f t="shared" si="88"/>
        <v>0</v>
      </c>
      <c r="S479" s="732">
        <f t="shared" si="79"/>
        <v>0</v>
      </c>
    </row>
    <row r="480" spans="1:19">
      <c r="A480" s="878"/>
      <c r="B480" s="126"/>
      <c r="C480" s="49">
        <f t="shared" si="80"/>
        <v>1</v>
      </c>
      <c r="D480" s="877"/>
      <c r="E480" s="49">
        <f t="shared" si="81"/>
        <v>1</v>
      </c>
      <c r="F480" s="877"/>
      <c r="G480" s="49">
        <f t="shared" si="82"/>
        <v>1</v>
      </c>
      <c r="H480" s="877"/>
      <c r="I480" s="49">
        <f t="shared" si="83"/>
        <v>1</v>
      </c>
      <c r="J480" s="877"/>
      <c r="K480" s="49">
        <f t="shared" si="84"/>
        <v>1</v>
      </c>
      <c r="L480" s="877"/>
      <c r="M480" s="49">
        <f t="shared" si="85"/>
        <v>1</v>
      </c>
      <c r="N480" s="877"/>
      <c r="O480" s="49">
        <f t="shared" si="86"/>
        <v>1</v>
      </c>
      <c r="P480" s="877"/>
      <c r="Q480" s="49">
        <f t="shared" si="87"/>
        <v>1</v>
      </c>
      <c r="R480" s="49">
        <f t="shared" si="88"/>
        <v>0</v>
      </c>
      <c r="S480" s="732">
        <f t="shared" si="79"/>
        <v>0</v>
      </c>
    </row>
    <row r="481" spans="1:19">
      <c r="A481" s="878"/>
      <c r="B481" s="126"/>
      <c r="C481" s="49">
        <f t="shared" si="80"/>
        <v>1</v>
      </c>
      <c r="D481" s="877"/>
      <c r="E481" s="49">
        <f t="shared" si="81"/>
        <v>1</v>
      </c>
      <c r="F481" s="877"/>
      <c r="G481" s="49">
        <f t="shared" si="82"/>
        <v>1</v>
      </c>
      <c r="H481" s="877"/>
      <c r="I481" s="49">
        <f t="shared" si="83"/>
        <v>1</v>
      </c>
      <c r="J481" s="877"/>
      <c r="K481" s="49">
        <f t="shared" si="84"/>
        <v>1</v>
      </c>
      <c r="L481" s="877"/>
      <c r="M481" s="49">
        <f t="shared" si="85"/>
        <v>1</v>
      </c>
      <c r="N481" s="877"/>
      <c r="O481" s="49">
        <f t="shared" si="86"/>
        <v>1</v>
      </c>
      <c r="P481" s="877"/>
      <c r="Q481" s="49">
        <f t="shared" si="87"/>
        <v>1</v>
      </c>
      <c r="R481" s="49">
        <f t="shared" si="88"/>
        <v>0</v>
      </c>
      <c r="S481" s="732">
        <f t="shared" si="79"/>
        <v>0</v>
      </c>
    </row>
    <row r="482" spans="1:19">
      <c r="A482" s="878"/>
      <c r="B482" s="126"/>
      <c r="C482" s="49">
        <f t="shared" si="80"/>
        <v>1</v>
      </c>
      <c r="D482" s="877"/>
      <c r="E482" s="49">
        <f t="shared" si="81"/>
        <v>1</v>
      </c>
      <c r="F482" s="877"/>
      <c r="G482" s="49">
        <f t="shared" si="82"/>
        <v>1</v>
      </c>
      <c r="H482" s="877"/>
      <c r="I482" s="49">
        <f t="shared" si="83"/>
        <v>1</v>
      </c>
      <c r="J482" s="877"/>
      <c r="K482" s="49">
        <f t="shared" si="84"/>
        <v>1</v>
      </c>
      <c r="L482" s="877"/>
      <c r="M482" s="49">
        <f t="shared" si="85"/>
        <v>1</v>
      </c>
      <c r="N482" s="877"/>
      <c r="O482" s="49">
        <f t="shared" si="86"/>
        <v>1</v>
      </c>
      <c r="P482" s="877"/>
      <c r="Q482" s="49">
        <f t="shared" si="87"/>
        <v>1</v>
      </c>
      <c r="R482" s="49">
        <f t="shared" si="88"/>
        <v>0</v>
      </c>
      <c r="S482" s="732">
        <f t="shared" si="79"/>
        <v>0</v>
      </c>
    </row>
    <row r="483" spans="1:19">
      <c r="A483" s="878"/>
      <c r="B483" s="126"/>
      <c r="C483" s="49">
        <f t="shared" si="80"/>
        <v>1</v>
      </c>
      <c r="D483" s="877"/>
      <c r="E483" s="49">
        <f t="shared" si="81"/>
        <v>1</v>
      </c>
      <c r="F483" s="877"/>
      <c r="G483" s="49">
        <f t="shared" si="82"/>
        <v>1</v>
      </c>
      <c r="H483" s="877"/>
      <c r="I483" s="49">
        <f t="shared" si="83"/>
        <v>1</v>
      </c>
      <c r="J483" s="877"/>
      <c r="K483" s="49">
        <f t="shared" si="84"/>
        <v>1</v>
      </c>
      <c r="L483" s="877"/>
      <c r="M483" s="49">
        <f t="shared" si="85"/>
        <v>1</v>
      </c>
      <c r="N483" s="877"/>
      <c r="O483" s="49">
        <f t="shared" si="86"/>
        <v>1</v>
      </c>
      <c r="P483" s="877"/>
      <c r="Q483" s="49">
        <f t="shared" si="87"/>
        <v>1</v>
      </c>
      <c r="R483" s="49">
        <f t="shared" si="88"/>
        <v>0</v>
      </c>
      <c r="S483" s="732">
        <f t="shared" si="79"/>
        <v>0</v>
      </c>
    </row>
    <row r="484" spans="1:19">
      <c r="A484" s="878"/>
      <c r="B484" s="126"/>
      <c r="C484" s="49">
        <f t="shared" si="80"/>
        <v>1</v>
      </c>
      <c r="D484" s="877"/>
      <c r="E484" s="49">
        <f t="shared" si="81"/>
        <v>1</v>
      </c>
      <c r="F484" s="877"/>
      <c r="G484" s="49">
        <f t="shared" si="82"/>
        <v>1</v>
      </c>
      <c r="H484" s="877"/>
      <c r="I484" s="49">
        <f t="shared" si="83"/>
        <v>1</v>
      </c>
      <c r="J484" s="877"/>
      <c r="K484" s="49">
        <f t="shared" si="84"/>
        <v>1</v>
      </c>
      <c r="L484" s="877"/>
      <c r="M484" s="49">
        <f t="shared" si="85"/>
        <v>1</v>
      </c>
      <c r="N484" s="877"/>
      <c r="O484" s="49">
        <f t="shared" si="86"/>
        <v>1</v>
      </c>
      <c r="P484" s="877"/>
      <c r="Q484" s="49">
        <f t="shared" si="87"/>
        <v>1</v>
      </c>
      <c r="R484" s="49">
        <f t="shared" si="88"/>
        <v>0</v>
      </c>
      <c r="S484" s="732">
        <f t="shared" si="79"/>
        <v>0</v>
      </c>
    </row>
    <row r="485" spans="1:19">
      <c r="A485" s="878"/>
      <c r="B485" s="126"/>
      <c r="C485" s="49">
        <f t="shared" si="80"/>
        <v>1</v>
      </c>
      <c r="D485" s="877"/>
      <c r="E485" s="49">
        <f t="shared" si="81"/>
        <v>1</v>
      </c>
      <c r="F485" s="877"/>
      <c r="G485" s="49">
        <f t="shared" si="82"/>
        <v>1</v>
      </c>
      <c r="H485" s="877"/>
      <c r="I485" s="49">
        <f t="shared" si="83"/>
        <v>1</v>
      </c>
      <c r="J485" s="877"/>
      <c r="K485" s="49">
        <f t="shared" si="84"/>
        <v>1</v>
      </c>
      <c r="L485" s="877"/>
      <c r="M485" s="49">
        <f t="shared" si="85"/>
        <v>1</v>
      </c>
      <c r="N485" s="877"/>
      <c r="O485" s="49">
        <f t="shared" si="86"/>
        <v>1</v>
      </c>
      <c r="P485" s="877"/>
      <c r="Q485" s="49">
        <f t="shared" si="87"/>
        <v>1</v>
      </c>
      <c r="R485" s="49">
        <f t="shared" si="88"/>
        <v>0</v>
      </c>
      <c r="S485" s="732">
        <f t="shared" si="79"/>
        <v>0</v>
      </c>
    </row>
    <row r="486" spans="1:19">
      <c r="A486" s="878"/>
      <c r="B486" s="126"/>
      <c r="C486" s="49">
        <f t="shared" si="80"/>
        <v>1</v>
      </c>
      <c r="D486" s="877"/>
      <c r="E486" s="49">
        <f t="shared" si="81"/>
        <v>1</v>
      </c>
      <c r="F486" s="877"/>
      <c r="G486" s="49">
        <f t="shared" si="82"/>
        <v>1</v>
      </c>
      <c r="H486" s="877"/>
      <c r="I486" s="49">
        <f t="shared" si="83"/>
        <v>1</v>
      </c>
      <c r="J486" s="877"/>
      <c r="K486" s="49">
        <f t="shared" si="84"/>
        <v>1</v>
      </c>
      <c r="L486" s="877"/>
      <c r="M486" s="49">
        <f t="shared" si="85"/>
        <v>1</v>
      </c>
      <c r="N486" s="877"/>
      <c r="O486" s="49">
        <f t="shared" si="86"/>
        <v>1</v>
      </c>
      <c r="P486" s="877"/>
      <c r="Q486" s="49">
        <f t="shared" si="87"/>
        <v>1</v>
      </c>
      <c r="R486" s="49">
        <f t="shared" si="88"/>
        <v>0</v>
      </c>
      <c r="S486" s="732">
        <f t="shared" si="79"/>
        <v>0</v>
      </c>
    </row>
    <row r="487" spans="1:19">
      <c r="A487" s="878"/>
      <c r="B487" s="126"/>
      <c r="C487" s="49">
        <f t="shared" si="80"/>
        <v>1</v>
      </c>
      <c r="D487" s="877"/>
      <c r="E487" s="49">
        <f t="shared" si="81"/>
        <v>1</v>
      </c>
      <c r="F487" s="877"/>
      <c r="G487" s="49">
        <f t="shared" si="82"/>
        <v>1</v>
      </c>
      <c r="H487" s="877"/>
      <c r="I487" s="49">
        <f t="shared" si="83"/>
        <v>1</v>
      </c>
      <c r="J487" s="877"/>
      <c r="K487" s="49">
        <f t="shared" si="84"/>
        <v>1</v>
      </c>
      <c r="L487" s="877"/>
      <c r="M487" s="49">
        <f t="shared" si="85"/>
        <v>1</v>
      </c>
      <c r="N487" s="877"/>
      <c r="O487" s="49">
        <f t="shared" si="86"/>
        <v>1</v>
      </c>
      <c r="P487" s="877"/>
      <c r="Q487" s="49">
        <f t="shared" si="87"/>
        <v>1</v>
      </c>
      <c r="R487" s="49">
        <f t="shared" si="88"/>
        <v>0</v>
      </c>
      <c r="S487" s="732">
        <f t="shared" si="79"/>
        <v>0</v>
      </c>
    </row>
    <row r="488" spans="1:19">
      <c r="A488" s="878"/>
      <c r="B488" s="126"/>
      <c r="C488" s="49">
        <f t="shared" si="80"/>
        <v>1</v>
      </c>
      <c r="D488" s="877"/>
      <c r="E488" s="49">
        <f t="shared" si="81"/>
        <v>1</v>
      </c>
      <c r="F488" s="877"/>
      <c r="G488" s="49">
        <f t="shared" si="82"/>
        <v>1</v>
      </c>
      <c r="H488" s="877"/>
      <c r="I488" s="49">
        <f t="shared" si="83"/>
        <v>1</v>
      </c>
      <c r="J488" s="877"/>
      <c r="K488" s="49">
        <f t="shared" si="84"/>
        <v>1</v>
      </c>
      <c r="L488" s="877"/>
      <c r="M488" s="49">
        <f t="shared" si="85"/>
        <v>1</v>
      </c>
      <c r="N488" s="877"/>
      <c r="O488" s="49">
        <f t="shared" si="86"/>
        <v>1</v>
      </c>
      <c r="P488" s="877"/>
      <c r="Q488" s="49">
        <f t="shared" si="87"/>
        <v>1</v>
      </c>
      <c r="R488" s="49">
        <f t="shared" si="88"/>
        <v>0</v>
      </c>
      <c r="S488" s="732">
        <f t="shared" si="79"/>
        <v>0</v>
      </c>
    </row>
    <row r="489" spans="1:19">
      <c r="A489" s="878"/>
      <c r="B489" s="126"/>
      <c r="C489" s="49">
        <f t="shared" si="80"/>
        <v>1</v>
      </c>
      <c r="D489" s="877"/>
      <c r="E489" s="49">
        <f t="shared" si="81"/>
        <v>1</v>
      </c>
      <c r="F489" s="877"/>
      <c r="G489" s="49">
        <f t="shared" si="82"/>
        <v>1</v>
      </c>
      <c r="H489" s="877"/>
      <c r="I489" s="49">
        <f t="shared" si="83"/>
        <v>1</v>
      </c>
      <c r="J489" s="877"/>
      <c r="K489" s="49">
        <f t="shared" si="84"/>
        <v>1</v>
      </c>
      <c r="L489" s="877"/>
      <c r="M489" s="49">
        <f t="shared" si="85"/>
        <v>1</v>
      </c>
      <c r="N489" s="877"/>
      <c r="O489" s="49">
        <f t="shared" si="86"/>
        <v>1</v>
      </c>
      <c r="P489" s="877"/>
      <c r="Q489" s="49">
        <f t="shared" si="87"/>
        <v>1</v>
      </c>
      <c r="R489" s="49">
        <f t="shared" si="88"/>
        <v>0</v>
      </c>
      <c r="S489" s="732">
        <f t="shared" si="79"/>
        <v>0</v>
      </c>
    </row>
    <row r="490" spans="1:19">
      <c r="A490" s="878"/>
      <c r="B490" s="126"/>
      <c r="C490" s="49">
        <f t="shared" si="80"/>
        <v>1</v>
      </c>
      <c r="D490" s="877"/>
      <c r="E490" s="49">
        <f t="shared" si="81"/>
        <v>1</v>
      </c>
      <c r="F490" s="877"/>
      <c r="G490" s="49">
        <f t="shared" si="82"/>
        <v>1</v>
      </c>
      <c r="H490" s="877"/>
      <c r="I490" s="49">
        <f t="shared" si="83"/>
        <v>1</v>
      </c>
      <c r="J490" s="877"/>
      <c r="K490" s="49">
        <f t="shared" si="84"/>
        <v>1</v>
      </c>
      <c r="L490" s="877"/>
      <c r="M490" s="49">
        <f t="shared" si="85"/>
        <v>1</v>
      </c>
      <c r="N490" s="877"/>
      <c r="O490" s="49">
        <f t="shared" si="86"/>
        <v>1</v>
      </c>
      <c r="P490" s="877"/>
      <c r="Q490" s="49">
        <f t="shared" si="87"/>
        <v>1</v>
      </c>
      <c r="R490" s="49">
        <f t="shared" si="88"/>
        <v>0</v>
      </c>
      <c r="S490" s="732">
        <f t="shared" si="79"/>
        <v>0</v>
      </c>
    </row>
    <row r="491" spans="1:19">
      <c r="A491" s="878"/>
      <c r="B491" s="126"/>
      <c r="C491" s="49">
        <f t="shared" si="80"/>
        <v>1</v>
      </c>
      <c r="D491" s="877"/>
      <c r="E491" s="49">
        <f t="shared" si="81"/>
        <v>1</v>
      </c>
      <c r="F491" s="877"/>
      <c r="G491" s="49">
        <f t="shared" si="82"/>
        <v>1</v>
      </c>
      <c r="H491" s="877"/>
      <c r="I491" s="49">
        <f t="shared" si="83"/>
        <v>1</v>
      </c>
      <c r="J491" s="877"/>
      <c r="K491" s="49">
        <f t="shared" si="84"/>
        <v>1</v>
      </c>
      <c r="L491" s="877"/>
      <c r="M491" s="49">
        <f t="shared" si="85"/>
        <v>1</v>
      </c>
      <c r="N491" s="877"/>
      <c r="O491" s="49">
        <f t="shared" si="86"/>
        <v>1</v>
      </c>
      <c r="P491" s="877"/>
      <c r="Q491" s="49">
        <f t="shared" si="87"/>
        <v>1</v>
      </c>
      <c r="R491" s="49">
        <f t="shared" si="88"/>
        <v>0</v>
      </c>
      <c r="S491" s="732">
        <f t="shared" si="79"/>
        <v>0</v>
      </c>
    </row>
    <row r="492" spans="1:19">
      <c r="A492" s="878"/>
      <c r="B492" s="126"/>
      <c r="C492" s="49">
        <f t="shared" si="80"/>
        <v>1</v>
      </c>
      <c r="D492" s="877"/>
      <c r="E492" s="49">
        <f t="shared" si="81"/>
        <v>1</v>
      </c>
      <c r="F492" s="877"/>
      <c r="G492" s="49">
        <f t="shared" si="82"/>
        <v>1</v>
      </c>
      <c r="H492" s="877"/>
      <c r="I492" s="49">
        <f t="shared" si="83"/>
        <v>1</v>
      </c>
      <c r="J492" s="877"/>
      <c r="K492" s="49">
        <f t="shared" si="84"/>
        <v>1</v>
      </c>
      <c r="L492" s="877"/>
      <c r="M492" s="49">
        <f t="shared" si="85"/>
        <v>1</v>
      </c>
      <c r="N492" s="877"/>
      <c r="O492" s="49">
        <f t="shared" si="86"/>
        <v>1</v>
      </c>
      <c r="P492" s="877"/>
      <c r="Q492" s="49">
        <f t="shared" si="87"/>
        <v>1</v>
      </c>
      <c r="R492" s="49">
        <f t="shared" si="88"/>
        <v>0</v>
      </c>
      <c r="S492" s="732">
        <f t="shared" si="79"/>
        <v>0</v>
      </c>
    </row>
    <row r="493" spans="1:19">
      <c r="A493" s="878"/>
      <c r="B493" s="126"/>
      <c r="C493" s="49">
        <f t="shared" si="80"/>
        <v>1</v>
      </c>
      <c r="D493" s="877"/>
      <c r="E493" s="49">
        <f t="shared" si="81"/>
        <v>1</v>
      </c>
      <c r="F493" s="877"/>
      <c r="G493" s="49">
        <f t="shared" si="82"/>
        <v>1</v>
      </c>
      <c r="H493" s="877"/>
      <c r="I493" s="49">
        <f t="shared" si="83"/>
        <v>1</v>
      </c>
      <c r="J493" s="877"/>
      <c r="K493" s="49">
        <f t="shared" si="84"/>
        <v>1</v>
      </c>
      <c r="L493" s="877"/>
      <c r="M493" s="49">
        <f t="shared" si="85"/>
        <v>1</v>
      </c>
      <c r="N493" s="877"/>
      <c r="O493" s="49">
        <f t="shared" si="86"/>
        <v>1</v>
      </c>
      <c r="P493" s="877"/>
      <c r="Q493" s="49">
        <f t="shared" si="87"/>
        <v>1</v>
      </c>
      <c r="R493" s="49">
        <f t="shared" si="88"/>
        <v>0</v>
      </c>
      <c r="S493" s="732">
        <f t="shared" si="79"/>
        <v>0</v>
      </c>
    </row>
    <row r="494" spans="1:19">
      <c r="A494" s="878"/>
      <c r="B494" s="126"/>
      <c r="C494" s="49">
        <f t="shared" si="80"/>
        <v>1</v>
      </c>
      <c r="D494" s="877"/>
      <c r="E494" s="49">
        <f t="shared" si="81"/>
        <v>1</v>
      </c>
      <c r="F494" s="877"/>
      <c r="G494" s="49">
        <f t="shared" si="82"/>
        <v>1</v>
      </c>
      <c r="H494" s="877"/>
      <c r="I494" s="49">
        <f t="shared" si="83"/>
        <v>1</v>
      </c>
      <c r="J494" s="877"/>
      <c r="K494" s="49">
        <f t="shared" si="84"/>
        <v>1</v>
      </c>
      <c r="L494" s="877"/>
      <c r="M494" s="49">
        <f t="shared" si="85"/>
        <v>1</v>
      </c>
      <c r="N494" s="877"/>
      <c r="O494" s="49">
        <f t="shared" si="86"/>
        <v>1</v>
      </c>
      <c r="P494" s="877"/>
      <c r="Q494" s="49">
        <f t="shared" si="87"/>
        <v>1</v>
      </c>
      <c r="R494" s="49">
        <f t="shared" si="88"/>
        <v>0</v>
      </c>
      <c r="S494" s="732">
        <f t="shared" si="79"/>
        <v>0</v>
      </c>
    </row>
    <row r="495" spans="1:19">
      <c r="A495" s="878"/>
      <c r="B495" s="126"/>
      <c r="C495" s="49">
        <f t="shared" si="80"/>
        <v>1</v>
      </c>
      <c r="D495" s="877"/>
      <c r="E495" s="49">
        <f t="shared" si="81"/>
        <v>1</v>
      </c>
      <c r="F495" s="877"/>
      <c r="G495" s="49">
        <f t="shared" si="82"/>
        <v>1</v>
      </c>
      <c r="H495" s="877"/>
      <c r="I495" s="49">
        <f t="shared" si="83"/>
        <v>1</v>
      </c>
      <c r="J495" s="877"/>
      <c r="K495" s="49">
        <f t="shared" si="84"/>
        <v>1</v>
      </c>
      <c r="L495" s="877"/>
      <c r="M495" s="49">
        <f t="shared" si="85"/>
        <v>1</v>
      </c>
      <c r="N495" s="877"/>
      <c r="O495" s="49">
        <f t="shared" si="86"/>
        <v>1</v>
      </c>
      <c r="P495" s="877"/>
      <c r="Q495" s="49">
        <f t="shared" si="87"/>
        <v>1</v>
      </c>
      <c r="R495" s="49">
        <f t="shared" si="88"/>
        <v>0</v>
      </c>
      <c r="S495" s="732">
        <f t="shared" si="79"/>
        <v>0</v>
      </c>
    </row>
    <row r="496" spans="1:19">
      <c r="A496" s="878"/>
      <c r="B496" s="126"/>
      <c r="C496" s="49">
        <f t="shared" si="80"/>
        <v>1</v>
      </c>
      <c r="D496" s="877"/>
      <c r="E496" s="49">
        <f t="shared" si="81"/>
        <v>1</v>
      </c>
      <c r="F496" s="877"/>
      <c r="G496" s="49">
        <f t="shared" si="82"/>
        <v>1</v>
      </c>
      <c r="H496" s="877"/>
      <c r="I496" s="49">
        <f t="shared" si="83"/>
        <v>1</v>
      </c>
      <c r="J496" s="877"/>
      <c r="K496" s="49">
        <f t="shared" si="84"/>
        <v>1</v>
      </c>
      <c r="L496" s="877"/>
      <c r="M496" s="49">
        <f t="shared" si="85"/>
        <v>1</v>
      </c>
      <c r="N496" s="877"/>
      <c r="O496" s="49">
        <f t="shared" si="86"/>
        <v>1</v>
      </c>
      <c r="P496" s="877"/>
      <c r="Q496" s="49">
        <f t="shared" si="87"/>
        <v>1</v>
      </c>
      <c r="R496" s="49">
        <f t="shared" si="88"/>
        <v>0</v>
      </c>
      <c r="S496" s="732">
        <f t="shared" si="79"/>
        <v>0</v>
      </c>
    </row>
    <row r="497" spans="1:19">
      <c r="A497" s="878"/>
      <c r="B497" s="126"/>
      <c r="C497" s="49">
        <f t="shared" si="80"/>
        <v>1</v>
      </c>
      <c r="D497" s="877"/>
      <c r="E497" s="49">
        <f t="shared" si="81"/>
        <v>1</v>
      </c>
      <c r="F497" s="877"/>
      <c r="G497" s="49">
        <f t="shared" si="82"/>
        <v>1</v>
      </c>
      <c r="H497" s="877"/>
      <c r="I497" s="49">
        <f t="shared" si="83"/>
        <v>1</v>
      </c>
      <c r="J497" s="877"/>
      <c r="K497" s="49">
        <f t="shared" si="84"/>
        <v>1</v>
      </c>
      <c r="L497" s="877"/>
      <c r="M497" s="49">
        <f t="shared" si="85"/>
        <v>1</v>
      </c>
      <c r="N497" s="877"/>
      <c r="O497" s="49">
        <f t="shared" si="86"/>
        <v>1</v>
      </c>
      <c r="P497" s="877"/>
      <c r="Q497" s="49">
        <f t="shared" si="87"/>
        <v>1</v>
      </c>
      <c r="R497" s="49">
        <f t="shared" si="88"/>
        <v>0</v>
      </c>
      <c r="S497" s="732">
        <f t="shared" si="79"/>
        <v>0</v>
      </c>
    </row>
    <row r="498" spans="1:19">
      <c r="A498" s="878"/>
      <c r="B498" s="126"/>
      <c r="C498" s="49">
        <f t="shared" si="80"/>
        <v>1</v>
      </c>
      <c r="D498" s="877"/>
      <c r="E498" s="49">
        <f t="shared" si="81"/>
        <v>1</v>
      </c>
      <c r="F498" s="877"/>
      <c r="G498" s="49">
        <f t="shared" si="82"/>
        <v>1</v>
      </c>
      <c r="H498" s="877"/>
      <c r="I498" s="49">
        <f t="shared" si="83"/>
        <v>1</v>
      </c>
      <c r="J498" s="877"/>
      <c r="K498" s="49">
        <f t="shared" si="84"/>
        <v>1</v>
      </c>
      <c r="L498" s="877"/>
      <c r="M498" s="49">
        <f t="shared" si="85"/>
        <v>1</v>
      </c>
      <c r="N498" s="877"/>
      <c r="O498" s="49">
        <f t="shared" si="86"/>
        <v>1</v>
      </c>
      <c r="P498" s="877"/>
      <c r="Q498" s="49">
        <f t="shared" si="87"/>
        <v>1</v>
      </c>
      <c r="R498" s="49">
        <f t="shared" si="88"/>
        <v>0</v>
      </c>
      <c r="S498" s="732">
        <f t="shared" ref="S498:S524" si="89">ROUND(R498*B498/10000,0)</f>
        <v>0</v>
      </c>
    </row>
    <row r="499" spans="1:19">
      <c r="A499" s="878"/>
      <c r="B499" s="126"/>
      <c r="C499" s="49">
        <f t="shared" si="80"/>
        <v>1</v>
      </c>
      <c r="D499" s="877"/>
      <c r="E499" s="49">
        <f t="shared" si="81"/>
        <v>1</v>
      </c>
      <c r="F499" s="877"/>
      <c r="G499" s="49">
        <f t="shared" si="82"/>
        <v>1</v>
      </c>
      <c r="H499" s="877"/>
      <c r="I499" s="49">
        <f t="shared" si="83"/>
        <v>1</v>
      </c>
      <c r="J499" s="877"/>
      <c r="K499" s="49">
        <f t="shared" si="84"/>
        <v>1</v>
      </c>
      <c r="L499" s="877"/>
      <c r="M499" s="49">
        <f t="shared" si="85"/>
        <v>1</v>
      </c>
      <c r="N499" s="877"/>
      <c r="O499" s="49">
        <f t="shared" si="86"/>
        <v>1</v>
      </c>
      <c r="P499" s="877"/>
      <c r="Q499" s="49">
        <f t="shared" si="87"/>
        <v>1</v>
      </c>
      <c r="R499" s="49">
        <f t="shared" si="88"/>
        <v>0</v>
      </c>
      <c r="S499" s="732">
        <f t="shared" si="89"/>
        <v>0</v>
      </c>
    </row>
    <row r="500" spans="1:19">
      <c r="A500" s="878"/>
      <c r="B500" s="126"/>
      <c r="C500" s="49">
        <f t="shared" si="80"/>
        <v>1</v>
      </c>
      <c r="D500" s="877"/>
      <c r="E500" s="49">
        <f t="shared" si="81"/>
        <v>1</v>
      </c>
      <c r="F500" s="877"/>
      <c r="G500" s="49">
        <f t="shared" si="82"/>
        <v>1</v>
      </c>
      <c r="H500" s="877"/>
      <c r="I500" s="49">
        <f t="shared" si="83"/>
        <v>1</v>
      </c>
      <c r="J500" s="877"/>
      <c r="K500" s="49">
        <f t="shared" si="84"/>
        <v>1</v>
      </c>
      <c r="L500" s="877"/>
      <c r="M500" s="49">
        <f t="shared" si="85"/>
        <v>1</v>
      </c>
      <c r="N500" s="877"/>
      <c r="O500" s="49">
        <f t="shared" si="86"/>
        <v>1</v>
      </c>
      <c r="P500" s="877"/>
      <c r="Q500" s="49">
        <f t="shared" si="87"/>
        <v>1</v>
      </c>
      <c r="R500" s="49">
        <f t="shared" si="88"/>
        <v>0</v>
      </c>
      <c r="S500" s="732">
        <f t="shared" si="89"/>
        <v>0</v>
      </c>
    </row>
    <row r="501" spans="1:19">
      <c r="A501" s="878"/>
      <c r="B501" s="126"/>
      <c r="C501" s="49">
        <f t="shared" si="80"/>
        <v>1</v>
      </c>
      <c r="D501" s="877"/>
      <c r="E501" s="49">
        <f t="shared" si="81"/>
        <v>1</v>
      </c>
      <c r="F501" s="877"/>
      <c r="G501" s="49">
        <f t="shared" si="82"/>
        <v>1</v>
      </c>
      <c r="H501" s="877"/>
      <c r="I501" s="49">
        <f t="shared" si="83"/>
        <v>1</v>
      </c>
      <c r="J501" s="877"/>
      <c r="K501" s="49">
        <f t="shared" si="84"/>
        <v>1</v>
      </c>
      <c r="L501" s="877"/>
      <c r="M501" s="49">
        <f t="shared" si="85"/>
        <v>1</v>
      </c>
      <c r="N501" s="877"/>
      <c r="O501" s="49">
        <f t="shared" si="86"/>
        <v>1</v>
      </c>
      <c r="P501" s="877"/>
      <c r="Q501" s="49">
        <f t="shared" si="87"/>
        <v>1</v>
      </c>
      <c r="R501" s="49">
        <f t="shared" si="88"/>
        <v>0</v>
      </c>
      <c r="S501" s="732">
        <f t="shared" si="89"/>
        <v>0</v>
      </c>
    </row>
    <row r="502" spans="1:19">
      <c r="A502" s="878"/>
      <c r="B502" s="126"/>
      <c r="C502" s="49">
        <f t="shared" si="80"/>
        <v>1</v>
      </c>
      <c r="D502" s="877"/>
      <c r="E502" s="49">
        <f t="shared" si="81"/>
        <v>1</v>
      </c>
      <c r="F502" s="877"/>
      <c r="G502" s="49">
        <f t="shared" si="82"/>
        <v>1</v>
      </c>
      <c r="H502" s="877"/>
      <c r="I502" s="49">
        <f t="shared" si="83"/>
        <v>1</v>
      </c>
      <c r="J502" s="877"/>
      <c r="K502" s="49">
        <f t="shared" si="84"/>
        <v>1</v>
      </c>
      <c r="L502" s="877"/>
      <c r="M502" s="49">
        <f t="shared" si="85"/>
        <v>1</v>
      </c>
      <c r="N502" s="877"/>
      <c r="O502" s="49">
        <f t="shared" si="86"/>
        <v>1</v>
      </c>
      <c r="P502" s="877"/>
      <c r="Q502" s="49">
        <f t="shared" si="87"/>
        <v>1</v>
      </c>
      <c r="R502" s="49">
        <f t="shared" si="88"/>
        <v>0</v>
      </c>
      <c r="S502" s="732">
        <f t="shared" si="89"/>
        <v>0</v>
      </c>
    </row>
    <row r="503" spans="1:19">
      <c r="A503" s="878"/>
      <c r="B503" s="126"/>
      <c r="C503" s="49">
        <f t="shared" si="80"/>
        <v>1</v>
      </c>
      <c r="D503" s="877"/>
      <c r="E503" s="49">
        <f t="shared" si="81"/>
        <v>1</v>
      </c>
      <c r="F503" s="877"/>
      <c r="G503" s="49">
        <f t="shared" si="82"/>
        <v>1</v>
      </c>
      <c r="H503" s="877"/>
      <c r="I503" s="49">
        <f t="shared" si="83"/>
        <v>1</v>
      </c>
      <c r="J503" s="877"/>
      <c r="K503" s="49">
        <f t="shared" si="84"/>
        <v>1</v>
      </c>
      <c r="L503" s="877"/>
      <c r="M503" s="49">
        <f t="shared" si="85"/>
        <v>1</v>
      </c>
      <c r="N503" s="877"/>
      <c r="O503" s="49">
        <f t="shared" si="86"/>
        <v>1</v>
      </c>
      <c r="P503" s="877"/>
      <c r="Q503" s="49">
        <f t="shared" si="87"/>
        <v>1</v>
      </c>
      <c r="R503" s="49">
        <f t="shared" si="88"/>
        <v>0</v>
      </c>
      <c r="S503" s="732">
        <f t="shared" si="89"/>
        <v>0</v>
      </c>
    </row>
    <row r="504" spans="1:19">
      <c r="A504" s="878"/>
      <c r="B504" s="126"/>
      <c r="C504" s="49">
        <f t="shared" si="80"/>
        <v>1</v>
      </c>
      <c r="D504" s="877"/>
      <c r="E504" s="49">
        <f t="shared" si="81"/>
        <v>1</v>
      </c>
      <c r="F504" s="877"/>
      <c r="G504" s="49">
        <f t="shared" si="82"/>
        <v>1</v>
      </c>
      <c r="H504" s="877"/>
      <c r="I504" s="49">
        <f t="shared" si="83"/>
        <v>1</v>
      </c>
      <c r="J504" s="877"/>
      <c r="K504" s="49">
        <f t="shared" si="84"/>
        <v>1</v>
      </c>
      <c r="L504" s="877"/>
      <c r="M504" s="49">
        <f t="shared" si="85"/>
        <v>1</v>
      </c>
      <c r="N504" s="877"/>
      <c r="O504" s="49">
        <f t="shared" si="86"/>
        <v>1</v>
      </c>
      <c r="P504" s="877"/>
      <c r="Q504" s="49">
        <f t="shared" si="87"/>
        <v>1</v>
      </c>
      <c r="R504" s="49">
        <f t="shared" si="88"/>
        <v>0</v>
      </c>
      <c r="S504" s="732">
        <f t="shared" si="89"/>
        <v>0</v>
      </c>
    </row>
    <row r="505" spans="1:19">
      <c r="A505" s="878"/>
      <c r="B505" s="126"/>
      <c r="C505" s="49">
        <f t="shared" si="80"/>
        <v>1</v>
      </c>
      <c r="D505" s="877"/>
      <c r="E505" s="49">
        <f t="shared" si="81"/>
        <v>1</v>
      </c>
      <c r="F505" s="877"/>
      <c r="G505" s="49">
        <f t="shared" si="82"/>
        <v>1</v>
      </c>
      <c r="H505" s="877"/>
      <c r="I505" s="49">
        <f t="shared" si="83"/>
        <v>1</v>
      </c>
      <c r="J505" s="877"/>
      <c r="K505" s="49">
        <f t="shared" si="84"/>
        <v>1</v>
      </c>
      <c r="L505" s="877"/>
      <c r="M505" s="49">
        <f t="shared" si="85"/>
        <v>1</v>
      </c>
      <c r="N505" s="877"/>
      <c r="O505" s="49">
        <f t="shared" si="86"/>
        <v>1</v>
      </c>
      <c r="P505" s="877"/>
      <c r="Q505" s="49">
        <f t="shared" si="87"/>
        <v>1</v>
      </c>
      <c r="R505" s="49">
        <f t="shared" si="88"/>
        <v>0</v>
      </c>
      <c r="S505" s="732">
        <f t="shared" si="89"/>
        <v>0</v>
      </c>
    </row>
    <row r="506" spans="1:19">
      <c r="A506" s="878"/>
      <c r="B506" s="126"/>
      <c r="C506" s="49">
        <f t="shared" si="80"/>
        <v>1</v>
      </c>
      <c r="D506" s="877"/>
      <c r="E506" s="49">
        <f t="shared" si="81"/>
        <v>1</v>
      </c>
      <c r="F506" s="877"/>
      <c r="G506" s="49">
        <f t="shared" si="82"/>
        <v>1</v>
      </c>
      <c r="H506" s="877"/>
      <c r="I506" s="49">
        <f t="shared" si="83"/>
        <v>1</v>
      </c>
      <c r="J506" s="877"/>
      <c r="K506" s="49">
        <f t="shared" si="84"/>
        <v>1</v>
      </c>
      <c r="L506" s="877"/>
      <c r="M506" s="49">
        <f t="shared" si="85"/>
        <v>1</v>
      </c>
      <c r="N506" s="877"/>
      <c r="O506" s="49">
        <f t="shared" si="86"/>
        <v>1</v>
      </c>
      <c r="P506" s="877"/>
      <c r="Q506" s="49">
        <f t="shared" si="87"/>
        <v>1</v>
      </c>
      <c r="R506" s="49">
        <f t="shared" si="88"/>
        <v>0</v>
      </c>
      <c r="S506" s="732">
        <f t="shared" si="89"/>
        <v>0</v>
      </c>
    </row>
    <row r="507" spans="1:19">
      <c r="A507" s="878"/>
      <c r="B507" s="126"/>
      <c r="C507" s="49">
        <f t="shared" si="80"/>
        <v>1</v>
      </c>
      <c r="D507" s="877"/>
      <c r="E507" s="49">
        <f t="shared" si="81"/>
        <v>1</v>
      </c>
      <c r="F507" s="877"/>
      <c r="G507" s="49">
        <f t="shared" si="82"/>
        <v>1</v>
      </c>
      <c r="H507" s="877"/>
      <c r="I507" s="49">
        <f t="shared" si="83"/>
        <v>1</v>
      </c>
      <c r="J507" s="877"/>
      <c r="K507" s="49">
        <f t="shared" si="84"/>
        <v>1</v>
      </c>
      <c r="L507" s="877"/>
      <c r="M507" s="49">
        <f t="shared" si="85"/>
        <v>1</v>
      </c>
      <c r="N507" s="877"/>
      <c r="O507" s="49">
        <f t="shared" si="86"/>
        <v>1</v>
      </c>
      <c r="P507" s="877"/>
      <c r="Q507" s="49">
        <f t="shared" si="87"/>
        <v>1</v>
      </c>
      <c r="R507" s="49">
        <f t="shared" si="88"/>
        <v>0</v>
      </c>
      <c r="S507" s="732">
        <f t="shared" si="89"/>
        <v>0</v>
      </c>
    </row>
    <row r="508" spans="1:19">
      <c r="A508" s="878"/>
      <c r="B508" s="126"/>
      <c r="C508" s="49">
        <f t="shared" si="80"/>
        <v>1</v>
      </c>
      <c r="D508" s="877"/>
      <c r="E508" s="49">
        <f t="shared" si="81"/>
        <v>1</v>
      </c>
      <c r="F508" s="877"/>
      <c r="G508" s="49">
        <f t="shared" si="82"/>
        <v>1</v>
      </c>
      <c r="H508" s="877"/>
      <c r="I508" s="49">
        <f t="shared" si="83"/>
        <v>1</v>
      </c>
      <c r="J508" s="877"/>
      <c r="K508" s="49">
        <f t="shared" si="84"/>
        <v>1</v>
      </c>
      <c r="L508" s="877"/>
      <c r="M508" s="49">
        <f t="shared" si="85"/>
        <v>1</v>
      </c>
      <c r="N508" s="877"/>
      <c r="O508" s="49">
        <f t="shared" si="86"/>
        <v>1</v>
      </c>
      <c r="P508" s="877"/>
      <c r="Q508" s="49">
        <f t="shared" si="87"/>
        <v>1</v>
      </c>
      <c r="R508" s="49">
        <f t="shared" si="88"/>
        <v>0</v>
      </c>
      <c r="S508" s="732">
        <f t="shared" si="89"/>
        <v>0</v>
      </c>
    </row>
    <row r="509" spans="1:19">
      <c r="A509" s="878"/>
      <c r="B509" s="126"/>
      <c r="C509" s="49">
        <f t="shared" si="80"/>
        <v>1</v>
      </c>
      <c r="D509" s="877"/>
      <c r="E509" s="49">
        <f t="shared" si="81"/>
        <v>1</v>
      </c>
      <c r="F509" s="877"/>
      <c r="G509" s="49">
        <f t="shared" si="82"/>
        <v>1</v>
      </c>
      <c r="H509" s="877"/>
      <c r="I509" s="49">
        <f t="shared" si="83"/>
        <v>1</v>
      </c>
      <c r="J509" s="877"/>
      <c r="K509" s="49">
        <f t="shared" si="84"/>
        <v>1</v>
      </c>
      <c r="L509" s="877"/>
      <c r="M509" s="49">
        <f t="shared" si="85"/>
        <v>1</v>
      </c>
      <c r="N509" s="877"/>
      <c r="O509" s="49">
        <f t="shared" si="86"/>
        <v>1</v>
      </c>
      <c r="P509" s="877"/>
      <c r="Q509" s="49">
        <f t="shared" si="87"/>
        <v>1</v>
      </c>
      <c r="R509" s="49">
        <f t="shared" si="88"/>
        <v>0</v>
      </c>
      <c r="S509" s="732">
        <f t="shared" si="89"/>
        <v>0</v>
      </c>
    </row>
    <row r="510" spans="1:19">
      <c r="A510" s="878"/>
      <c r="B510" s="126"/>
      <c r="C510" s="49">
        <f t="shared" si="80"/>
        <v>1</v>
      </c>
      <c r="D510" s="877"/>
      <c r="E510" s="49">
        <f t="shared" si="81"/>
        <v>1</v>
      </c>
      <c r="F510" s="877"/>
      <c r="G510" s="49">
        <f t="shared" si="82"/>
        <v>1</v>
      </c>
      <c r="H510" s="877"/>
      <c r="I510" s="49">
        <f t="shared" si="83"/>
        <v>1</v>
      </c>
      <c r="J510" s="877"/>
      <c r="K510" s="49">
        <f t="shared" si="84"/>
        <v>1</v>
      </c>
      <c r="L510" s="877"/>
      <c r="M510" s="49">
        <f t="shared" si="85"/>
        <v>1</v>
      </c>
      <c r="N510" s="877"/>
      <c r="O510" s="49">
        <f t="shared" si="86"/>
        <v>1</v>
      </c>
      <c r="P510" s="877"/>
      <c r="Q510" s="49">
        <f t="shared" si="87"/>
        <v>1</v>
      </c>
      <c r="R510" s="49">
        <f t="shared" si="88"/>
        <v>0</v>
      </c>
      <c r="S510" s="732">
        <f t="shared" si="89"/>
        <v>0</v>
      </c>
    </row>
    <row r="511" spans="1:19">
      <c r="A511" s="878"/>
      <c r="B511" s="126"/>
      <c r="C511" s="49">
        <f t="shared" si="80"/>
        <v>1</v>
      </c>
      <c r="D511" s="877"/>
      <c r="E511" s="49">
        <f t="shared" si="81"/>
        <v>1</v>
      </c>
      <c r="F511" s="877"/>
      <c r="G511" s="49">
        <f t="shared" si="82"/>
        <v>1</v>
      </c>
      <c r="H511" s="877"/>
      <c r="I511" s="49">
        <f t="shared" si="83"/>
        <v>1</v>
      </c>
      <c r="J511" s="877"/>
      <c r="K511" s="49">
        <f t="shared" si="84"/>
        <v>1</v>
      </c>
      <c r="L511" s="877"/>
      <c r="M511" s="49">
        <f t="shared" si="85"/>
        <v>1</v>
      </c>
      <c r="N511" s="877"/>
      <c r="O511" s="49">
        <f t="shared" si="86"/>
        <v>1</v>
      </c>
      <c r="P511" s="877"/>
      <c r="Q511" s="49">
        <f t="shared" si="87"/>
        <v>1</v>
      </c>
      <c r="R511" s="49">
        <f t="shared" si="88"/>
        <v>0</v>
      </c>
      <c r="S511" s="732">
        <f t="shared" si="89"/>
        <v>0</v>
      </c>
    </row>
    <row r="512" spans="1:19">
      <c r="A512" s="878"/>
      <c r="B512" s="126"/>
      <c r="C512" s="49">
        <f t="shared" si="80"/>
        <v>1</v>
      </c>
      <c r="D512" s="877"/>
      <c r="E512" s="49">
        <f t="shared" si="81"/>
        <v>1</v>
      </c>
      <c r="F512" s="877"/>
      <c r="G512" s="49">
        <f t="shared" si="82"/>
        <v>1</v>
      </c>
      <c r="H512" s="877"/>
      <c r="I512" s="49">
        <f t="shared" si="83"/>
        <v>1</v>
      </c>
      <c r="J512" s="877"/>
      <c r="K512" s="49">
        <f t="shared" si="84"/>
        <v>1</v>
      </c>
      <c r="L512" s="877"/>
      <c r="M512" s="49">
        <f t="shared" si="85"/>
        <v>1</v>
      </c>
      <c r="N512" s="877"/>
      <c r="O512" s="49">
        <f t="shared" si="86"/>
        <v>1</v>
      </c>
      <c r="P512" s="877"/>
      <c r="Q512" s="49">
        <f t="shared" si="87"/>
        <v>1</v>
      </c>
      <c r="R512" s="49">
        <f t="shared" si="88"/>
        <v>0</v>
      </c>
      <c r="S512" s="732">
        <f t="shared" si="89"/>
        <v>0</v>
      </c>
    </row>
    <row r="513" spans="1:19">
      <c r="A513" s="878"/>
      <c r="B513" s="126"/>
      <c r="C513" s="49">
        <f t="shared" si="80"/>
        <v>1</v>
      </c>
      <c r="D513" s="877"/>
      <c r="E513" s="49">
        <f t="shared" si="81"/>
        <v>1</v>
      </c>
      <c r="F513" s="877"/>
      <c r="G513" s="49">
        <f t="shared" si="82"/>
        <v>1</v>
      </c>
      <c r="H513" s="877"/>
      <c r="I513" s="49">
        <f t="shared" si="83"/>
        <v>1</v>
      </c>
      <c r="J513" s="877"/>
      <c r="K513" s="49">
        <f t="shared" si="84"/>
        <v>1</v>
      </c>
      <c r="L513" s="877"/>
      <c r="M513" s="49">
        <f t="shared" si="85"/>
        <v>1</v>
      </c>
      <c r="N513" s="877"/>
      <c r="O513" s="49">
        <f t="shared" si="86"/>
        <v>1</v>
      </c>
      <c r="P513" s="877"/>
      <c r="Q513" s="49">
        <f t="shared" si="87"/>
        <v>1</v>
      </c>
      <c r="R513" s="49">
        <f t="shared" si="88"/>
        <v>0</v>
      </c>
      <c r="S513" s="732">
        <f t="shared" si="89"/>
        <v>0</v>
      </c>
    </row>
    <row r="514" spans="1:19">
      <c r="A514" s="878"/>
      <c r="B514" s="126"/>
      <c r="C514" s="49">
        <f t="shared" si="80"/>
        <v>1</v>
      </c>
      <c r="D514" s="877"/>
      <c r="E514" s="49">
        <f t="shared" si="81"/>
        <v>1</v>
      </c>
      <c r="F514" s="877"/>
      <c r="G514" s="49">
        <f t="shared" si="82"/>
        <v>1</v>
      </c>
      <c r="H514" s="877"/>
      <c r="I514" s="49">
        <f t="shared" si="83"/>
        <v>1</v>
      </c>
      <c r="J514" s="877"/>
      <c r="K514" s="49">
        <f t="shared" si="84"/>
        <v>1</v>
      </c>
      <c r="L514" s="877"/>
      <c r="M514" s="49">
        <f t="shared" si="85"/>
        <v>1</v>
      </c>
      <c r="N514" s="877"/>
      <c r="O514" s="49">
        <f t="shared" si="86"/>
        <v>1</v>
      </c>
      <c r="P514" s="877"/>
      <c r="Q514" s="49">
        <f t="shared" si="87"/>
        <v>1</v>
      </c>
      <c r="R514" s="49">
        <f t="shared" si="88"/>
        <v>0</v>
      </c>
      <c r="S514" s="732">
        <f t="shared" si="89"/>
        <v>0</v>
      </c>
    </row>
    <row r="515" spans="1:19">
      <c r="A515" s="878"/>
      <c r="B515" s="126"/>
      <c r="C515" s="49">
        <f t="shared" si="80"/>
        <v>1</v>
      </c>
      <c r="D515" s="877"/>
      <c r="E515" s="49">
        <f t="shared" si="81"/>
        <v>1</v>
      </c>
      <c r="F515" s="877"/>
      <c r="G515" s="49">
        <f t="shared" si="82"/>
        <v>1</v>
      </c>
      <c r="H515" s="877"/>
      <c r="I515" s="49">
        <f t="shared" si="83"/>
        <v>1</v>
      </c>
      <c r="J515" s="877"/>
      <c r="K515" s="49">
        <f t="shared" si="84"/>
        <v>1</v>
      </c>
      <c r="L515" s="877"/>
      <c r="M515" s="49">
        <f t="shared" si="85"/>
        <v>1</v>
      </c>
      <c r="N515" s="877"/>
      <c r="O515" s="49">
        <f t="shared" si="86"/>
        <v>1</v>
      </c>
      <c r="P515" s="877"/>
      <c r="Q515" s="49">
        <f t="shared" si="87"/>
        <v>1</v>
      </c>
      <c r="R515" s="49">
        <f t="shared" si="88"/>
        <v>0</v>
      </c>
      <c r="S515" s="732">
        <f t="shared" si="89"/>
        <v>0</v>
      </c>
    </row>
    <row r="516" spans="1:19">
      <c r="A516" s="878"/>
      <c r="B516" s="126"/>
      <c r="C516" s="49">
        <f t="shared" si="80"/>
        <v>1</v>
      </c>
      <c r="D516" s="877"/>
      <c r="E516" s="49">
        <f t="shared" si="81"/>
        <v>1</v>
      </c>
      <c r="F516" s="877"/>
      <c r="G516" s="49">
        <f t="shared" si="82"/>
        <v>1</v>
      </c>
      <c r="H516" s="877"/>
      <c r="I516" s="49">
        <f t="shared" si="83"/>
        <v>1</v>
      </c>
      <c r="J516" s="877"/>
      <c r="K516" s="49">
        <f t="shared" si="84"/>
        <v>1</v>
      </c>
      <c r="L516" s="877"/>
      <c r="M516" s="49">
        <f t="shared" si="85"/>
        <v>1</v>
      </c>
      <c r="N516" s="877"/>
      <c r="O516" s="49">
        <f t="shared" si="86"/>
        <v>1</v>
      </c>
      <c r="P516" s="877"/>
      <c r="Q516" s="49">
        <f t="shared" si="87"/>
        <v>1</v>
      </c>
      <c r="R516" s="49">
        <f t="shared" si="88"/>
        <v>0</v>
      </c>
      <c r="S516" s="732">
        <f t="shared" si="89"/>
        <v>0</v>
      </c>
    </row>
    <row r="517" spans="1:19">
      <c r="A517" s="878"/>
      <c r="B517" s="126"/>
      <c r="C517" s="49">
        <f t="shared" si="80"/>
        <v>1</v>
      </c>
      <c r="D517" s="877"/>
      <c r="E517" s="49">
        <f t="shared" si="81"/>
        <v>1</v>
      </c>
      <c r="F517" s="877"/>
      <c r="G517" s="49">
        <f t="shared" si="82"/>
        <v>1</v>
      </c>
      <c r="H517" s="877"/>
      <c r="I517" s="49">
        <f t="shared" si="83"/>
        <v>1</v>
      </c>
      <c r="J517" s="877"/>
      <c r="K517" s="49">
        <f t="shared" si="84"/>
        <v>1</v>
      </c>
      <c r="L517" s="877"/>
      <c r="M517" s="49">
        <f t="shared" si="85"/>
        <v>1</v>
      </c>
      <c r="N517" s="877"/>
      <c r="O517" s="49">
        <f t="shared" si="86"/>
        <v>1</v>
      </c>
      <c r="P517" s="877"/>
      <c r="Q517" s="49">
        <f t="shared" si="87"/>
        <v>1</v>
      </c>
      <c r="R517" s="49">
        <f t="shared" si="88"/>
        <v>0</v>
      </c>
      <c r="S517" s="732">
        <f t="shared" si="89"/>
        <v>0</v>
      </c>
    </row>
    <row r="518" spans="1:19">
      <c r="A518" s="878"/>
      <c r="B518" s="126"/>
      <c r="C518" s="49">
        <f t="shared" si="80"/>
        <v>1</v>
      </c>
      <c r="D518" s="877"/>
      <c r="E518" s="49">
        <f t="shared" si="81"/>
        <v>1</v>
      </c>
      <c r="F518" s="877"/>
      <c r="G518" s="49">
        <f t="shared" si="82"/>
        <v>1</v>
      </c>
      <c r="H518" s="877"/>
      <c r="I518" s="49">
        <f t="shared" si="83"/>
        <v>1</v>
      </c>
      <c r="J518" s="877"/>
      <c r="K518" s="49">
        <f t="shared" si="84"/>
        <v>1</v>
      </c>
      <c r="L518" s="877"/>
      <c r="M518" s="49">
        <f t="shared" si="85"/>
        <v>1</v>
      </c>
      <c r="N518" s="877"/>
      <c r="O518" s="49">
        <f t="shared" si="86"/>
        <v>1</v>
      </c>
      <c r="P518" s="877"/>
      <c r="Q518" s="49">
        <f t="shared" si="87"/>
        <v>1</v>
      </c>
      <c r="R518" s="49">
        <f t="shared" si="88"/>
        <v>0</v>
      </c>
      <c r="S518" s="732">
        <f t="shared" si="89"/>
        <v>0</v>
      </c>
    </row>
    <row r="519" spans="1:19">
      <c r="A519" s="878"/>
      <c r="B519" s="126"/>
      <c r="C519" s="49">
        <f t="shared" si="80"/>
        <v>1</v>
      </c>
      <c r="D519" s="877"/>
      <c r="E519" s="49">
        <f t="shared" si="81"/>
        <v>1</v>
      </c>
      <c r="F519" s="877"/>
      <c r="G519" s="49">
        <f t="shared" si="82"/>
        <v>1</v>
      </c>
      <c r="H519" s="877"/>
      <c r="I519" s="49">
        <f t="shared" si="83"/>
        <v>1</v>
      </c>
      <c r="J519" s="877"/>
      <c r="K519" s="49">
        <f t="shared" si="84"/>
        <v>1</v>
      </c>
      <c r="L519" s="877"/>
      <c r="M519" s="49">
        <f t="shared" si="85"/>
        <v>1</v>
      </c>
      <c r="N519" s="877"/>
      <c r="O519" s="49">
        <f t="shared" si="86"/>
        <v>1</v>
      </c>
      <c r="P519" s="877"/>
      <c r="Q519" s="49">
        <f t="shared" si="87"/>
        <v>1</v>
      </c>
      <c r="R519" s="49">
        <f t="shared" si="88"/>
        <v>0</v>
      </c>
      <c r="S519" s="732">
        <f t="shared" si="89"/>
        <v>0</v>
      </c>
    </row>
    <row r="520" spans="1:19">
      <c r="A520" s="878"/>
      <c r="B520" s="126"/>
      <c r="C520" s="49">
        <f t="shared" si="80"/>
        <v>1</v>
      </c>
      <c r="D520" s="877"/>
      <c r="E520" s="49">
        <f t="shared" si="81"/>
        <v>1</v>
      </c>
      <c r="F520" s="877"/>
      <c r="G520" s="49">
        <f t="shared" si="82"/>
        <v>1</v>
      </c>
      <c r="H520" s="877"/>
      <c r="I520" s="49">
        <f t="shared" si="83"/>
        <v>1</v>
      </c>
      <c r="J520" s="877"/>
      <c r="K520" s="49">
        <f t="shared" si="84"/>
        <v>1</v>
      </c>
      <c r="L520" s="877"/>
      <c r="M520" s="49">
        <f t="shared" si="85"/>
        <v>1</v>
      </c>
      <c r="N520" s="877"/>
      <c r="O520" s="49">
        <f t="shared" si="86"/>
        <v>1</v>
      </c>
      <c r="P520" s="877"/>
      <c r="Q520" s="49">
        <f t="shared" si="87"/>
        <v>1</v>
      </c>
      <c r="R520" s="49">
        <f t="shared" si="88"/>
        <v>0</v>
      </c>
      <c r="S520" s="732">
        <f t="shared" si="89"/>
        <v>0</v>
      </c>
    </row>
    <row r="521" spans="1:19">
      <c r="A521" s="878"/>
      <c r="B521" s="126"/>
      <c r="C521" s="49">
        <f t="shared" si="80"/>
        <v>1</v>
      </c>
      <c r="D521" s="877"/>
      <c r="E521" s="49">
        <f t="shared" si="81"/>
        <v>1</v>
      </c>
      <c r="F521" s="877"/>
      <c r="G521" s="49">
        <f t="shared" si="82"/>
        <v>1</v>
      </c>
      <c r="H521" s="877"/>
      <c r="I521" s="49">
        <f t="shared" si="83"/>
        <v>1</v>
      </c>
      <c r="J521" s="877"/>
      <c r="K521" s="49">
        <f t="shared" si="84"/>
        <v>1</v>
      </c>
      <c r="L521" s="877"/>
      <c r="M521" s="49">
        <f t="shared" si="85"/>
        <v>1</v>
      </c>
      <c r="N521" s="877"/>
      <c r="O521" s="49">
        <f t="shared" si="86"/>
        <v>1</v>
      </c>
      <c r="P521" s="877"/>
      <c r="Q521" s="49">
        <f t="shared" si="87"/>
        <v>1</v>
      </c>
      <c r="R521" s="49">
        <f t="shared" si="88"/>
        <v>0</v>
      </c>
      <c r="S521" s="732">
        <f t="shared" si="89"/>
        <v>0</v>
      </c>
    </row>
    <row r="522" spans="1:19">
      <c r="A522" s="878"/>
      <c r="B522" s="126"/>
      <c r="C522" s="49">
        <f t="shared" si="80"/>
        <v>1</v>
      </c>
      <c r="D522" s="877"/>
      <c r="E522" s="49">
        <f t="shared" si="81"/>
        <v>1</v>
      </c>
      <c r="F522" s="877"/>
      <c r="G522" s="49">
        <f t="shared" si="82"/>
        <v>1</v>
      </c>
      <c r="H522" s="877"/>
      <c r="I522" s="49">
        <f t="shared" si="83"/>
        <v>1</v>
      </c>
      <c r="J522" s="877"/>
      <c r="K522" s="49">
        <f t="shared" si="84"/>
        <v>1</v>
      </c>
      <c r="L522" s="877"/>
      <c r="M522" s="49">
        <f t="shared" si="85"/>
        <v>1</v>
      </c>
      <c r="N522" s="877"/>
      <c r="O522" s="49">
        <f t="shared" si="86"/>
        <v>1</v>
      </c>
      <c r="P522" s="877"/>
      <c r="Q522" s="49">
        <f t="shared" si="87"/>
        <v>1</v>
      </c>
      <c r="R522" s="49">
        <f t="shared" si="88"/>
        <v>0</v>
      </c>
      <c r="S522" s="732">
        <f t="shared" si="89"/>
        <v>0</v>
      </c>
    </row>
    <row r="523" spans="1:19">
      <c r="A523" s="878"/>
      <c r="B523" s="126"/>
      <c r="C523" s="49">
        <f t="shared" si="80"/>
        <v>1</v>
      </c>
      <c r="D523" s="877"/>
      <c r="E523" s="49">
        <f t="shared" si="81"/>
        <v>1</v>
      </c>
      <c r="F523" s="877"/>
      <c r="G523" s="49">
        <f t="shared" si="82"/>
        <v>1</v>
      </c>
      <c r="H523" s="877"/>
      <c r="I523" s="49">
        <f t="shared" si="83"/>
        <v>1</v>
      </c>
      <c r="J523" s="877"/>
      <c r="K523" s="49">
        <f t="shared" si="84"/>
        <v>1</v>
      </c>
      <c r="L523" s="877"/>
      <c r="M523" s="49">
        <f t="shared" si="85"/>
        <v>1</v>
      </c>
      <c r="N523" s="877"/>
      <c r="O523" s="49">
        <f t="shared" si="86"/>
        <v>1</v>
      </c>
      <c r="P523" s="877"/>
      <c r="Q523" s="49">
        <f t="shared" si="87"/>
        <v>1</v>
      </c>
      <c r="R523" s="49">
        <f t="shared" si="88"/>
        <v>0</v>
      </c>
      <c r="S523" s="732">
        <f t="shared" si="89"/>
        <v>0</v>
      </c>
    </row>
    <row r="524" spans="1:19">
      <c r="A524" s="878"/>
      <c r="B524" s="126"/>
      <c r="C524" s="49">
        <f t="shared" si="80"/>
        <v>1</v>
      </c>
      <c r="D524" s="877"/>
      <c r="E524" s="49">
        <f t="shared" si="81"/>
        <v>1</v>
      </c>
      <c r="F524" s="877"/>
      <c r="G524" s="49">
        <f t="shared" si="82"/>
        <v>1</v>
      </c>
      <c r="H524" s="877"/>
      <c r="I524" s="49">
        <f t="shared" si="83"/>
        <v>1</v>
      </c>
      <c r="J524" s="877"/>
      <c r="K524" s="49">
        <f t="shared" si="84"/>
        <v>1</v>
      </c>
      <c r="L524" s="877"/>
      <c r="M524" s="49">
        <f t="shared" si="85"/>
        <v>1</v>
      </c>
      <c r="N524" s="877"/>
      <c r="O524" s="49">
        <f t="shared" si="86"/>
        <v>1</v>
      </c>
      <c r="P524" s="877"/>
      <c r="Q524" s="49">
        <f t="shared" si="87"/>
        <v>1</v>
      </c>
      <c r="R524" s="49">
        <f t="shared" si="88"/>
        <v>0</v>
      </c>
      <c r="S524" s="732">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C66" sqref="C66:M67"/>
    </sheetView>
  </sheetViews>
  <sheetFormatPr defaultColWidth="8.875" defaultRowHeight="13.5"/>
  <cols>
    <col min="1" max="1" width="4.875" style="2236" customWidth="1"/>
    <col min="2" max="2" width="13.1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625" style="2242" customWidth="1"/>
    <col min="14" max="256" width="9" style="2242"/>
    <col min="257" max="257" width="4.875" style="2234" customWidth="1"/>
    <col min="258" max="258" width="13.1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625" style="2234" customWidth="1"/>
    <col min="270" max="512" width="9" style="2234"/>
    <col min="513" max="513" width="4.875" style="2234" customWidth="1"/>
    <col min="514" max="514" width="13.1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625" style="2234" customWidth="1"/>
    <col min="526" max="768" width="9" style="2234"/>
    <col min="769" max="769" width="4.875" style="2234" customWidth="1"/>
    <col min="770" max="770" width="13.1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625" style="2234" customWidth="1"/>
    <col min="782" max="1024" width="9" style="2234"/>
    <col min="1025" max="1025" width="4.875" style="2234" customWidth="1"/>
    <col min="1026" max="1026" width="13.1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625" style="2234" customWidth="1"/>
    <col min="1038" max="1280" width="9" style="2234"/>
    <col min="1281" max="1281" width="4.875" style="2234" customWidth="1"/>
    <col min="1282" max="1282" width="13.1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625" style="2234" customWidth="1"/>
    <col min="1294" max="1536" width="9" style="2234"/>
    <col min="1537" max="1537" width="4.875" style="2234" customWidth="1"/>
    <col min="1538" max="1538" width="13.1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625" style="2234" customWidth="1"/>
    <col min="1550" max="1792" width="9" style="2234"/>
    <col min="1793" max="1793" width="4.875" style="2234" customWidth="1"/>
    <col min="1794" max="1794" width="13.1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625" style="2234" customWidth="1"/>
    <col min="1806" max="2048" width="9" style="2234"/>
    <col min="2049" max="2049" width="4.875" style="2234" customWidth="1"/>
    <col min="2050" max="2050" width="13.1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625" style="2234" customWidth="1"/>
    <col min="2062" max="2304" width="9" style="2234"/>
    <col min="2305" max="2305" width="4.875" style="2234" customWidth="1"/>
    <col min="2306" max="2306" width="13.1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625" style="2234" customWidth="1"/>
    <col min="2318" max="2560" width="9" style="2234"/>
    <col min="2561" max="2561" width="4.875" style="2234" customWidth="1"/>
    <col min="2562" max="2562" width="13.1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625" style="2234" customWidth="1"/>
    <col min="2574" max="2816" width="9" style="2234"/>
    <col min="2817" max="2817" width="4.875" style="2234" customWidth="1"/>
    <col min="2818" max="2818" width="13.1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625" style="2234" customWidth="1"/>
    <col min="2830" max="3072" width="9" style="2234"/>
    <col min="3073" max="3073" width="4.875" style="2234" customWidth="1"/>
    <col min="3074" max="3074" width="13.1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625" style="2234" customWidth="1"/>
    <col min="3086" max="3328" width="9" style="2234"/>
    <col min="3329" max="3329" width="4.875" style="2234" customWidth="1"/>
    <col min="3330" max="3330" width="13.1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625" style="2234" customWidth="1"/>
    <col min="3342" max="3584" width="9" style="2234"/>
    <col min="3585" max="3585" width="4.875" style="2234" customWidth="1"/>
    <col min="3586" max="3586" width="13.1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625" style="2234" customWidth="1"/>
    <col min="3598" max="3840" width="9" style="2234"/>
    <col min="3841" max="3841" width="4.875" style="2234" customWidth="1"/>
    <col min="3842" max="3842" width="13.1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625" style="2234" customWidth="1"/>
    <col min="3854" max="4096" width="9" style="2234"/>
    <col min="4097" max="4097" width="4.875" style="2234" customWidth="1"/>
    <col min="4098" max="4098" width="13.1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625" style="2234" customWidth="1"/>
    <col min="4110" max="4352" width="9" style="2234"/>
    <col min="4353" max="4353" width="4.875" style="2234" customWidth="1"/>
    <col min="4354" max="4354" width="13.1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625" style="2234" customWidth="1"/>
    <col min="4366" max="4608" width="9" style="2234"/>
    <col min="4609" max="4609" width="4.875" style="2234" customWidth="1"/>
    <col min="4610" max="4610" width="13.1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625" style="2234" customWidth="1"/>
    <col min="4622" max="4864" width="9" style="2234"/>
    <col min="4865" max="4865" width="4.875" style="2234" customWidth="1"/>
    <col min="4866" max="4866" width="13.1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625" style="2234" customWidth="1"/>
    <col min="4878" max="5120" width="9" style="2234"/>
    <col min="5121" max="5121" width="4.875" style="2234" customWidth="1"/>
    <col min="5122" max="5122" width="13.1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625" style="2234" customWidth="1"/>
    <col min="5134" max="5376" width="9" style="2234"/>
    <col min="5377" max="5377" width="4.875" style="2234" customWidth="1"/>
    <col min="5378" max="5378" width="13.1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625" style="2234" customWidth="1"/>
    <col min="5390" max="5632" width="9" style="2234"/>
    <col min="5633" max="5633" width="4.875" style="2234" customWidth="1"/>
    <col min="5634" max="5634" width="13.1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625" style="2234" customWidth="1"/>
    <col min="5646" max="5888" width="9" style="2234"/>
    <col min="5889" max="5889" width="4.875" style="2234" customWidth="1"/>
    <col min="5890" max="5890" width="13.1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625" style="2234" customWidth="1"/>
    <col min="5902" max="6144" width="9" style="2234"/>
    <col min="6145" max="6145" width="4.875" style="2234" customWidth="1"/>
    <col min="6146" max="6146" width="13.1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625" style="2234" customWidth="1"/>
    <col min="6158" max="6400" width="9" style="2234"/>
    <col min="6401" max="6401" width="4.875" style="2234" customWidth="1"/>
    <col min="6402" max="6402" width="13.1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625" style="2234" customWidth="1"/>
    <col min="6414" max="6656" width="9" style="2234"/>
    <col min="6657" max="6657" width="4.875" style="2234" customWidth="1"/>
    <col min="6658" max="6658" width="13.1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625" style="2234" customWidth="1"/>
    <col min="6670" max="6912" width="9" style="2234"/>
    <col min="6913" max="6913" width="4.875" style="2234" customWidth="1"/>
    <col min="6914" max="6914" width="13.1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625" style="2234" customWidth="1"/>
    <col min="6926" max="7168" width="9" style="2234"/>
    <col min="7169" max="7169" width="4.875" style="2234" customWidth="1"/>
    <col min="7170" max="7170" width="13.1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625" style="2234" customWidth="1"/>
    <col min="7182" max="7424" width="9" style="2234"/>
    <col min="7425" max="7425" width="4.875" style="2234" customWidth="1"/>
    <col min="7426" max="7426" width="13.1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625" style="2234" customWidth="1"/>
    <col min="7438" max="7680" width="9" style="2234"/>
    <col min="7681" max="7681" width="4.875" style="2234" customWidth="1"/>
    <col min="7682" max="7682" width="13.1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625" style="2234" customWidth="1"/>
    <col min="7694" max="7936" width="9" style="2234"/>
    <col min="7937" max="7937" width="4.875" style="2234" customWidth="1"/>
    <col min="7938" max="7938" width="13.1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625" style="2234" customWidth="1"/>
    <col min="7950" max="8192" width="9" style="2234"/>
    <col min="8193" max="8193" width="4.875" style="2234" customWidth="1"/>
    <col min="8194" max="8194" width="13.1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625" style="2234" customWidth="1"/>
    <col min="8206" max="8448" width="9" style="2234"/>
    <col min="8449" max="8449" width="4.875" style="2234" customWidth="1"/>
    <col min="8450" max="8450" width="13.1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625" style="2234" customWidth="1"/>
    <col min="8462" max="8704" width="9" style="2234"/>
    <col min="8705" max="8705" width="4.875" style="2234" customWidth="1"/>
    <col min="8706" max="8706" width="13.1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625" style="2234" customWidth="1"/>
    <col min="8718" max="8960" width="9" style="2234"/>
    <col min="8961" max="8961" width="4.875" style="2234" customWidth="1"/>
    <col min="8962" max="8962" width="13.1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625" style="2234" customWidth="1"/>
    <col min="8974" max="9216" width="9" style="2234"/>
    <col min="9217" max="9217" width="4.875" style="2234" customWidth="1"/>
    <col min="9218" max="9218" width="13.1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625" style="2234" customWidth="1"/>
    <col min="9230" max="9472" width="9" style="2234"/>
    <col min="9473" max="9473" width="4.875" style="2234" customWidth="1"/>
    <col min="9474" max="9474" width="13.1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625" style="2234" customWidth="1"/>
    <col min="9486" max="9728" width="9" style="2234"/>
    <col min="9729" max="9729" width="4.875" style="2234" customWidth="1"/>
    <col min="9730" max="9730" width="13.1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625" style="2234" customWidth="1"/>
    <col min="9742" max="9984" width="9" style="2234"/>
    <col min="9985" max="9985" width="4.875" style="2234" customWidth="1"/>
    <col min="9986" max="9986" width="13.1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625" style="2234" customWidth="1"/>
    <col min="9998" max="10240" width="9" style="2234"/>
    <col min="10241" max="10241" width="4.875" style="2234" customWidth="1"/>
    <col min="10242" max="10242" width="13.1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625" style="2234" customWidth="1"/>
    <col min="10254" max="10496" width="9" style="2234"/>
    <col min="10497" max="10497" width="4.875" style="2234" customWidth="1"/>
    <col min="10498" max="10498" width="13.1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625" style="2234" customWidth="1"/>
    <col min="10510" max="10752" width="9" style="2234"/>
    <col min="10753" max="10753" width="4.875" style="2234" customWidth="1"/>
    <col min="10754" max="10754" width="13.1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625" style="2234" customWidth="1"/>
    <col min="10766" max="11008" width="9" style="2234"/>
    <col min="11009" max="11009" width="4.875" style="2234" customWidth="1"/>
    <col min="11010" max="11010" width="13.1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625" style="2234" customWidth="1"/>
    <col min="11022" max="11264" width="9" style="2234"/>
    <col min="11265" max="11265" width="4.875" style="2234" customWidth="1"/>
    <col min="11266" max="11266" width="13.1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625" style="2234" customWidth="1"/>
    <col min="11278" max="11520" width="9" style="2234"/>
    <col min="11521" max="11521" width="4.875" style="2234" customWidth="1"/>
    <col min="11522" max="11522" width="13.1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625" style="2234" customWidth="1"/>
    <col min="11534" max="11776" width="9" style="2234"/>
    <col min="11777" max="11777" width="4.875" style="2234" customWidth="1"/>
    <col min="11778" max="11778" width="13.1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625" style="2234" customWidth="1"/>
    <col min="11790" max="12032" width="9" style="2234"/>
    <col min="12033" max="12033" width="4.875" style="2234" customWidth="1"/>
    <col min="12034" max="12034" width="13.1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625" style="2234" customWidth="1"/>
    <col min="12046" max="12288" width="9" style="2234"/>
    <col min="12289" max="12289" width="4.875" style="2234" customWidth="1"/>
    <col min="12290" max="12290" width="13.1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625" style="2234" customWidth="1"/>
    <col min="12302" max="12544" width="9" style="2234"/>
    <col min="12545" max="12545" width="4.875" style="2234" customWidth="1"/>
    <col min="12546" max="12546" width="13.1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625" style="2234" customWidth="1"/>
    <col min="12558" max="12800" width="9" style="2234"/>
    <col min="12801" max="12801" width="4.875" style="2234" customWidth="1"/>
    <col min="12802" max="12802" width="13.1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625" style="2234" customWidth="1"/>
    <col min="12814" max="13056" width="9" style="2234"/>
    <col min="13057" max="13057" width="4.875" style="2234" customWidth="1"/>
    <col min="13058" max="13058" width="13.1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625" style="2234" customWidth="1"/>
    <col min="13070" max="13312" width="9" style="2234"/>
    <col min="13313" max="13313" width="4.875" style="2234" customWidth="1"/>
    <col min="13314" max="13314" width="13.1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625" style="2234" customWidth="1"/>
    <col min="13326" max="13568" width="9" style="2234"/>
    <col min="13569" max="13569" width="4.875" style="2234" customWidth="1"/>
    <col min="13570" max="13570" width="13.1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625" style="2234" customWidth="1"/>
    <col min="13582" max="13824" width="9" style="2234"/>
    <col min="13825" max="13825" width="4.875" style="2234" customWidth="1"/>
    <col min="13826" max="13826" width="13.1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625" style="2234" customWidth="1"/>
    <col min="13838" max="14080" width="9" style="2234"/>
    <col min="14081" max="14081" width="4.875" style="2234" customWidth="1"/>
    <col min="14082" max="14082" width="13.1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625" style="2234" customWidth="1"/>
    <col min="14094" max="14336" width="9" style="2234"/>
    <col min="14337" max="14337" width="4.875" style="2234" customWidth="1"/>
    <col min="14338" max="14338" width="13.1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625" style="2234" customWidth="1"/>
    <col min="14350" max="14592" width="9" style="2234"/>
    <col min="14593" max="14593" width="4.875" style="2234" customWidth="1"/>
    <col min="14594" max="14594" width="13.1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625" style="2234" customWidth="1"/>
    <col min="14606" max="14848" width="9" style="2234"/>
    <col min="14849" max="14849" width="4.875" style="2234" customWidth="1"/>
    <col min="14850" max="14850" width="13.1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625" style="2234" customWidth="1"/>
    <col min="14862" max="15104" width="9" style="2234"/>
    <col min="15105" max="15105" width="4.875" style="2234" customWidth="1"/>
    <col min="15106" max="15106" width="13.1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625" style="2234" customWidth="1"/>
    <col min="15118" max="15360" width="9" style="2234"/>
    <col min="15361" max="15361" width="4.875" style="2234" customWidth="1"/>
    <col min="15362" max="15362" width="13.1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625" style="2234" customWidth="1"/>
    <col min="15374" max="15616" width="9" style="2234"/>
    <col min="15617" max="15617" width="4.875" style="2234" customWidth="1"/>
    <col min="15618" max="15618" width="13.1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625" style="2234" customWidth="1"/>
    <col min="15630" max="15872" width="9" style="2234"/>
    <col min="15873" max="15873" width="4.875" style="2234" customWidth="1"/>
    <col min="15874" max="15874" width="13.1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625" style="2234" customWidth="1"/>
    <col min="15886" max="16128" width="9" style="2234"/>
    <col min="16129" max="16129" width="4.875" style="2234" customWidth="1"/>
    <col min="16130" max="16130" width="13.1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625" style="2234" customWidth="1"/>
    <col min="16142" max="16384" width="9" style="2234"/>
  </cols>
  <sheetData>
    <row r="1" spans="1:257" s="2288" customFormat="1" ht="14.25" thickBot="1">
      <c r="A1" s="2236"/>
      <c r="B1" s="2290" t="s">
        <v>2062</v>
      </c>
      <c r="C1" s="2294">
        <f>项目基本情况!D3</f>
        <v>45196</v>
      </c>
      <c r="H1" s="2233">
        <f>IF(C1&gt;C13,0,MATCH(C1,C$13:C$111,-1))+IF(SUMIF(C13:C111,C1,D13:D111)=0,13,12)</f>
        <v>13</v>
      </c>
      <c r="I1" s="2233">
        <f>MATCH(C2,H3:H7,1)+IF(SUMIF(H3:H7,C2,I3:I7)=0,2,1)</f>
        <v>5</v>
      </c>
      <c r="J1" s="2289">
        <f>MATCH(C3,H3:H7,1)+IF(SUMIF(H3:H7,C3,J3:J7)=0,2,1)</f>
        <v>5</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2093</v>
      </c>
      <c r="C2" s="2295">
        <f>'数据-取费表'!B22</f>
        <v>2</v>
      </c>
      <c r="D2" s="2290" t="s">
        <v>2063</v>
      </c>
      <c r="E2" s="2293">
        <f ca="1">INDIRECT("I"&amp;$I$1)/100</f>
        <v>3.4500000000000003E-2</v>
      </c>
      <c r="G2" s="2235"/>
      <c r="H2" s="2235"/>
      <c r="I2" s="2235" t="s">
        <v>2064</v>
      </c>
      <c r="K2" s="2235"/>
      <c r="L2" s="2235"/>
      <c r="M2" s="2235"/>
      <c r="N2" s="2235" t="s">
        <v>2065</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2095</v>
      </c>
      <c r="C3" s="2292">
        <f>'数据-取费表'!B19</f>
        <v>2</v>
      </c>
      <c r="D3" s="2290" t="s">
        <v>2063</v>
      </c>
      <c r="E3" s="2293">
        <f ca="1">INDIRECT("J"&amp;$J$1)/100</f>
        <v>3.4500000000000003E-2</v>
      </c>
      <c r="G3" s="2237" t="s">
        <v>2066</v>
      </c>
      <c r="H3" s="2238">
        <v>0</v>
      </c>
      <c r="I3" s="2239">
        <f ca="1">INDIRECT("d"&amp;$H$1)</f>
        <v>3.45</v>
      </c>
      <c r="J3" s="2239">
        <f ca="1">INDIRECT("d"&amp;$H$1)</f>
        <v>3.45</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2094</v>
      </c>
      <c r="C4" s="2293">
        <f ca="1">N4/100</f>
        <v>1.4999999999999999E-2</v>
      </c>
      <c r="G4" s="2243" t="s">
        <v>2067</v>
      </c>
      <c r="H4" s="2244">
        <v>0.5</v>
      </c>
      <c r="I4" s="2245">
        <f ca="1">INDIRECT("e"&amp;$H$1)</f>
        <v>3.45</v>
      </c>
      <c r="J4" s="2245">
        <f ca="1">INDIRECT("e"&amp;$H$1)</f>
        <v>3.45</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2068</v>
      </c>
      <c r="H5" s="2244">
        <v>1</v>
      </c>
      <c r="I5" s="2245">
        <f ca="1">INDIRECT("f"&amp;$H$1)</f>
        <v>3.45</v>
      </c>
      <c r="J5" s="2245">
        <f ca="1">INDIRECT("f"&amp;$H$1)</f>
        <v>3.45</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2069</v>
      </c>
      <c r="H6" s="2244">
        <v>3</v>
      </c>
      <c r="I6" s="2245">
        <f ca="1">INDIRECT("g"&amp;$H$1)</f>
        <v>3.45</v>
      </c>
      <c r="J6" s="2245">
        <f ca="1">INDIRECT("g"&amp;$H$1)</f>
        <v>3.45</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2070</v>
      </c>
      <c r="H7" s="2249">
        <v>5</v>
      </c>
      <c r="I7" s="2250">
        <f ca="1">INDIRECT("h"&amp;$H$1)</f>
        <v>4.2</v>
      </c>
      <c r="J7" s="2250">
        <f ca="1">INDIRECT("h"&amp;$H$1)</f>
        <v>4.2</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2071</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2072</v>
      </c>
      <c r="C10" s="2262"/>
      <c r="D10" s="2262"/>
      <c r="E10" s="2262"/>
      <c r="F10" s="2262"/>
      <c r="G10" s="2262"/>
      <c r="H10" s="2262"/>
      <c r="I10" s="2236"/>
      <c r="J10" s="2236"/>
      <c r="K10" s="2262"/>
      <c r="L10" s="2263" t="s">
        <v>2073</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2074</v>
      </c>
      <c r="C11" s="2267" t="s">
        <v>2075</v>
      </c>
      <c r="D11" s="2268" t="s">
        <v>2076</v>
      </c>
      <c r="E11" s="2269"/>
      <c r="F11" s="2268" t="s">
        <v>2077</v>
      </c>
      <c r="G11" s="2270"/>
      <c r="H11" s="2269"/>
      <c r="I11" s="2268" t="s">
        <v>2078</v>
      </c>
      <c r="J11" s="2269"/>
      <c r="K11" s="2265"/>
      <c r="L11" s="2266" t="s">
        <v>2074</v>
      </c>
      <c r="M11" s="2267" t="s">
        <v>2075</v>
      </c>
      <c r="N11" s="2266" t="s">
        <v>2079</v>
      </c>
      <c r="O11" s="2268" t="s">
        <v>2080</v>
      </c>
      <c r="P11" s="2270"/>
      <c r="Q11" s="2270"/>
      <c r="R11" s="2270"/>
      <c r="S11" s="2270"/>
      <c r="T11" s="2269"/>
      <c r="U11" s="2268" t="s">
        <v>2081</v>
      </c>
      <c r="V11" s="2270"/>
      <c r="W11" s="2269"/>
      <c r="X11" s="2266" t="s">
        <v>2082</v>
      </c>
      <c r="Y11" s="2266" t="s">
        <v>2083</v>
      </c>
      <c r="Z11" s="2266" t="s">
        <v>2084</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2085</v>
      </c>
      <c r="E12" s="2274" t="s">
        <v>2086</v>
      </c>
      <c r="F12" s="2274" t="s">
        <v>2087</v>
      </c>
      <c r="G12" s="2274" t="s">
        <v>2088</v>
      </c>
      <c r="H12" s="2274" t="s">
        <v>2070</v>
      </c>
      <c r="I12" s="2275" t="s">
        <v>2089</v>
      </c>
      <c r="J12" s="2275" t="s">
        <v>2089</v>
      </c>
      <c r="K12" s="2265"/>
      <c r="L12" s="2272"/>
      <c r="M12" s="2273"/>
      <c r="N12" s="2272"/>
      <c r="O12" s="2275" t="s">
        <v>2090</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2091</v>
      </c>
      <c r="C13" s="2278">
        <v>45159</v>
      </c>
      <c r="D13" s="2279">
        <v>3.45</v>
      </c>
      <c r="E13" s="2279">
        <f>D13</f>
        <v>3.45</v>
      </c>
      <c r="F13" s="2279">
        <f>D13</f>
        <v>3.45</v>
      </c>
      <c r="G13" s="2279">
        <f>D13</f>
        <v>3.45</v>
      </c>
      <c r="H13" s="2279">
        <v>4.2</v>
      </c>
      <c r="I13" s="2279"/>
      <c r="J13" s="2279"/>
      <c r="K13" s="2276"/>
      <c r="L13" s="2277" t="s">
        <v>2091</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45097</v>
      </c>
      <c r="D14" s="2283">
        <v>3.55</v>
      </c>
      <c r="E14" s="2283">
        <f>D14</f>
        <v>3.55</v>
      </c>
      <c r="F14" s="2283">
        <f>D14</f>
        <v>3.55</v>
      </c>
      <c r="G14" s="2283">
        <f>D14</f>
        <v>3.55</v>
      </c>
      <c r="H14" s="2283">
        <v>4.2</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44795</v>
      </c>
      <c r="D15" s="2283">
        <v>3.65</v>
      </c>
      <c r="E15" s="2283">
        <v>3.65</v>
      </c>
      <c r="F15" s="2283">
        <v>3.65</v>
      </c>
      <c r="G15" s="2283">
        <v>3.65</v>
      </c>
      <c r="H15" s="2283">
        <v>4.3</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44701</v>
      </c>
      <c r="D16" s="2283">
        <v>3.7</v>
      </c>
      <c r="E16" s="2283">
        <f>D16</f>
        <v>3.7</v>
      </c>
      <c r="F16" s="2283">
        <f>D16</f>
        <v>3.7</v>
      </c>
      <c r="G16" s="2283">
        <f>D16</f>
        <v>3.7</v>
      </c>
      <c r="H16" s="2283">
        <v>4.45</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44581</v>
      </c>
      <c r="D17" s="2283">
        <v>3.7</v>
      </c>
      <c r="E17" s="2283">
        <f>D17</f>
        <v>3.7</v>
      </c>
      <c r="F17" s="2283">
        <f>D17</f>
        <v>3.7</v>
      </c>
      <c r="G17" s="2283">
        <f>D17</f>
        <v>3.7</v>
      </c>
      <c r="H17" s="2283">
        <v>4.5999999999999996</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44550</v>
      </c>
      <c r="D18" s="2283">
        <v>3.8</v>
      </c>
      <c r="E18" s="2283">
        <f>D18</f>
        <v>3.8</v>
      </c>
      <c r="F18" s="2283">
        <f>D18</f>
        <v>3.8</v>
      </c>
      <c r="G18" s="2283">
        <f>D18</f>
        <v>3.8</v>
      </c>
      <c r="H18" s="2283">
        <v>4.6500000000000004</v>
      </c>
      <c r="I18" s="2279"/>
      <c r="J18" s="2279"/>
      <c r="L18" s="2783"/>
      <c r="M18" s="2782">
        <v>41965</v>
      </c>
      <c r="N18" s="2783">
        <v>0.35</v>
      </c>
      <c r="O18" s="2783">
        <v>2.35</v>
      </c>
      <c r="P18" s="2783">
        <v>2.5499999999999998</v>
      </c>
      <c r="Q18" s="2783">
        <v>2.75</v>
      </c>
      <c r="R18" s="2783">
        <v>3.35</v>
      </c>
      <c r="S18" s="2783">
        <v>4</v>
      </c>
      <c r="T18" s="2783">
        <v>4.75</v>
      </c>
      <c r="U18" s="2784">
        <v>2.35</v>
      </c>
      <c r="V18" s="2784">
        <v>2.5499999999999998</v>
      </c>
      <c r="W18" s="2784">
        <v>2.75</v>
      </c>
      <c r="X18" s="2783"/>
      <c r="Y18" s="2784">
        <v>0.8</v>
      </c>
      <c r="Z18" s="2784">
        <v>1.35</v>
      </c>
    </row>
    <row r="19" spans="1:256" s="2785" customFormat="1" ht="14.25">
      <c r="A19" s="2276"/>
      <c r="B19" s="2283"/>
      <c r="C19" s="2284">
        <v>43941</v>
      </c>
      <c r="D19" s="2283">
        <v>3.85</v>
      </c>
      <c r="E19" s="2283">
        <v>3.85</v>
      </c>
      <c r="F19" s="2283">
        <v>3.85</v>
      </c>
      <c r="G19" s="2283">
        <v>3.85</v>
      </c>
      <c r="H19" s="2283">
        <v>4.6500000000000004</v>
      </c>
      <c r="I19" s="2283"/>
      <c r="J19" s="2283"/>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83"/>
      <c r="C20" s="2284">
        <v>43881</v>
      </c>
      <c r="D20" s="2283">
        <v>4.05</v>
      </c>
      <c r="E20" s="2283">
        <v>4.05</v>
      </c>
      <c r="F20" s="2283">
        <v>4.05</v>
      </c>
      <c r="G20" s="2283">
        <v>4.05</v>
      </c>
      <c r="H20" s="2283">
        <v>4.75</v>
      </c>
      <c r="I20" s="2283"/>
      <c r="J20" s="2283"/>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83"/>
      <c r="C21" s="2284">
        <v>43789</v>
      </c>
      <c r="D21" s="2283">
        <v>4.1500000000000004</v>
      </c>
      <c r="E21" s="2283">
        <v>4.1500000000000004</v>
      </c>
      <c r="F21" s="2283">
        <v>4.1500000000000004</v>
      </c>
      <c r="G21" s="2283">
        <v>4.1500000000000004</v>
      </c>
      <c r="H21" s="2283">
        <v>4.8</v>
      </c>
      <c r="I21" s="2283"/>
      <c r="J21" s="2283"/>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83"/>
      <c r="C22" s="2284">
        <v>43728</v>
      </c>
      <c r="D22" s="2283">
        <v>4.2</v>
      </c>
      <c r="E22" s="2283">
        <v>4.2</v>
      </c>
      <c r="F22" s="2283">
        <v>4.2</v>
      </c>
      <c r="G22" s="2283">
        <v>4.2</v>
      </c>
      <c r="H22" s="2283">
        <v>4.8499999999999996</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80"/>
      <c r="B23" s="2277" t="s">
        <v>2284</v>
      </c>
      <c r="C23" s="2285">
        <v>43697</v>
      </c>
      <c r="D23" s="2777">
        <v>4.25</v>
      </c>
      <c r="E23" s="2777">
        <v>4.25</v>
      </c>
      <c r="F23" s="2777">
        <v>4.25</v>
      </c>
      <c r="G23" s="2777">
        <v>4.25</v>
      </c>
      <c r="H23" s="2777">
        <v>4.8499999999999996</v>
      </c>
      <c r="I23" s="2777"/>
      <c r="J23" s="2777"/>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ht="14.25">
      <c r="B24" s="2781"/>
      <c r="C24" s="2782">
        <v>42301</v>
      </c>
      <c r="D24" s="2783">
        <v>4.3499999999999996</v>
      </c>
      <c r="E24" s="2783">
        <v>4.3499999999999996</v>
      </c>
      <c r="F24" s="2783">
        <v>4.75</v>
      </c>
      <c r="G24" s="2783">
        <v>4.75</v>
      </c>
      <c r="H24" s="2783">
        <v>4.9000000000000004</v>
      </c>
      <c r="I24" s="2783"/>
      <c r="J24" s="27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c r="B25" s="2283"/>
      <c r="C25" s="2284">
        <v>42242</v>
      </c>
      <c r="D25" s="2283">
        <v>4.5999999999999996</v>
      </c>
      <c r="E25" s="2283">
        <v>4.5999999999999996</v>
      </c>
      <c r="F25" s="2283">
        <v>5</v>
      </c>
      <c r="G25" s="2283">
        <v>5</v>
      </c>
      <c r="H25" s="2283">
        <v>5.15</v>
      </c>
      <c r="I25" s="2283">
        <v>2.75</v>
      </c>
      <c r="J25" s="2283">
        <v>3.25</v>
      </c>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c r="B26" s="2283"/>
      <c r="C26" s="2284">
        <v>42183</v>
      </c>
      <c r="D26" s="2283">
        <v>4.8499999999999996</v>
      </c>
      <c r="E26" s="2283">
        <v>4.8499999999999996</v>
      </c>
      <c r="F26" s="2283">
        <v>5.25</v>
      </c>
      <c r="G26" s="2283">
        <v>5.25</v>
      </c>
      <c r="H26" s="2283">
        <v>5.4</v>
      </c>
      <c r="I26" s="2283">
        <v>3</v>
      </c>
      <c r="J26" s="2283">
        <v>3.5</v>
      </c>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c r="B27" s="2283"/>
      <c r="C27" s="2284">
        <v>42135</v>
      </c>
      <c r="D27" s="2283">
        <v>5.0999999999999996</v>
      </c>
      <c r="E27" s="2283">
        <v>5.0999999999999996</v>
      </c>
      <c r="F27" s="2283">
        <v>5.5</v>
      </c>
      <c r="G27" s="2283">
        <v>5.5</v>
      </c>
      <c r="H27" s="2283">
        <v>5.65</v>
      </c>
      <c r="I27" s="2283">
        <v>3.25</v>
      </c>
      <c r="J27" s="2283">
        <v>3.75</v>
      </c>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42064</v>
      </c>
      <c r="D28" s="2283">
        <v>5.35</v>
      </c>
      <c r="E28" s="2283">
        <v>5.35</v>
      </c>
      <c r="F28" s="2283">
        <v>5.75</v>
      </c>
      <c r="G28" s="2283">
        <v>5.75</v>
      </c>
      <c r="H28" s="2283">
        <v>5.9</v>
      </c>
      <c r="I28" s="2283"/>
      <c r="J28" s="2283"/>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41965</v>
      </c>
      <c r="D29" s="2283">
        <v>5.6</v>
      </c>
      <c r="E29" s="2283">
        <v>5.6</v>
      </c>
      <c r="F29" s="2283">
        <v>6</v>
      </c>
      <c r="G29" s="2283">
        <v>6</v>
      </c>
      <c r="H29" s="2283">
        <v>6.15</v>
      </c>
      <c r="I29" s="2283"/>
      <c r="J29" s="2283"/>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41096</v>
      </c>
      <c r="D30" s="2283">
        <v>5.6</v>
      </c>
      <c r="E30" s="2283">
        <v>6</v>
      </c>
      <c r="F30" s="2283">
        <v>6.15</v>
      </c>
      <c r="G30" s="2283">
        <v>6.4</v>
      </c>
      <c r="H30" s="2283">
        <v>6.55</v>
      </c>
      <c r="I30" s="2283">
        <v>4</v>
      </c>
      <c r="J30" s="2283">
        <v>4.5</v>
      </c>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41068</v>
      </c>
      <c r="D31" s="2283">
        <v>5.85</v>
      </c>
      <c r="E31" s="2283">
        <v>6.31</v>
      </c>
      <c r="F31" s="2283">
        <v>6.4</v>
      </c>
      <c r="G31" s="2283">
        <v>6.65</v>
      </c>
      <c r="H31" s="2283">
        <v>6.8</v>
      </c>
      <c r="I31" s="2283">
        <v>4.2</v>
      </c>
      <c r="J31" s="2283">
        <v>4.7</v>
      </c>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40731</v>
      </c>
      <c r="D32" s="2283">
        <v>6.1</v>
      </c>
      <c r="E32" s="2283">
        <v>6.56</v>
      </c>
      <c r="F32" s="2283">
        <v>6.65</v>
      </c>
      <c r="G32" s="2283">
        <v>6.9</v>
      </c>
      <c r="H32" s="2283">
        <v>7.05</v>
      </c>
      <c r="I32" s="2283">
        <v>4.45</v>
      </c>
      <c r="J32" s="2283">
        <v>4.9000000000000004</v>
      </c>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40639</v>
      </c>
      <c r="D33" s="2283">
        <v>5.85</v>
      </c>
      <c r="E33" s="2283">
        <v>6.31</v>
      </c>
      <c r="F33" s="2283">
        <v>6.4</v>
      </c>
      <c r="G33" s="2283">
        <v>6.65</v>
      </c>
      <c r="H33" s="2283">
        <v>6.8</v>
      </c>
      <c r="I33" s="2283">
        <v>4.2</v>
      </c>
      <c r="J33" s="2283">
        <v>4.7</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40583</v>
      </c>
      <c r="D34" s="2283">
        <v>5.6</v>
      </c>
      <c r="E34" s="2283">
        <v>6.06</v>
      </c>
      <c r="F34" s="2283">
        <v>6.1</v>
      </c>
      <c r="G34" s="2283">
        <v>6.45</v>
      </c>
      <c r="H34" s="2283">
        <v>6.6</v>
      </c>
      <c r="I34" s="2283">
        <v>4</v>
      </c>
      <c r="J34" s="2283">
        <v>4.5</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40538</v>
      </c>
      <c r="D35" s="2283">
        <v>5.35</v>
      </c>
      <c r="E35" s="2283">
        <v>5.81</v>
      </c>
      <c r="F35" s="2283">
        <v>5.85</v>
      </c>
      <c r="G35" s="2283">
        <v>6.22</v>
      </c>
      <c r="H35" s="2283">
        <v>6.4</v>
      </c>
      <c r="I35" s="2283">
        <v>3.75</v>
      </c>
      <c r="J35" s="2283">
        <v>4.3</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40471</v>
      </c>
      <c r="D36" s="2283">
        <v>5.0999999999999996</v>
      </c>
      <c r="E36" s="2283">
        <v>5.56</v>
      </c>
      <c r="F36" s="2283">
        <v>5.6</v>
      </c>
      <c r="G36" s="2283">
        <v>5.96</v>
      </c>
      <c r="H36" s="2283">
        <v>6.14</v>
      </c>
      <c r="I36" s="2283">
        <v>3.5</v>
      </c>
      <c r="J36" s="2283">
        <v>4.05</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39805</v>
      </c>
      <c r="D37" s="2283">
        <v>4.8600000000000003</v>
      </c>
      <c r="E37" s="2283">
        <v>5.31</v>
      </c>
      <c r="F37" s="2283">
        <v>5.4</v>
      </c>
      <c r="G37" s="2283">
        <v>5.76</v>
      </c>
      <c r="H37" s="2283">
        <v>5.94</v>
      </c>
      <c r="I37" s="2283">
        <v>3.33</v>
      </c>
      <c r="J37" s="2283">
        <v>3.87</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39779</v>
      </c>
      <c r="D38" s="2283">
        <v>5.04</v>
      </c>
      <c r="E38" s="2283">
        <v>5.58</v>
      </c>
      <c r="F38" s="2283">
        <v>5.67</v>
      </c>
      <c r="G38" s="2283">
        <v>5.94</v>
      </c>
      <c r="H38" s="2283">
        <v>6.12</v>
      </c>
      <c r="I38" s="2283">
        <v>3.51</v>
      </c>
      <c r="J38" s="2283">
        <v>4.05</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39751</v>
      </c>
      <c r="D39" s="2283">
        <v>6.03</v>
      </c>
      <c r="E39" s="2283">
        <v>6.66</v>
      </c>
      <c r="F39" s="2283">
        <v>6.75</v>
      </c>
      <c r="G39" s="2283">
        <v>7.02</v>
      </c>
      <c r="H39" s="2283">
        <v>7.2</v>
      </c>
      <c r="I39" s="2283">
        <v>4.05</v>
      </c>
      <c r="J39" s="2283">
        <v>4.59</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5">
        <v>39748</v>
      </c>
      <c r="D40" s="2283">
        <v>6.12</v>
      </c>
      <c r="E40" s="2283">
        <v>6.93</v>
      </c>
      <c r="F40" s="2283">
        <v>7.02</v>
      </c>
      <c r="G40" s="2283">
        <v>7.29</v>
      </c>
      <c r="H40" s="2283">
        <v>7.47</v>
      </c>
      <c r="I40" s="2283">
        <v>4.05</v>
      </c>
      <c r="J40" s="2283">
        <v>4.59</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39730</v>
      </c>
      <c r="D41" s="2283">
        <v>6.12</v>
      </c>
      <c r="E41" s="2283">
        <v>6.93</v>
      </c>
      <c r="F41" s="2283">
        <v>7.02</v>
      </c>
      <c r="G41" s="2283">
        <v>7.29</v>
      </c>
      <c r="H41" s="2283">
        <v>7.47</v>
      </c>
      <c r="I41" s="2283">
        <v>4.32</v>
      </c>
      <c r="J41" s="2283">
        <v>4.8600000000000003</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4">
        <v>39707</v>
      </c>
      <c r="D42" s="2283">
        <v>6.21</v>
      </c>
      <c r="E42" s="2283">
        <v>7.2</v>
      </c>
      <c r="F42" s="2283">
        <v>7.29</v>
      </c>
      <c r="G42" s="2283">
        <v>7.56</v>
      </c>
      <c r="H42" s="2283">
        <v>7.74</v>
      </c>
      <c r="I42" s="2283">
        <v>4.59</v>
      </c>
      <c r="J42" s="2283">
        <v>5.13</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2092</v>
      </c>
      <c r="Y42" s="2283" t="s">
        <v>2092</v>
      </c>
      <c r="Z42" s="2283" t="s">
        <v>2092</v>
      </c>
    </row>
    <row r="43" spans="2:26">
      <c r="B43" s="2283"/>
      <c r="C43" s="2284">
        <v>39437</v>
      </c>
      <c r="D43" s="2283">
        <v>6.57</v>
      </c>
      <c r="E43" s="2283">
        <v>7.47</v>
      </c>
      <c r="F43" s="2283">
        <v>7.56</v>
      </c>
      <c r="G43" s="2283">
        <v>7.74</v>
      </c>
      <c r="H43" s="2283">
        <v>7.83</v>
      </c>
      <c r="I43" s="2283">
        <v>4.7699999999999996</v>
      </c>
      <c r="J43" s="2283">
        <v>5.22</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2092</v>
      </c>
      <c r="Y43" s="2283" t="s">
        <v>2092</v>
      </c>
      <c r="Z43" s="2283" t="s">
        <v>2092</v>
      </c>
    </row>
    <row r="44" spans="2:26">
      <c r="B44" s="2283"/>
      <c r="C44" s="2284">
        <v>39340</v>
      </c>
      <c r="D44" s="2283">
        <v>6.48</v>
      </c>
      <c r="E44" s="2283">
        <v>7.29</v>
      </c>
      <c r="F44" s="2283">
        <v>7.47</v>
      </c>
      <c r="G44" s="2283">
        <v>7.65</v>
      </c>
      <c r="H44" s="2283">
        <v>7.83</v>
      </c>
      <c r="I44" s="2283">
        <v>4.7699999999999996</v>
      </c>
      <c r="J44" s="2283">
        <v>5.22</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2092</v>
      </c>
      <c r="Y44" s="2283" t="s">
        <v>2092</v>
      </c>
      <c r="Z44" s="2283" t="s">
        <v>2092</v>
      </c>
    </row>
    <row r="45" spans="2:26">
      <c r="B45" s="2283"/>
      <c r="C45" s="2284">
        <v>39316</v>
      </c>
      <c r="D45" s="2283">
        <v>6.21</v>
      </c>
      <c r="E45" s="2283">
        <v>7.02</v>
      </c>
      <c r="F45" s="2283">
        <v>7.2</v>
      </c>
      <c r="G45" s="2283">
        <v>7.38</v>
      </c>
      <c r="H45" s="2283">
        <v>7.56</v>
      </c>
      <c r="I45" s="2283">
        <v>4.59</v>
      </c>
      <c r="J45" s="2283">
        <v>5.04</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2092</v>
      </c>
      <c r="Y45" s="2283" t="s">
        <v>2092</v>
      </c>
      <c r="Z45" s="2283" t="s">
        <v>2092</v>
      </c>
    </row>
    <row r="46" spans="2:26">
      <c r="B46" s="2283"/>
      <c r="C46" s="2284">
        <v>39284</v>
      </c>
      <c r="D46" s="2283">
        <v>6.03</v>
      </c>
      <c r="E46" s="2283">
        <v>6.84</v>
      </c>
      <c r="F46" s="2283">
        <v>7.02</v>
      </c>
      <c r="G46" s="2283">
        <v>7.2</v>
      </c>
      <c r="H46" s="2283">
        <v>7.38</v>
      </c>
      <c r="I46" s="2283">
        <v>4.5</v>
      </c>
      <c r="J46" s="2283">
        <v>4.95</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2092</v>
      </c>
      <c r="Y46" s="2283" t="s">
        <v>2092</v>
      </c>
      <c r="Z46" s="2283" t="s">
        <v>2092</v>
      </c>
    </row>
    <row r="47" spans="2:26">
      <c r="B47" s="2283"/>
      <c r="C47" s="2284">
        <v>39221</v>
      </c>
      <c r="D47" s="2283">
        <v>5.85</v>
      </c>
      <c r="E47" s="2283">
        <v>6.57</v>
      </c>
      <c r="F47" s="2283">
        <v>6.75</v>
      </c>
      <c r="G47" s="2283">
        <v>6.93</v>
      </c>
      <c r="H47" s="2283">
        <v>7.2</v>
      </c>
      <c r="I47" s="2283">
        <v>4.41</v>
      </c>
      <c r="J47" s="2283">
        <v>4.8600000000000003</v>
      </c>
      <c r="L47" s="2283"/>
      <c r="M47" s="2284">
        <v>34161</v>
      </c>
      <c r="N47" s="2283">
        <v>3.15</v>
      </c>
      <c r="O47" s="2283">
        <v>6.66</v>
      </c>
      <c r="P47" s="2283">
        <v>9</v>
      </c>
      <c r="Q47" s="2283">
        <v>10.98</v>
      </c>
      <c r="R47" s="2283">
        <v>11.7</v>
      </c>
      <c r="S47" s="2283">
        <v>12.24</v>
      </c>
      <c r="T47" s="2283">
        <v>13.86</v>
      </c>
      <c r="U47" s="2283">
        <v>9</v>
      </c>
      <c r="V47" s="2283">
        <v>10.98</v>
      </c>
      <c r="W47" s="2283">
        <v>12.24</v>
      </c>
      <c r="X47" s="2283" t="s">
        <v>2092</v>
      </c>
      <c r="Y47" s="2283" t="s">
        <v>2092</v>
      </c>
      <c r="Z47" s="2283" t="s">
        <v>2092</v>
      </c>
    </row>
    <row r="48" spans="2:26">
      <c r="B48" s="2283"/>
      <c r="C48" s="2284">
        <v>39159</v>
      </c>
      <c r="D48" s="2283">
        <v>5.67</v>
      </c>
      <c r="E48" s="2283">
        <v>6.39</v>
      </c>
      <c r="F48" s="2283">
        <v>6.57</v>
      </c>
      <c r="G48" s="2283">
        <v>6.75</v>
      </c>
      <c r="H48" s="2283">
        <v>7.11</v>
      </c>
      <c r="I48" s="2283">
        <v>4.32</v>
      </c>
      <c r="J48" s="2283">
        <v>4.7699999999999996</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2092</v>
      </c>
      <c r="Y48" s="2283" t="s">
        <v>2092</v>
      </c>
      <c r="Z48" s="2283" t="s">
        <v>2092</v>
      </c>
    </row>
    <row r="49" spans="2:26">
      <c r="B49" s="2283"/>
      <c r="C49" s="2284">
        <v>38948</v>
      </c>
      <c r="D49" s="2283">
        <v>5.58</v>
      </c>
      <c r="E49" s="2283">
        <v>6.12</v>
      </c>
      <c r="F49" s="2283">
        <v>6.3</v>
      </c>
      <c r="G49" s="2283">
        <v>6.48</v>
      </c>
      <c r="H49" s="2283">
        <v>6.84</v>
      </c>
      <c r="I49" s="2283">
        <v>4.1399999999999997</v>
      </c>
      <c r="J49" s="2283">
        <v>4.59</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2092</v>
      </c>
      <c r="Y49" s="2283" t="s">
        <v>2092</v>
      </c>
      <c r="Z49" s="2283" t="s">
        <v>2092</v>
      </c>
    </row>
    <row r="50" spans="2:26">
      <c r="B50" s="2283"/>
      <c r="C50" s="2284">
        <v>38835</v>
      </c>
      <c r="D50" s="2283">
        <v>5.4</v>
      </c>
      <c r="E50" s="2283">
        <v>5.85</v>
      </c>
      <c r="F50" s="2283">
        <v>6.03</v>
      </c>
      <c r="G50" s="2283">
        <v>6.12</v>
      </c>
      <c r="H50" s="2283">
        <v>6.39</v>
      </c>
      <c r="I50" s="2283">
        <v>4.1399999999999997</v>
      </c>
      <c r="J50" s="2283">
        <v>4.59</v>
      </c>
      <c r="L50" s="2283"/>
      <c r="M50" s="2284">
        <v>33106</v>
      </c>
      <c r="N50" s="2283">
        <v>2.16</v>
      </c>
      <c r="O50" s="2283">
        <v>4.32</v>
      </c>
      <c r="P50" s="2283">
        <v>6.48</v>
      </c>
      <c r="Q50" s="2283">
        <v>8.64</v>
      </c>
      <c r="R50" s="2283">
        <v>9.36</v>
      </c>
      <c r="S50" s="2283">
        <v>10.08</v>
      </c>
      <c r="T50" s="2283">
        <v>11.52</v>
      </c>
      <c r="U50" s="2283">
        <v>7.2</v>
      </c>
      <c r="V50" s="2283">
        <v>8.64</v>
      </c>
      <c r="W50" s="2283">
        <v>10.08</v>
      </c>
      <c r="X50" s="2283" t="s">
        <v>2092</v>
      </c>
      <c r="Y50" s="2283" t="s">
        <v>2092</v>
      </c>
      <c r="Z50" s="2283" t="s">
        <v>2092</v>
      </c>
    </row>
    <row r="51" spans="2:26">
      <c r="B51" s="2283"/>
      <c r="C51" s="2284">
        <v>38428</v>
      </c>
      <c r="D51" s="2283">
        <v>5.22</v>
      </c>
      <c r="E51" s="2283">
        <v>5.58</v>
      </c>
      <c r="F51" s="2283">
        <v>5.76</v>
      </c>
      <c r="G51" s="2283">
        <v>5.85</v>
      </c>
      <c r="H51" s="2283">
        <v>6.12</v>
      </c>
      <c r="I51" s="2283">
        <v>3.96</v>
      </c>
      <c r="J51" s="2283">
        <v>4.41</v>
      </c>
      <c r="L51" s="2283"/>
      <c r="M51" s="2284">
        <v>32978</v>
      </c>
      <c r="N51" s="2283">
        <v>2.88</v>
      </c>
      <c r="O51" s="2283">
        <v>6.3</v>
      </c>
      <c r="P51" s="2283">
        <v>7.74</v>
      </c>
      <c r="Q51" s="2283">
        <v>10.08</v>
      </c>
      <c r="R51" s="2283">
        <v>10.98</v>
      </c>
      <c r="S51" s="2283">
        <v>11.88</v>
      </c>
      <c r="T51" s="2283">
        <v>13.68</v>
      </c>
      <c r="U51" s="2283" t="s">
        <v>2092</v>
      </c>
      <c r="V51" s="2283" t="s">
        <v>2092</v>
      </c>
      <c r="W51" s="2283" t="s">
        <v>2092</v>
      </c>
      <c r="X51" s="2283" t="s">
        <v>2092</v>
      </c>
      <c r="Y51" s="2283" t="s">
        <v>2092</v>
      </c>
      <c r="Z51" s="2283" t="s">
        <v>2092</v>
      </c>
    </row>
    <row r="52" spans="2:26">
      <c r="B52" s="2283"/>
      <c r="C52" s="2284">
        <v>38289</v>
      </c>
      <c r="D52" s="2283">
        <v>5.22</v>
      </c>
      <c r="E52" s="2283">
        <v>5.58</v>
      </c>
      <c r="F52" s="2283">
        <v>5.76</v>
      </c>
      <c r="G52" s="2283">
        <v>5.85</v>
      </c>
      <c r="H52" s="2283">
        <v>6.12</v>
      </c>
      <c r="I52" s="2283">
        <v>3.78</v>
      </c>
      <c r="J52" s="2283">
        <v>4.2300000000000004</v>
      </c>
      <c r="L52" s="2283"/>
      <c r="M52" s="2284"/>
      <c r="N52" s="2283"/>
      <c r="O52" s="2283"/>
      <c r="P52" s="2283"/>
      <c r="Q52" s="2283"/>
      <c r="R52" s="2283"/>
      <c r="S52" s="2283"/>
      <c r="T52" s="2283"/>
      <c r="U52" s="2283"/>
      <c r="V52" s="2283"/>
      <c r="W52" s="2283"/>
      <c r="X52" s="2283"/>
      <c r="Y52" s="2283"/>
      <c r="Z52" s="2283"/>
    </row>
    <row r="53" spans="2:26">
      <c r="B53" s="2283"/>
      <c r="C53" s="2284">
        <v>37308</v>
      </c>
      <c r="D53" s="2283">
        <v>5.04</v>
      </c>
      <c r="E53" s="2283">
        <v>5.31</v>
      </c>
      <c r="F53" s="2283">
        <v>5.49</v>
      </c>
      <c r="G53" s="2283">
        <v>5.58</v>
      </c>
      <c r="H53" s="2283">
        <v>5.76</v>
      </c>
      <c r="I53" s="2283">
        <v>3.6</v>
      </c>
      <c r="J53" s="2283">
        <v>4.05</v>
      </c>
      <c r="L53" s="2283"/>
      <c r="M53" s="2284"/>
      <c r="N53" s="2283"/>
      <c r="O53" s="2283"/>
      <c r="P53" s="2283"/>
      <c r="Q53" s="2283"/>
      <c r="R53" s="2283"/>
      <c r="S53" s="2283"/>
      <c r="T53" s="2283"/>
      <c r="U53" s="2283"/>
      <c r="V53" s="2283"/>
      <c r="W53" s="2283"/>
      <c r="X53" s="2283"/>
      <c r="Y53" s="2283"/>
      <c r="Z53" s="2283"/>
    </row>
    <row r="54" spans="2:26">
      <c r="B54" s="2283"/>
      <c r="C54" s="2284">
        <v>36321</v>
      </c>
      <c r="D54" s="2283">
        <v>5.58</v>
      </c>
      <c r="E54" s="2283">
        <v>5.85</v>
      </c>
      <c r="F54" s="2283">
        <v>5.94</v>
      </c>
      <c r="G54" s="2283">
        <v>6.03</v>
      </c>
      <c r="H54" s="2283">
        <v>6.21</v>
      </c>
      <c r="I54" s="2283">
        <v>4.1399999999999997</v>
      </c>
      <c r="J54" s="2283">
        <v>4.59</v>
      </c>
      <c r="L54" s="2283"/>
      <c r="M54" s="2284"/>
      <c r="N54" s="2283"/>
      <c r="O54" s="2283"/>
      <c r="P54" s="2283"/>
      <c r="Q54" s="2283"/>
      <c r="R54" s="2283"/>
      <c r="S54" s="2283"/>
      <c r="T54" s="2283"/>
      <c r="U54" s="2283"/>
      <c r="V54" s="2283"/>
      <c r="W54" s="2283"/>
      <c r="X54" s="2283"/>
      <c r="Y54" s="2283"/>
      <c r="Z54" s="2283"/>
    </row>
    <row r="55" spans="2:26">
      <c r="B55" s="2283"/>
      <c r="C55" s="2284">
        <v>36136</v>
      </c>
      <c r="D55" s="2283">
        <v>6.12</v>
      </c>
      <c r="E55" s="2283">
        <v>6.39</v>
      </c>
      <c r="F55" s="2283">
        <v>6.66</v>
      </c>
      <c r="G55" s="2283">
        <v>7.2</v>
      </c>
      <c r="H55" s="2283">
        <v>7.56</v>
      </c>
      <c r="I55" s="2283">
        <v>0</v>
      </c>
      <c r="J55" s="2283">
        <v>0</v>
      </c>
      <c r="L55" s="2283"/>
      <c r="M55" s="2284"/>
      <c r="N55" s="2283"/>
      <c r="O55" s="2283"/>
      <c r="P55" s="2283"/>
      <c r="Q55" s="2283"/>
      <c r="R55" s="2283"/>
      <c r="S55" s="2283"/>
      <c r="T55" s="2283"/>
      <c r="U55" s="2283"/>
      <c r="V55" s="2283"/>
      <c r="W55" s="2283"/>
      <c r="X55" s="2283"/>
      <c r="Y55" s="2283"/>
      <c r="Z55" s="2283"/>
    </row>
    <row r="56" spans="2:26">
      <c r="B56" s="2283"/>
      <c r="C56" s="2284">
        <v>35977</v>
      </c>
      <c r="D56" s="2283">
        <v>6.57</v>
      </c>
      <c r="E56" s="2283">
        <v>6.93</v>
      </c>
      <c r="F56" s="2283">
        <v>7.11</v>
      </c>
      <c r="G56" s="2283">
        <v>7.65</v>
      </c>
      <c r="H56" s="2283">
        <v>8.01</v>
      </c>
      <c r="I56" s="2283">
        <v>0</v>
      </c>
      <c r="J56" s="2283">
        <v>0</v>
      </c>
      <c r="L56" s="2283"/>
      <c r="M56" s="2284"/>
      <c r="N56" s="2283"/>
      <c r="O56" s="2283"/>
      <c r="P56" s="2283"/>
      <c r="Q56" s="2283"/>
      <c r="R56" s="2283"/>
      <c r="S56" s="2283"/>
      <c r="T56" s="2283"/>
      <c r="U56" s="2283"/>
      <c r="V56" s="2283"/>
      <c r="W56" s="2283"/>
      <c r="X56" s="2283"/>
      <c r="Y56" s="2283"/>
      <c r="Z56" s="2283"/>
    </row>
    <row r="57" spans="2:26">
      <c r="B57" s="2283"/>
      <c r="C57" s="2284">
        <v>35879</v>
      </c>
      <c r="D57" s="2283">
        <v>7.02</v>
      </c>
      <c r="E57" s="2283">
        <v>7.92</v>
      </c>
      <c r="F57" s="2283">
        <v>9</v>
      </c>
      <c r="G57" s="2283">
        <v>9.7200000000000006</v>
      </c>
      <c r="H57" s="2283">
        <v>10.35</v>
      </c>
      <c r="I57" s="2283">
        <v>0</v>
      </c>
      <c r="J57" s="2283">
        <v>0</v>
      </c>
      <c r="L57" s="2283"/>
      <c r="M57" s="2284"/>
      <c r="N57" s="2283"/>
      <c r="O57" s="2283"/>
      <c r="P57" s="2283"/>
      <c r="Q57" s="2283"/>
      <c r="R57" s="2283"/>
      <c r="S57" s="2283"/>
      <c r="T57" s="2283"/>
      <c r="U57" s="2283"/>
      <c r="V57" s="2283"/>
      <c r="W57" s="2283"/>
      <c r="X57" s="2283"/>
      <c r="Y57" s="2283"/>
      <c r="Z57" s="2283"/>
    </row>
    <row r="58" spans="2:26">
      <c r="B58" s="2283"/>
      <c r="C58" s="2284">
        <v>35726</v>
      </c>
      <c r="D58" s="2283">
        <v>7.65</v>
      </c>
      <c r="E58" s="2283">
        <v>8.64</v>
      </c>
      <c r="F58" s="2283">
        <v>9.36</v>
      </c>
      <c r="G58" s="2283">
        <v>9.9</v>
      </c>
      <c r="H58" s="2283">
        <v>10.53</v>
      </c>
      <c r="I58" s="2283">
        <v>0</v>
      </c>
      <c r="J58" s="2283">
        <v>0</v>
      </c>
    </row>
    <row r="59" spans="2:26">
      <c r="B59" s="2283"/>
      <c r="C59" s="2284">
        <v>35300</v>
      </c>
      <c r="D59" s="2283">
        <v>9.18</v>
      </c>
      <c r="E59" s="2283">
        <v>10.08</v>
      </c>
      <c r="F59" s="2283">
        <v>10.98</v>
      </c>
      <c r="G59" s="2283">
        <v>11.7</v>
      </c>
      <c r="H59" s="2283">
        <v>12.42</v>
      </c>
      <c r="I59" s="2283">
        <v>0</v>
      </c>
      <c r="J59" s="2283">
        <v>0</v>
      </c>
    </row>
    <row r="60" spans="2:26">
      <c r="B60" s="2283"/>
      <c r="C60" s="2284">
        <v>35186</v>
      </c>
      <c r="D60" s="2283">
        <v>9.7200000000000006</v>
      </c>
      <c r="E60" s="2283">
        <v>10.98</v>
      </c>
      <c r="F60" s="2283">
        <v>13.14</v>
      </c>
      <c r="G60" s="2283">
        <v>14.94</v>
      </c>
      <c r="H60" s="2283">
        <v>15.12</v>
      </c>
      <c r="I60" s="2283">
        <v>0</v>
      </c>
      <c r="J60" s="2283">
        <v>0</v>
      </c>
    </row>
    <row r="61" spans="2:26">
      <c r="B61" s="2283"/>
      <c r="C61" s="2284">
        <v>34881</v>
      </c>
      <c r="D61" s="2283">
        <v>10.08</v>
      </c>
      <c r="E61" s="2283">
        <v>12.06</v>
      </c>
      <c r="F61" s="2283">
        <v>13.5</v>
      </c>
      <c r="G61" s="2283">
        <v>15.12</v>
      </c>
      <c r="H61" s="2283">
        <v>15.3</v>
      </c>
      <c r="I61" s="2283">
        <v>0</v>
      </c>
      <c r="J61" s="2283">
        <v>0</v>
      </c>
    </row>
    <row r="62" spans="2:26">
      <c r="B62" s="2283"/>
      <c r="C62" s="2284">
        <v>34700</v>
      </c>
      <c r="D62" s="2283">
        <v>9</v>
      </c>
      <c r="E62" s="2283">
        <v>10.98</v>
      </c>
      <c r="F62" s="2283">
        <v>12.96</v>
      </c>
      <c r="G62" s="2283">
        <v>14.58</v>
      </c>
      <c r="H62" s="2283">
        <v>14.76</v>
      </c>
      <c r="I62" s="2283">
        <v>0</v>
      </c>
      <c r="J62" s="2283">
        <v>0</v>
      </c>
    </row>
    <row r="63" spans="2:26">
      <c r="B63" s="2283"/>
      <c r="C63" s="2284">
        <v>34161</v>
      </c>
      <c r="D63" s="2283">
        <v>9</v>
      </c>
      <c r="E63" s="2283">
        <v>10.98</v>
      </c>
      <c r="F63" s="2283">
        <v>12.24</v>
      </c>
      <c r="G63" s="2283">
        <v>13.86</v>
      </c>
      <c r="H63" s="2283">
        <v>14.04</v>
      </c>
      <c r="I63" s="2283">
        <v>0</v>
      </c>
      <c r="J63" s="2283">
        <v>0</v>
      </c>
    </row>
    <row r="64" spans="2:26">
      <c r="B64" s="2283"/>
      <c r="C64" s="2284">
        <v>34104</v>
      </c>
      <c r="D64" s="2283">
        <v>8.82</v>
      </c>
      <c r="E64" s="2283">
        <v>9.36</v>
      </c>
      <c r="F64" s="2283">
        <v>10.8</v>
      </c>
      <c r="G64" s="2283">
        <v>12.06</v>
      </c>
      <c r="H64" s="2283">
        <v>12.24</v>
      </c>
      <c r="I64" s="2283">
        <v>0</v>
      </c>
      <c r="J64" s="2283">
        <v>0</v>
      </c>
    </row>
    <row r="65" spans="2:10">
      <c r="B65" s="2283"/>
      <c r="C65" s="2284">
        <v>33349</v>
      </c>
      <c r="D65" s="2283">
        <v>8.1</v>
      </c>
      <c r="E65" s="2283">
        <v>8.64</v>
      </c>
      <c r="F65" s="2283">
        <v>9</v>
      </c>
      <c r="G65" s="2283">
        <v>9.5399999999999991</v>
      </c>
      <c r="H65" s="2283">
        <v>9.7200000000000006</v>
      </c>
      <c r="I65" s="2283">
        <v>0</v>
      </c>
      <c r="J65" s="2283">
        <v>0</v>
      </c>
    </row>
    <row r="66" spans="2:10">
      <c r="B66" s="2283"/>
      <c r="C66" s="2284">
        <v>33318</v>
      </c>
      <c r="D66" s="2283">
        <v>9</v>
      </c>
      <c r="E66" s="2283">
        <v>10.08</v>
      </c>
      <c r="F66" s="2283">
        <v>10.8</v>
      </c>
      <c r="G66" s="2283">
        <v>11.52</v>
      </c>
      <c r="H66" s="2283">
        <v>11.88</v>
      </c>
      <c r="I66" s="2283" t="s">
        <v>2092</v>
      </c>
      <c r="J66" s="2283" t="s">
        <v>2092</v>
      </c>
    </row>
    <row r="67" spans="2:10">
      <c r="B67" s="2283"/>
      <c r="C67" s="2284">
        <v>33106</v>
      </c>
      <c r="D67" s="2283">
        <v>8.64</v>
      </c>
      <c r="E67" s="2283">
        <v>9.36</v>
      </c>
      <c r="F67" s="2283">
        <v>10.08</v>
      </c>
      <c r="G67" s="2283">
        <v>10.8</v>
      </c>
      <c r="H67" s="2283">
        <v>11.16</v>
      </c>
      <c r="I67" s="2283">
        <v>0</v>
      </c>
      <c r="J67" s="2283">
        <v>0</v>
      </c>
    </row>
    <row r="68" spans="2:10">
      <c r="B68" s="2283"/>
      <c r="C68" s="2284">
        <v>32540</v>
      </c>
      <c r="D68" s="2283">
        <v>11.34</v>
      </c>
      <c r="E68" s="2283">
        <v>11.34</v>
      </c>
      <c r="F68" s="2283">
        <v>12.78</v>
      </c>
      <c r="G68" s="2283">
        <v>14.4</v>
      </c>
      <c r="H68" s="2283">
        <v>19.260000000000002</v>
      </c>
      <c r="I68" s="2283">
        <v>0</v>
      </c>
      <c r="J68" s="2283">
        <v>0</v>
      </c>
    </row>
    <row r="69" spans="2:10">
      <c r="B69" s="2283"/>
      <c r="C69" s="2284"/>
      <c r="D69" s="2283"/>
      <c r="E69" s="2283"/>
      <c r="F69" s="2283"/>
      <c r="G69" s="2283"/>
      <c r="H69" s="2283"/>
      <c r="I69" s="2283"/>
      <c r="J69" s="2283"/>
    </row>
    <row r="70" spans="2:10">
      <c r="B70" s="2286"/>
      <c r="C70" s="2287"/>
      <c r="D70" s="2286"/>
      <c r="E70" s="2286"/>
      <c r="F70" s="2286"/>
      <c r="G70" s="2286"/>
      <c r="H70" s="2286"/>
      <c r="I70" s="2286"/>
      <c r="J70" s="2286"/>
    </row>
    <row r="71" spans="2:10">
      <c r="B71" s="2286"/>
      <c r="C71" s="2287"/>
      <c r="D71" s="2286"/>
      <c r="E71" s="2286"/>
      <c r="F71" s="2286"/>
      <c r="G71" s="2286"/>
      <c r="H71" s="2286"/>
      <c r="I71" s="2286"/>
      <c r="J71" s="2286"/>
    </row>
    <row r="72" spans="2:10">
      <c r="B72" s="2286"/>
      <c r="C72" s="2287"/>
      <c r="D72" s="2286"/>
      <c r="E72" s="2286"/>
      <c r="F72" s="2286"/>
      <c r="G72" s="2286"/>
      <c r="H72" s="2286"/>
      <c r="I72" s="2286"/>
      <c r="J72" s="2286"/>
    </row>
    <row r="73" spans="2:10">
      <c r="B73" s="2236"/>
      <c r="C73" s="2236"/>
      <c r="D73" s="2236"/>
      <c r="E73" s="2236"/>
      <c r="F73" s="2236"/>
      <c r="G73" s="2236"/>
      <c r="H73" s="2236"/>
      <c r="I73" s="2236"/>
      <c r="J73" s="2236"/>
    </row>
    <row r="74" spans="2:10">
      <c r="B74" s="2236"/>
      <c r="C74" s="2236"/>
      <c r="D74" s="2236"/>
      <c r="E74" s="2236"/>
      <c r="F74" s="2236"/>
      <c r="G74" s="2236"/>
      <c r="H74" s="2236"/>
      <c r="I74" s="2236"/>
      <c r="J74" s="2236"/>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537" t="s">
        <v>1554</v>
      </c>
      <c r="B1" s="3537"/>
      <c r="C1" s="3537"/>
      <c r="D1" s="3537"/>
      <c r="E1" s="3537"/>
      <c r="F1" s="3537"/>
      <c r="G1" s="3537"/>
      <c r="H1" s="3537"/>
      <c r="I1" s="3537"/>
      <c r="J1" s="3537"/>
      <c r="K1" s="3537"/>
      <c r="L1" s="3537"/>
      <c r="M1" s="3537"/>
      <c r="N1" s="3537"/>
      <c r="O1" s="3537"/>
      <c r="P1" s="3537"/>
      <c r="Q1" s="3537"/>
      <c r="R1" s="3537"/>
    </row>
    <row r="2" spans="1:18">
      <c r="A2" s="1501" t="s">
        <v>1556</v>
      </c>
      <c r="B2" s="1501"/>
      <c r="C2" s="1501"/>
      <c r="D2" s="1501"/>
      <c r="E2" s="1501"/>
      <c r="F2" s="1501"/>
      <c r="G2" s="1501"/>
      <c r="H2" s="1501"/>
      <c r="I2" s="1502"/>
      <c r="J2" s="1502"/>
      <c r="K2" s="1503" t="str">
        <f>"估价期日："&amp;TEXT(项目基本情况!D3,"yyyy年m月d日;;")</f>
        <v>估价期日：2023年9月27日</v>
      </c>
      <c r="L2" s="1501"/>
      <c r="M2" s="1501"/>
      <c r="N2" s="1501"/>
      <c r="O2" s="1501"/>
      <c r="P2" s="1501"/>
      <c r="Q2" s="1501"/>
      <c r="R2" s="1503" t="str">
        <f>"估价期日的国有建设用地使用权性质："&amp;项目基本情况!A17</f>
        <v>估价期日的国有建设用地使用权性质：划拨</v>
      </c>
    </row>
    <row r="3" spans="1:18" ht="23.25" customHeight="1">
      <c r="A3" s="3538" t="s">
        <v>1545</v>
      </c>
      <c r="B3" s="3538" t="s">
        <v>2010</v>
      </c>
      <c r="C3" s="3539" t="s">
        <v>1546</v>
      </c>
      <c r="D3" s="3538" t="s">
        <v>2014</v>
      </c>
      <c r="E3" s="3540" t="s">
        <v>1547</v>
      </c>
      <c r="F3" s="3540"/>
      <c r="G3" s="3540"/>
      <c r="H3" s="3540" t="s">
        <v>1548</v>
      </c>
      <c r="I3" s="3540"/>
      <c r="J3" s="3540"/>
      <c r="K3" s="3539" t="s">
        <v>1549</v>
      </c>
      <c r="L3" s="3539" t="s">
        <v>1550</v>
      </c>
      <c r="M3" s="3538" t="s">
        <v>2011</v>
      </c>
      <c r="N3" s="3538" t="str">
        <f>"（分摊）"&amp;项目基本情况!A17&amp;"国有建设用地使用权面积/㎡"</f>
        <v>（分摊）划拨国有建设用地使用权面积/㎡</v>
      </c>
      <c r="O3" s="3538" t="s">
        <v>1579</v>
      </c>
      <c r="P3" s="3539" t="s">
        <v>1559</v>
      </c>
      <c r="Q3" s="3539" t="s">
        <v>1580</v>
      </c>
      <c r="R3" s="3539" t="s">
        <v>1551</v>
      </c>
    </row>
    <row r="4" spans="1:18" ht="36.75" customHeight="1">
      <c r="A4" s="3538"/>
      <c r="B4" s="3538"/>
      <c r="C4" s="3539"/>
      <c r="D4" s="3538"/>
      <c r="E4" s="1504" t="s">
        <v>1558</v>
      </c>
      <c r="F4" s="1504" t="s">
        <v>2023</v>
      </c>
      <c r="G4" s="1504" t="s">
        <v>1552</v>
      </c>
      <c r="H4" s="1504" t="s">
        <v>1553</v>
      </c>
      <c r="I4" s="1504" t="s">
        <v>2024</v>
      </c>
      <c r="J4" s="1504" t="s">
        <v>1552</v>
      </c>
      <c r="K4" s="3539"/>
      <c r="L4" s="3539"/>
      <c r="M4" s="3538"/>
      <c r="N4" s="3538"/>
      <c r="O4" s="3538"/>
      <c r="P4" s="3539"/>
      <c r="Q4" s="3539"/>
      <c r="R4" s="3539"/>
    </row>
    <row r="5" spans="1:18" ht="135" customHeight="1">
      <c r="A5" s="1601" t="s">
        <v>1934</v>
      </c>
      <c r="B5" s="2171" t="s">
        <v>1932</v>
      </c>
      <c r="C5" s="2088">
        <v>22</v>
      </c>
      <c r="D5" s="2087" t="s">
        <v>1933</v>
      </c>
      <c r="E5" s="1504" t="str">
        <f>项目基本情况!B12</f>
        <v>仓储</v>
      </c>
      <c r="F5" s="2087">
        <v>258</v>
      </c>
      <c r="G5" s="1504" t="str">
        <f>项目基本情况!B13</f>
        <v>仓储</v>
      </c>
      <c r="H5" s="2087">
        <v>1.5</v>
      </c>
      <c r="I5" s="2087">
        <v>1.5</v>
      </c>
      <c r="J5" s="2087">
        <v>1.5</v>
      </c>
      <c r="K5" s="1504" t="str">
        <f>"红线外"&amp;项目基本情况!T40&amp;"、宗地红线内"&amp;项目基本情况!B35</f>
        <v>红线外七通、宗地红线内场地未平整</v>
      </c>
      <c r="L5" s="1504" t="str">
        <f>"红线外"&amp;项目基本情况!T40&amp;"、宗地红线内场地"&amp;项目基本情况!D36</f>
        <v>红线外七通、宗地红线内场地</v>
      </c>
      <c r="M5" s="1504" t="str">
        <f>IF(项目基本情况!A17="出让",项目基本情况!D20,"——")</f>
        <v>——</v>
      </c>
      <c r="N5" s="1504">
        <f>项目基本情况!C22</f>
        <v>17556.580000000002</v>
      </c>
      <c r="O5" s="1504">
        <f>项目基本情况!C21</f>
        <v>5006.88</v>
      </c>
      <c r="P5" s="1504" t="e">
        <f ca="1">结果表!E42</f>
        <v>#REF!</v>
      </c>
      <c r="Q5" s="1504" t="e">
        <f ca="1">结果表!D42</f>
        <v>#REF!</v>
      </c>
      <c r="R5" s="1505" t="e">
        <f ca="1">结果表!C42</f>
        <v>#REF!</v>
      </c>
    </row>
    <row r="6" spans="1:18">
      <c r="A6" s="3541" t="str">
        <f>IF(项目基本情况!B9="市场价格","——","抵押价格")</f>
        <v>——</v>
      </c>
      <c r="B6" s="3542"/>
      <c r="C6" s="3542"/>
      <c r="D6" s="3542"/>
      <c r="E6" s="3542"/>
      <c r="F6" s="3542"/>
      <c r="G6" s="3542"/>
      <c r="H6" s="3542"/>
      <c r="I6" s="3542"/>
      <c r="J6" s="3542"/>
      <c r="K6" s="3542"/>
      <c r="L6" s="3542"/>
      <c r="M6" s="3542"/>
      <c r="N6" s="3542"/>
      <c r="O6" s="3542"/>
      <c r="P6" s="3542"/>
      <c r="Q6" s="3543"/>
      <c r="R6" s="1506" t="str">
        <f>结果表!O39</f>
        <v>——</v>
      </c>
    </row>
    <row r="7" spans="1:18">
      <c r="A7" s="3541" t="str">
        <f>IF(项目基本情况!B9="市场价格","——",IF(项目基本情况!E8="已注销及未注销","抵押担保权已注销时的抵押价格","——"))</f>
        <v>——</v>
      </c>
      <c r="B7" s="3542"/>
      <c r="C7" s="3542"/>
      <c r="D7" s="3542"/>
      <c r="E7" s="3542"/>
      <c r="F7" s="3542"/>
      <c r="G7" s="3542"/>
      <c r="H7" s="3542"/>
      <c r="I7" s="3542"/>
      <c r="J7" s="3542"/>
      <c r="K7" s="3542"/>
      <c r="L7" s="3542"/>
      <c r="M7" s="3542"/>
      <c r="N7" s="3542"/>
      <c r="O7" s="3542"/>
      <c r="P7" s="3542"/>
      <c r="Q7" s="3543"/>
      <c r="R7" s="1506" t="str">
        <f>结果表!O40</f>
        <v>——</v>
      </c>
    </row>
    <row r="8" spans="1:18">
      <c r="A8" s="3541" t="str">
        <f>IF(项目基本情况!B9="市场价格","——",项目基本情况!E9)</f>
        <v>——</v>
      </c>
      <c r="B8" s="3542"/>
      <c r="C8" s="3542"/>
      <c r="D8" s="3542"/>
      <c r="E8" s="3542"/>
      <c r="F8" s="3542"/>
      <c r="G8" s="3542"/>
      <c r="H8" s="3542"/>
      <c r="I8" s="3542"/>
      <c r="J8" s="3542"/>
      <c r="K8" s="3542"/>
      <c r="L8" s="3542"/>
      <c r="M8" s="3542"/>
      <c r="N8" s="3542"/>
      <c r="O8" s="3542"/>
      <c r="P8" s="3542"/>
      <c r="Q8" s="3543"/>
      <c r="R8" s="1506" t="str">
        <f>结果表!O41</f>
        <v>——</v>
      </c>
    </row>
    <row r="9" spans="1:18">
      <c r="A9" s="1507" t="s">
        <v>1557</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1544</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496" customWidth="1"/>
    <col min="2" max="3" width="21.375" style="1496" customWidth="1"/>
    <col min="4" max="4" width="19.875" style="1496" customWidth="1"/>
    <col min="5" max="16384" width="9" style="1496"/>
  </cols>
  <sheetData>
    <row r="1" spans="1:4">
      <c r="A1" s="3544" t="s">
        <v>1581</v>
      </c>
      <c r="B1" s="3544"/>
      <c r="C1" s="3544"/>
      <c r="D1" s="3544"/>
    </row>
    <row r="2" spans="1:4" ht="47.25" customHeight="1">
      <c r="A2" s="3547" t="str">
        <f>"1.权利限制："&amp;项目基本情况!L24&amp;"未设定租赁等其他他项权利。"</f>
        <v>1.权利限制：根据估价对象《房屋所有权证》复印件、《国有土地使用权》复印件，截至估价期日，估价对象抵押权未见登记。未设定租赁等其他他项权利。</v>
      </c>
      <c r="B2" s="3547"/>
      <c r="C2" s="3547"/>
      <c r="D2" s="3547"/>
    </row>
    <row r="3" spans="1:4" ht="48" customHeight="1">
      <c r="A3" s="3544"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544"/>
      <c r="C3" s="3544"/>
      <c r="D3" s="3544"/>
    </row>
    <row r="4" spans="1:4" ht="36.75" customHeight="1">
      <c r="A4" s="3544" t="str">
        <f>"3.估价规划限制条件：详见"&amp;项目基本情况!E21&amp;"。"</f>
        <v>3.估价规划限制条件：详见《房屋所有权证》[京房权证丰国字第04279号]。</v>
      </c>
      <c r="B4" s="3544"/>
      <c r="C4" s="3544"/>
      <c r="D4" s="3544"/>
    </row>
    <row r="5" spans="1:4">
      <c r="A5" s="3546" t="s">
        <v>1582</v>
      </c>
      <c r="B5" s="3546"/>
      <c r="C5" s="3546"/>
      <c r="D5" s="3546"/>
    </row>
    <row r="6" spans="1:4">
      <c r="A6" s="3544" t="s">
        <v>1560</v>
      </c>
      <c r="B6" s="3544"/>
      <c r="C6" s="3544"/>
      <c r="D6" s="3544"/>
    </row>
    <row r="7" spans="1:4" ht="33" customHeight="1">
      <c r="A7" s="3544" t="s">
        <v>1854</v>
      </c>
      <c r="B7" s="3544"/>
      <c r="C7" s="3544"/>
      <c r="D7" s="3544"/>
    </row>
    <row r="8" spans="1:4" ht="32.25" customHeight="1">
      <c r="A8" s="35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44"/>
      <c r="C8" s="3544"/>
      <c r="D8" s="3544"/>
    </row>
    <row r="9" spans="1:4" ht="33.75" customHeight="1">
      <c r="A9" s="3544" t="str">
        <f>IF(项目基本情况!B8="抵押","3.抵押双方在办理抵押登记手续时，应使用本公司出具的正式《土地估价报告》，特提请报告使用者注意。","——")</f>
        <v>——</v>
      </c>
      <c r="B9" s="3544"/>
      <c r="C9" s="3544"/>
      <c r="D9" s="3544"/>
    </row>
    <row r="10" spans="1:4">
      <c r="A10" s="3544" t="str">
        <f>IF(项目基本情况!B8="抵押","4.估价师所知悉的法定优先受偿款情况为：","——")</f>
        <v>——</v>
      </c>
      <c r="B10" s="3544"/>
      <c r="C10" s="3544"/>
      <c r="D10" s="3544"/>
    </row>
    <row r="11" spans="1:4" ht="37.5" customHeight="1">
      <c r="A11" s="3544" t="str">
        <f>IF(项目基本情况!B8="抵押","（1）"&amp;CONCATENATE(项目基本情况!L24,项目基本情况!L25,项目基本情况!L26),"——")</f>
        <v>——</v>
      </c>
      <c r="B11" s="3544"/>
      <c r="C11" s="3544"/>
      <c r="D11" s="3544"/>
    </row>
    <row r="12" spans="1:4" ht="168" customHeight="1">
      <c r="A12" s="3546" t="s">
        <v>1584</v>
      </c>
      <c r="B12" s="3546"/>
      <c r="C12" s="3546"/>
      <c r="D12" s="3546"/>
    </row>
    <row r="13" spans="1:4">
      <c r="A13" s="3545" t="s">
        <v>2025</v>
      </c>
      <c r="B13" s="3545"/>
      <c r="C13" s="3545"/>
      <c r="D13" s="3545"/>
    </row>
    <row r="14" spans="1:4">
      <c r="A14" s="3544" t="str">
        <f>IF(项目基本情况!B8="抵押","综上，"&amp;结果表!K47,"——")</f>
        <v>——</v>
      </c>
      <c r="B14" s="3544"/>
      <c r="C14" s="3544"/>
      <c r="D14" s="3544"/>
    </row>
    <row r="15" spans="1:4" ht="58.5" customHeight="1">
      <c r="A15" s="35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4"/>
      <c r="C15" s="3544"/>
      <c r="D15" s="3544"/>
    </row>
    <row r="16" spans="1:4" ht="70.5" customHeight="1">
      <c r="A16" s="35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4"/>
      <c r="C16" s="3544"/>
      <c r="D16" s="3544"/>
    </row>
    <row r="17" spans="1:4">
      <c r="A17" s="3544" t="s">
        <v>1981</v>
      </c>
      <c r="B17" s="3544"/>
      <c r="C17" s="3544"/>
      <c r="D17" s="3544"/>
    </row>
    <row r="18" spans="1:4">
      <c r="A18" s="3544" t="s">
        <v>1973</v>
      </c>
      <c r="B18" s="3544"/>
      <c r="C18" s="3544"/>
      <c r="D18" s="3544"/>
    </row>
    <row r="19" spans="1:4">
      <c r="A19" s="2172" t="s">
        <v>1974</v>
      </c>
      <c r="B19" s="2172" t="s">
        <v>1975</v>
      </c>
      <c r="C19" s="2172" t="s">
        <v>1976</v>
      </c>
      <c r="D19" s="2172" t="s">
        <v>1977</v>
      </c>
    </row>
    <row r="20" spans="1:4">
      <c r="A20" s="2172" t="str">
        <f>项目基本情况!B4</f>
        <v>郑燚</v>
      </c>
      <c r="B20" s="2172">
        <f ca="1">项目基本情况!C4</f>
        <v>2014110011</v>
      </c>
      <c r="C20" s="2174"/>
      <c r="D20" s="1495" t="s">
        <v>1982</v>
      </c>
    </row>
    <row r="21" spans="1:4">
      <c r="A21" s="2172" t="str">
        <f>项目基本情况!D4</f>
        <v>土地估价师</v>
      </c>
      <c r="B21" s="2172">
        <f>项目基本情况!E4</f>
        <v>0</v>
      </c>
      <c r="C21" s="2174"/>
      <c r="D21" s="1495" t="s">
        <v>1983</v>
      </c>
    </row>
    <row r="23" spans="1:4">
      <c r="A23" s="3544" t="s">
        <v>1978</v>
      </c>
      <c r="B23" s="3544"/>
      <c r="C23" s="3544"/>
      <c r="D23" s="3544"/>
    </row>
    <row r="24" spans="1:4">
      <c r="A24" s="2172" t="s">
        <v>1974</v>
      </c>
      <c r="B24" s="2172" t="s">
        <v>1979</v>
      </c>
      <c r="C24" s="2172" t="s">
        <v>1976</v>
      </c>
      <c r="D24" s="2172" t="s">
        <v>1977</v>
      </c>
    </row>
    <row r="25" spans="1:4">
      <c r="A25" s="2175" t="s">
        <v>1980</v>
      </c>
      <c r="B25" s="2172" t="s">
        <v>877</v>
      </c>
      <c r="C25" s="2174"/>
      <c r="D25" s="1495" t="s">
        <v>1983</v>
      </c>
    </row>
    <row r="29" spans="1:4">
      <c r="D29" s="2173" t="s">
        <v>1555</v>
      </c>
    </row>
    <row r="30" spans="1:4">
      <c r="D30" s="2176">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activeCell="B4" sqref="B4"/>
      <selection pane="bottomLeft" activeCell="B4" sqref="B4"/>
    </sheetView>
  </sheetViews>
  <sheetFormatPr defaultColWidth="14.5" defaultRowHeight="15.75"/>
  <cols>
    <col min="1" max="1" width="14.5" style="1008" customWidth="1"/>
    <col min="2" max="16384" width="14.5" style="1006"/>
  </cols>
  <sheetData>
    <row r="1" spans="1:7" s="1004" customFormat="1" ht="18.75">
      <c r="A1" s="1003" t="s">
        <v>39</v>
      </c>
    </row>
    <row r="3" spans="1:7" ht="14.25">
      <c r="A3" s="1005" t="s">
        <v>40</v>
      </c>
      <c r="B3" s="1006" t="s">
        <v>41</v>
      </c>
      <c r="G3" s="1007"/>
    </row>
    <row r="4" spans="1:7">
      <c r="G4" s="1007"/>
    </row>
    <row r="5" spans="1:7" ht="14.25">
      <c r="A5" s="1009" t="s">
        <v>19</v>
      </c>
      <c r="B5" s="1006" t="s">
        <v>20</v>
      </c>
      <c r="G5" s="1007"/>
    </row>
    <row r="6" spans="1:7">
      <c r="G6" s="1007"/>
    </row>
    <row r="7" spans="1:7" ht="14.25">
      <c r="A7" s="1010" t="s">
        <v>21</v>
      </c>
      <c r="B7" s="1006" t="s">
        <v>22</v>
      </c>
      <c r="G7" s="1007"/>
    </row>
    <row r="8" spans="1:7">
      <c r="G8" s="1007"/>
    </row>
    <row r="9" spans="1:7">
      <c r="A9" s="1011" t="s">
        <v>23</v>
      </c>
      <c r="B9" s="1006" t="s">
        <v>24</v>
      </c>
    </row>
    <row r="11" spans="1:7">
      <c r="A11" s="1012" t="s">
        <v>25</v>
      </c>
      <c r="B11" s="1013" t="s">
        <v>809</v>
      </c>
    </row>
    <row r="13" spans="1:7">
      <c r="A13" s="1014" t="s">
        <v>26</v>
      </c>
    </row>
    <row r="15" spans="1:7" ht="14.25">
      <c r="A15" s="3555" t="s">
        <v>27</v>
      </c>
      <c r="B15" s="3556" t="s">
        <v>784</v>
      </c>
      <c r="C15" s="3552"/>
    </row>
    <row r="16" spans="1:7" ht="14.25">
      <c r="A16" s="3555"/>
      <c r="B16" s="3553" t="s">
        <v>28</v>
      </c>
      <c r="C16" s="1015" t="s">
        <v>27</v>
      </c>
    </row>
    <row r="17" spans="1:3" ht="14.25">
      <c r="A17" s="3555"/>
      <c r="B17" s="3553"/>
      <c r="C17" s="1015" t="s">
        <v>29</v>
      </c>
    </row>
    <row r="18" spans="1:3" ht="14.25">
      <c r="A18" s="3555"/>
      <c r="B18" s="3553"/>
      <c r="C18" s="1015" t="s">
        <v>30</v>
      </c>
    </row>
    <row r="19" spans="1:3" ht="14.25">
      <c r="A19" s="3555"/>
      <c r="B19" s="3551" t="s">
        <v>31</v>
      </c>
      <c r="C19" s="3552"/>
    </row>
    <row r="20" spans="1:3" ht="14.25">
      <c r="A20" s="1016" t="s">
        <v>32</v>
      </c>
      <c r="B20" s="1017"/>
      <c r="C20" s="1018"/>
    </row>
    <row r="21" spans="1:3" ht="14.25">
      <c r="A21" s="3554" t="s">
        <v>33</v>
      </c>
      <c r="B21" s="3551" t="s">
        <v>34</v>
      </c>
      <c r="C21" s="3552"/>
    </row>
    <row r="22" spans="1:3" ht="14.25">
      <c r="A22" s="3554"/>
      <c r="B22" s="3551" t="s">
        <v>35</v>
      </c>
      <c r="C22" s="3552"/>
    </row>
    <row r="23" spans="1:3" ht="14.25">
      <c r="A23" s="3554"/>
      <c r="B23" s="3551" t="s">
        <v>36</v>
      </c>
      <c r="C23" s="3552"/>
    </row>
    <row r="24" spans="1:3" ht="14.25">
      <c r="A24" s="3554"/>
      <c r="B24" s="3557" t="s">
        <v>37</v>
      </c>
      <c r="C24" s="1019" t="s">
        <v>775</v>
      </c>
    </row>
    <row r="25" spans="1:3" ht="14.25">
      <c r="A25" s="3554"/>
      <c r="B25" s="3558"/>
      <c r="C25" s="1019" t="s">
        <v>776</v>
      </c>
    </row>
    <row r="26" spans="1:3" ht="14.25">
      <c r="A26" s="3554"/>
      <c r="B26" s="3558"/>
      <c r="C26" s="1019" t="s">
        <v>777</v>
      </c>
    </row>
    <row r="27" spans="1:3" ht="14.25">
      <c r="A27" s="3554"/>
      <c r="B27" s="3558"/>
      <c r="C27" s="1019" t="s">
        <v>778</v>
      </c>
    </row>
    <row r="28" spans="1:3" ht="14.25">
      <c r="A28" s="3554"/>
      <c r="B28" s="3558"/>
      <c r="C28" s="1019" t="s">
        <v>779</v>
      </c>
    </row>
    <row r="29" spans="1:3" ht="14.25">
      <c r="A29" s="3554"/>
      <c r="B29" s="3558"/>
      <c r="C29" s="1019" t="s">
        <v>780</v>
      </c>
    </row>
    <row r="30" spans="1:3" ht="14.25">
      <c r="A30" s="3554"/>
      <c r="B30" s="3558"/>
      <c r="C30" s="1019" t="s">
        <v>781</v>
      </c>
    </row>
    <row r="31" spans="1:3" ht="14.25">
      <c r="A31" s="3554"/>
      <c r="B31" s="3558"/>
      <c r="C31" s="1019" t="s">
        <v>782</v>
      </c>
    </row>
    <row r="32" spans="1:3" ht="14.25">
      <c r="A32" s="3554"/>
      <c r="B32" s="3558"/>
      <c r="C32" s="1019" t="s">
        <v>1181</v>
      </c>
    </row>
    <row r="33" spans="1:3" ht="14.25">
      <c r="A33" s="3554"/>
      <c r="B33" s="3548" t="s">
        <v>1187</v>
      </c>
      <c r="C33" s="1019" t="s">
        <v>1182</v>
      </c>
    </row>
    <row r="34" spans="1:3" ht="14.25">
      <c r="A34" s="3554"/>
      <c r="B34" s="3549"/>
      <c r="C34" s="1024" t="s">
        <v>1183</v>
      </c>
    </row>
    <row r="35" spans="1:3" ht="14.25">
      <c r="A35" s="3554"/>
      <c r="B35" s="3549"/>
      <c r="C35" s="1025" t="s">
        <v>1184</v>
      </c>
    </row>
    <row r="36" spans="1:3" ht="14.25">
      <c r="A36" s="3554"/>
      <c r="B36" s="3549"/>
      <c r="C36" s="1025" t="s">
        <v>1185</v>
      </c>
    </row>
    <row r="37" spans="1:3" ht="14.25">
      <c r="A37" s="3554"/>
      <c r="B37" s="3550"/>
      <c r="C37" s="1026" t="s">
        <v>1186</v>
      </c>
    </row>
    <row r="38" spans="1:3">
      <c r="A38" s="1020" t="s">
        <v>783</v>
      </c>
    </row>
    <row r="41" spans="1:3">
      <c r="A41" s="1020" t="s">
        <v>42</v>
      </c>
    </row>
    <row r="42" spans="1:3" ht="14.25">
      <c r="A42" s="1021" t="s">
        <v>791</v>
      </c>
    </row>
    <row r="43" spans="1:3" ht="14.25">
      <c r="A43" s="1022" t="s">
        <v>43</v>
      </c>
    </row>
    <row r="44" spans="1:3" ht="14.25">
      <c r="A44" s="1021" t="s">
        <v>790</v>
      </c>
    </row>
    <row r="45" spans="1:3" ht="14.25">
      <c r="A45" s="1023" t="s">
        <v>792</v>
      </c>
    </row>
    <row r="46" spans="1:3" ht="14.25">
      <c r="A46" s="102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3"/>
  <sheetViews>
    <sheetView view="pageBreakPreview" topLeftCell="A7" zoomScale="80" zoomScaleNormal="100" zoomScaleSheetLayoutView="80" workbookViewId="0">
      <selection activeCell="B4" sqref="B4"/>
    </sheetView>
  </sheetViews>
  <sheetFormatPr defaultColWidth="22.625" defaultRowHeight="20.25" customHeight="1"/>
  <cols>
    <col min="1" max="1" width="24.625" style="2393" customWidth="1"/>
    <col min="2" max="2" width="22.625" style="2393" bestFit="1" customWidth="1"/>
    <col min="3" max="3" width="25.625" style="2393" bestFit="1" customWidth="1"/>
    <col min="4" max="4" width="22.625" style="2393"/>
    <col min="5" max="5" width="22.62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45247</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f ca="1">IF(C6&lt;B2,"已过期",1120050019)</f>
        <v>1120050019</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f ca="1">IF(C9&lt;B2,"已过期",1120060040)</f>
        <v>1120060040</v>
      </c>
      <c r="C9" s="2567">
        <v>45592</v>
      </c>
      <c r="D9" s="2573" t="s">
        <v>1443</v>
      </c>
      <c r="E9" s="2564">
        <f ca="1">IF(F9&lt;B2,"已过期",2004110096)</f>
        <v>2004110096</v>
      </c>
      <c r="F9" s="2566">
        <v>47118</v>
      </c>
      <c r="G9" s="2559"/>
    </row>
    <row r="10" spans="1:7" ht="20.25" customHeight="1">
      <c r="A10" s="2564" t="s">
        <v>1444</v>
      </c>
      <c r="B10" s="2564">
        <f ca="1">IF(C10&lt;B2,"已过期",1120100036)</f>
        <v>1120100036</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2233</v>
      </c>
      <c r="B12" s="2564">
        <f ca="1">IF(C12&lt;B2,"已过期",1120040230)</f>
        <v>1120040230</v>
      </c>
      <c r="C12" s="2567">
        <v>45937</v>
      </c>
      <c r="D12" s="2573" t="s">
        <v>2234</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f ca="1">IF(C14&lt;B2,"已过期",1120020033)</f>
        <v>1120020033</v>
      </c>
      <c r="C14" s="2567">
        <v>45375</v>
      </c>
      <c r="D14" s="2573" t="s">
        <v>1447</v>
      </c>
      <c r="E14" s="2564">
        <f ca="1">IF(F14&lt;B2,"已过期",2000110137)</f>
        <v>2000110137</v>
      </c>
      <c r="F14" s="2566">
        <v>46387</v>
      </c>
      <c r="G14" s="2559"/>
    </row>
    <row r="15" spans="1:7" ht="20.25" customHeight="1">
      <c r="A15" s="2564" t="s">
        <v>2244</v>
      </c>
      <c r="B15" s="2564" t="str">
        <f ca="1">IF(C15&lt;B2,"已过期",1119980106)</f>
        <v>已过期</v>
      </c>
      <c r="C15" s="2567">
        <v>44969</v>
      </c>
      <c r="D15" s="2573"/>
      <c r="E15" s="2564"/>
      <c r="F15" s="2564"/>
      <c r="G15" s="2559"/>
    </row>
    <row r="16" spans="1:7" ht="20.25" customHeight="1">
      <c r="A16" s="2563" t="s">
        <v>2444</v>
      </c>
      <c r="B16" s="2563">
        <v>1120210056</v>
      </c>
      <c r="C16" s="2567">
        <v>45410</v>
      </c>
      <c r="D16" s="2573"/>
      <c r="E16" s="2564"/>
      <c r="F16" s="2564"/>
      <c r="G16" s="2559"/>
    </row>
    <row r="17" spans="1:7" ht="20.25" customHeight="1">
      <c r="A17" s="2563" t="s">
        <v>1569</v>
      </c>
      <c r="B17" s="2563" t="s">
        <v>1569</v>
      </c>
      <c r="C17" s="2567"/>
      <c r="D17" s="2574" t="s">
        <v>1569</v>
      </c>
      <c r="E17" s="2564" t="s">
        <v>1569</v>
      </c>
      <c r="F17" s="2566"/>
      <c r="G17" s="2559"/>
    </row>
    <row r="18" spans="1:7" ht="20.25" customHeight="1">
      <c r="A18" s="3562" t="s">
        <v>1448</v>
      </c>
      <c r="B18" s="3563"/>
      <c r="C18" s="3563"/>
      <c r="D18" s="3563"/>
      <c r="E18" s="3563"/>
      <c r="F18" s="3563"/>
      <c r="G18" s="2559"/>
    </row>
    <row r="19" spans="1:7" ht="20.25" customHeight="1">
      <c r="A19" s="3559" t="s">
        <v>1449</v>
      </c>
      <c r="B19" s="3559"/>
      <c r="C19" s="3560"/>
      <c r="D19" s="3561" t="s">
        <v>1450</v>
      </c>
      <c r="E19" s="3559"/>
      <c r="F19" s="3559"/>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2445</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C17:D17 C5 C12:C13">
    <cfRule type="expression" dxfId="199" priority="151">
      <formula>AND($C5-TODAY()&lt;30,TODAY()&lt;$C5)</formula>
    </cfRule>
  </conditionalFormatting>
  <conditionalFormatting sqref="C21">
    <cfRule type="expression" dxfId="198" priority="150">
      <formula>AND($C21-TODAY()&lt;30,TODAY()&lt;$C21)</formula>
    </cfRule>
  </conditionalFormatting>
  <conditionalFormatting sqref="C21 F4 C5 C13">
    <cfRule type="cellIs" dxfId="197" priority="152" stopIfTrue="1" operator="lessThan">
      <formula>$B$2</formula>
    </cfRule>
  </conditionalFormatting>
  <conditionalFormatting sqref="F5 F7 F9">
    <cfRule type="cellIs" dxfId="196" priority="146" stopIfTrue="1" operator="lessThan">
      <formula>$B$2</formula>
    </cfRule>
  </conditionalFormatting>
  <conditionalFormatting sqref="C17:D17">
    <cfRule type="expression" dxfId="195" priority="144">
      <formula>AND($C17-TODAY()&lt;30,TODAY()&lt;$C17)</formula>
    </cfRule>
  </conditionalFormatting>
  <conditionalFormatting sqref="F6 F8 F10 C17:D17">
    <cfRule type="cellIs" dxfId="194" priority="145" stopIfTrue="1" operator="lessThan">
      <formula>$B$2</formula>
    </cfRule>
  </conditionalFormatting>
  <conditionalFormatting sqref="F14">
    <cfRule type="cellIs" dxfId="193" priority="116" stopIfTrue="1" operator="lessThan">
      <formula>$B$2</formula>
    </cfRule>
  </conditionalFormatting>
  <conditionalFormatting sqref="F13">
    <cfRule type="cellIs" dxfId="192" priority="115" stopIfTrue="1" operator="lessThan">
      <formula>$B$2</formula>
    </cfRule>
  </conditionalFormatting>
  <conditionalFormatting sqref="B4:B11 E4:E11 E13:E16 B13:B16">
    <cfRule type="cellIs" dxfId="191" priority="113" stopIfTrue="1" operator="equal">
      <formula>"已过期"</formula>
    </cfRule>
  </conditionalFormatting>
  <conditionalFormatting sqref="C6">
    <cfRule type="expression" dxfId="190" priority="84">
      <formula>AND($C6-TODAY()&lt;30,TODAY()&lt;$C6)</formula>
    </cfRule>
  </conditionalFormatting>
  <conditionalFormatting sqref="C6">
    <cfRule type="cellIs" dxfId="189" priority="85" stopIfTrue="1" operator="lessThan">
      <formula>$B$2</formula>
    </cfRule>
  </conditionalFormatting>
  <conditionalFormatting sqref="C11 C15:C16">
    <cfRule type="expression" dxfId="188" priority="82">
      <formula>AND($C11-TODAY()&lt;30,TODAY()&lt;$C11)</formula>
    </cfRule>
  </conditionalFormatting>
  <conditionalFormatting sqref="C11 C15:C16">
    <cfRule type="cellIs" dxfId="187" priority="83" stopIfTrue="1" operator="lessThan">
      <formula>$B$2</formula>
    </cfRule>
  </conditionalFormatting>
  <conditionalFormatting sqref="F11">
    <cfRule type="cellIs" dxfId="186" priority="81" stopIfTrue="1" operator="lessThan">
      <formula>$B$2</formula>
    </cfRule>
  </conditionalFormatting>
  <conditionalFormatting sqref="C14">
    <cfRule type="expression" dxfId="185" priority="62">
      <formula>AND($C14-TODAY()&lt;30,TODAY()&lt;$C14)</formula>
    </cfRule>
  </conditionalFormatting>
  <conditionalFormatting sqref="C14">
    <cfRule type="cellIs" dxfId="184" priority="63" stopIfTrue="1" operator="lessThan">
      <formula>$B$2</formula>
    </cfRule>
  </conditionalFormatting>
  <conditionalFormatting sqref="C12">
    <cfRule type="cellIs" dxfId="183" priority="56" stopIfTrue="1" operator="lessThan">
      <formula>$B$2</formula>
    </cfRule>
  </conditionalFormatting>
  <conditionalFormatting sqref="C12">
    <cfRule type="expression" dxfId="182" priority="53">
      <formula>AND($C12-TODAY()&lt;30,TODAY()&lt;$C12)</formula>
    </cfRule>
  </conditionalFormatting>
  <conditionalFormatting sqref="C12">
    <cfRule type="cellIs" dxfId="181" priority="54" stopIfTrue="1" operator="lessThan">
      <formula>$B$2</formula>
    </cfRule>
  </conditionalFormatting>
  <conditionalFormatting sqref="B12">
    <cfRule type="cellIs" dxfId="180" priority="50" stopIfTrue="1" operator="equal">
      <formula>"已过期"</formula>
    </cfRule>
  </conditionalFormatting>
  <conditionalFormatting sqref="E12">
    <cfRule type="cellIs" dxfId="179" priority="40" stopIfTrue="1" operator="equal">
      <formula>"已过期"</formula>
    </cfRule>
  </conditionalFormatting>
  <conditionalFormatting sqref="F12">
    <cfRule type="cellIs" dxfId="178" priority="39" stopIfTrue="1" operator="lessThan">
      <formula>$B$2</formula>
    </cfRule>
  </conditionalFormatting>
  <conditionalFormatting sqref="C9:C10">
    <cfRule type="expression" dxfId="177" priority="35">
      <formula>AND($C9-TODAY()&lt;30,TODAY()&lt;$C9)</formula>
    </cfRule>
  </conditionalFormatting>
  <conditionalFormatting sqref="C9:C10">
    <cfRule type="cellIs" dxfId="176" priority="36" stopIfTrue="1" operator="lessThan">
      <formula>$B$2</formula>
    </cfRule>
  </conditionalFormatting>
  <conditionalFormatting sqref="F22">
    <cfRule type="cellIs" dxfId="175" priority="15" stopIfTrue="1" operator="lessThan">
      <formula>$B$2</formula>
    </cfRule>
  </conditionalFormatting>
  <conditionalFormatting sqref="F22">
    <cfRule type="expression" dxfId="174" priority="16">
      <formula>AND($E22-TODAY()&lt;30,TODAY()&lt;$E22)</formula>
    </cfRule>
  </conditionalFormatting>
  <conditionalFormatting sqref="C7:C8">
    <cfRule type="expression" dxfId="173" priority="7">
      <formula>AND($C7-TODAY()&lt;30,TODAY()&lt;$C7)</formula>
    </cfRule>
  </conditionalFormatting>
  <conditionalFormatting sqref="C7:C8">
    <cfRule type="cellIs" dxfId="172" priority="8" stopIfTrue="1" operator="lessThan">
      <formula>$B$2</formula>
    </cfRule>
  </conditionalFormatting>
  <conditionalFormatting sqref="C7:C8">
    <cfRule type="expression" dxfId="171" priority="5">
      <formula>AND($C7-TODAY()&lt;30,TODAY()&lt;$C7)</formula>
    </cfRule>
  </conditionalFormatting>
  <conditionalFormatting sqref="C7:C8">
    <cfRule type="cellIs" dxfId="170" priority="6" stopIfTrue="1" operator="lessThan">
      <formula>$B$2</formula>
    </cfRule>
  </conditionalFormatting>
  <conditionalFormatting sqref="C4">
    <cfRule type="expression" dxfId="169" priority="3">
      <formula>AND($C4-TODAY()&lt;30,TODAY()&lt;$C4)</formula>
    </cfRule>
  </conditionalFormatting>
  <conditionalFormatting sqref="C4">
    <cfRule type="cellIs" dxfId="168" priority="4" stopIfTrue="1" operator="lessThan">
      <formula>$B$2</formula>
    </cfRule>
  </conditionalFormatting>
  <conditionalFormatting sqref="F21">
    <cfRule type="cellIs" dxfId="167" priority="1" stopIfTrue="1" operator="lessThan">
      <formula>$B$2</formula>
    </cfRule>
  </conditionalFormatting>
  <conditionalFormatting sqref="F21">
    <cfRule type="expression" dxfId="166" priority="2">
      <formula>AND($E21-TODAY()&lt;30,TODAY()&lt;$E21)</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4" sqref="B4"/>
    </sheetView>
  </sheetViews>
  <sheetFormatPr defaultColWidth="9" defaultRowHeight="14.25"/>
  <cols>
    <col min="1" max="1" width="10.375" style="1028" customWidth="1"/>
    <col min="2" max="2" width="18.875" style="100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6" customWidth="1"/>
    <col min="25" max="25" width="7.125" style="1006" customWidth="1"/>
    <col min="26" max="16384" width="9" style="1006"/>
  </cols>
  <sheetData>
    <row r="1" spans="1:23" s="1027" customFormat="1" ht="40.5">
      <c r="A1" s="880" t="s">
        <v>794</v>
      </c>
      <c r="B1" s="3" t="s">
        <v>99</v>
      </c>
      <c r="C1" s="1292" t="s">
        <v>1237</v>
      </c>
      <c r="D1" s="2047" t="s">
        <v>2756</v>
      </c>
      <c r="E1" s="4" t="s">
        <v>100</v>
      </c>
      <c r="F1" s="4" t="s">
        <v>101</v>
      </c>
      <c r="G1" s="4" t="s">
        <v>102</v>
      </c>
      <c r="H1" s="4" t="s">
        <v>103</v>
      </c>
      <c r="I1" s="4" t="s">
        <v>104</v>
      </c>
      <c r="J1" s="4" t="s">
        <v>105</v>
      </c>
      <c r="K1" s="4" t="s">
        <v>106</v>
      </c>
      <c r="L1" s="4" t="s">
        <v>107</v>
      </c>
      <c r="M1" s="4" t="s">
        <v>108</v>
      </c>
      <c r="N1" s="4" t="s">
        <v>109</v>
      </c>
      <c r="O1" s="4" t="s">
        <v>110</v>
      </c>
      <c r="P1" s="4" t="s">
        <v>111</v>
      </c>
      <c r="Q1" s="2047" t="s">
        <v>1825</v>
      </c>
      <c r="R1" s="2046" t="s">
        <v>1819</v>
      </c>
      <c r="S1" s="4" t="s">
        <v>112</v>
      </c>
      <c r="T1" s="5" t="s">
        <v>113</v>
      </c>
      <c r="U1" s="4" t="s">
        <v>114</v>
      </c>
      <c r="V1" s="4" t="s">
        <v>115</v>
      </c>
      <c r="W1" s="915" t="s">
        <v>811</v>
      </c>
    </row>
    <row r="2" spans="1:23">
      <c r="A2" s="6" t="s">
        <v>47</v>
      </c>
      <c r="B2" s="6" t="s">
        <v>116</v>
      </c>
      <c r="C2" s="1293" t="s">
        <v>1238</v>
      </c>
      <c r="D2" s="7" t="s">
        <v>48</v>
      </c>
      <c r="E2" s="7" t="s">
        <v>95</v>
      </c>
      <c r="F2" s="7" t="s">
        <v>96</v>
      </c>
      <c r="G2" s="4">
        <v>20</v>
      </c>
      <c r="H2" s="7" t="s">
        <v>97</v>
      </c>
      <c r="I2" s="7" t="s">
        <v>2742</v>
      </c>
      <c r="J2" s="7" t="s">
        <v>98</v>
      </c>
      <c r="K2" s="7" t="s">
        <v>49</v>
      </c>
      <c r="L2" s="7" t="s">
        <v>49</v>
      </c>
      <c r="M2" s="7" t="s">
        <v>49</v>
      </c>
      <c r="N2" s="7" t="s">
        <v>49</v>
      </c>
      <c r="O2" s="7" t="s">
        <v>49</v>
      </c>
      <c r="P2" s="916" t="s">
        <v>817</v>
      </c>
      <c r="Q2" s="7" t="s">
        <v>49</v>
      </c>
      <c r="R2" s="916" t="s">
        <v>1820</v>
      </c>
      <c r="S2" s="7" t="s">
        <v>49</v>
      </c>
      <c r="T2" s="7" t="s">
        <v>50</v>
      </c>
      <c r="U2" s="7" t="s">
        <v>49</v>
      </c>
      <c r="V2" s="7" t="s">
        <v>51</v>
      </c>
      <c r="W2" s="7" t="s">
        <v>812</v>
      </c>
    </row>
    <row r="3" spans="1:23">
      <c r="A3" s="6" t="s">
        <v>52</v>
      </c>
      <c r="B3" s="8" t="s">
        <v>117</v>
      </c>
      <c r="C3" s="1293" t="s">
        <v>1239</v>
      </c>
      <c r="D3" s="7" t="s">
        <v>53</v>
      </c>
      <c r="E3" s="7" t="s">
        <v>3</v>
      </c>
      <c r="F3" s="7" t="s">
        <v>54</v>
      </c>
      <c r="G3" s="7">
        <v>40</v>
      </c>
      <c r="H3" s="7" t="s">
        <v>55</v>
      </c>
      <c r="I3" s="7" t="s">
        <v>2743</v>
      </c>
      <c r="J3" s="7" t="s">
        <v>56</v>
      </c>
      <c r="K3" s="7" t="s">
        <v>57</v>
      </c>
      <c r="L3" s="7" t="s">
        <v>57</v>
      </c>
      <c r="M3" s="7" t="s">
        <v>57</v>
      </c>
      <c r="N3" s="7" t="s">
        <v>57</v>
      </c>
      <c r="O3" s="7" t="s">
        <v>57</v>
      </c>
      <c r="P3" s="916" t="s">
        <v>548</v>
      </c>
      <c r="Q3" s="7" t="s">
        <v>57</v>
      </c>
      <c r="R3" s="916" t="s">
        <v>1821</v>
      </c>
      <c r="S3" s="7" t="s">
        <v>57</v>
      </c>
      <c r="T3" s="7" t="s">
        <v>58</v>
      </c>
      <c r="U3" s="7" t="s">
        <v>57</v>
      </c>
      <c r="V3" s="7" t="s">
        <v>59</v>
      </c>
      <c r="W3" s="7" t="s">
        <v>813</v>
      </c>
    </row>
    <row r="4" spans="1:23">
      <c r="A4" s="6" t="s">
        <v>60</v>
      </c>
      <c r="B4" s="6" t="s">
        <v>118</v>
      </c>
      <c r="C4" s="1293" t="s">
        <v>1240</v>
      </c>
      <c r="D4" s="7" t="s">
        <v>1511</v>
      </c>
      <c r="E4" s="7" t="s">
        <v>61</v>
      </c>
      <c r="F4" s="7" t="s">
        <v>62</v>
      </c>
      <c r="G4" s="7">
        <v>50</v>
      </c>
      <c r="H4" s="7" t="s">
        <v>63</v>
      </c>
      <c r="I4" s="7" t="s">
        <v>2744</v>
      </c>
      <c r="K4" s="7" t="s">
        <v>64</v>
      </c>
      <c r="L4" s="7" t="s">
        <v>64</v>
      </c>
      <c r="M4" s="7" t="s">
        <v>64</v>
      </c>
      <c r="N4" s="7" t="s">
        <v>64</v>
      </c>
      <c r="O4" s="7" t="s">
        <v>64</v>
      </c>
      <c r="P4" s="916" t="s">
        <v>700</v>
      </c>
      <c r="Q4" s="7" t="s">
        <v>64</v>
      </c>
      <c r="R4" s="916" t="s">
        <v>1822</v>
      </c>
      <c r="S4" s="7" t="s">
        <v>64</v>
      </c>
      <c r="T4" s="7" t="s">
        <v>65</v>
      </c>
      <c r="U4" s="7" t="s">
        <v>64</v>
      </c>
      <c r="W4" s="7" t="s">
        <v>814</v>
      </c>
    </row>
    <row r="5" spans="1:23">
      <c r="A5" s="6" t="s">
        <v>66</v>
      </c>
      <c r="B5" s="6" t="s">
        <v>119</v>
      </c>
      <c r="C5" s="1293" t="s">
        <v>1241</v>
      </c>
      <c r="F5" s="7" t="s">
        <v>67</v>
      </c>
      <c r="G5" s="7">
        <v>70</v>
      </c>
      <c r="H5" s="7" t="s">
        <v>44</v>
      </c>
      <c r="I5" s="7" t="s">
        <v>2745</v>
      </c>
      <c r="K5" s="7" t="s">
        <v>68</v>
      </c>
      <c r="L5" s="7" t="s">
        <v>68</v>
      </c>
      <c r="M5" s="7" t="s">
        <v>68</v>
      </c>
      <c r="N5" s="7" t="s">
        <v>68</v>
      </c>
      <c r="O5" s="7" t="s">
        <v>68</v>
      </c>
      <c r="P5" s="916" t="s">
        <v>495</v>
      </c>
      <c r="Q5" s="7" t="s">
        <v>68</v>
      </c>
      <c r="R5" s="916" t="s">
        <v>1823</v>
      </c>
      <c r="S5" s="7" t="s">
        <v>68</v>
      </c>
      <c r="T5" s="7" t="s">
        <v>69</v>
      </c>
      <c r="U5" s="7" t="s">
        <v>68</v>
      </c>
      <c r="W5" s="7" t="s">
        <v>815</v>
      </c>
    </row>
    <row r="6" spans="1:23">
      <c r="A6" s="6" t="s">
        <v>70</v>
      </c>
      <c r="B6" s="994" t="s">
        <v>1176</v>
      </c>
      <c r="C6" s="1294" t="s">
        <v>1242</v>
      </c>
      <c r="F6" s="7" t="s">
        <v>45</v>
      </c>
      <c r="H6" s="7" t="s">
        <v>46</v>
      </c>
      <c r="I6" s="7" t="s">
        <v>2746</v>
      </c>
      <c r="K6" s="7" t="s">
        <v>71</v>
      </c>
      <c r="L6" s="7" t="s">
        <v>71</v>
      </c>
      <c r="M6" s="7" t="s">
        <v>71</v>
      </c>
      <c r="N6" s="7" t="s">
        <v>71</v>
      </c>
      <c r="O6" s="7" t="s">
        <v>71</v>
      </c>
      <c r="P6" s="916" t="s">
        <v>818</v>
      </c>
      <c r="Q6" s="7" t="s">
        <v>71</v>
      </c>
      <c r="R6" s="916" t="s">
        <v>1824</v>
      </c>
      <c r="S6" s="7" t="s">
        <v>71</v>
      </c>
      <c r="T6" s="7"/>
      <c r="U6" s="7" t="s">
        <v>71</v>
      </c>
      <c r="W6" s="7" t="s">
        <v>816</v>
      </c>
    </row>
    <row r="7" spans="1:23">
      <c r="A7" s="6" t="s">
        <v>72</v>
      </c>
      <c r="B7" s="6" t="s">
        <v>73</v>
      </c>
      <c r="C7" s="1293" t="s">
        <v>1243</v>
      </c>
      <c r="F7" s="7" t="s">
        <v>120</v>
      </c>
      <c r="H7" s="7" t="s">
        <v>74</v>
      </c>
      <c r="I7" s="7" t="s">
        <v>2747</v>
      </c>
    </row>
    <row r="8" spans="1:23">
      <c r="A8" s="6" t="s">
        <v>75</v>
      </c>
      <c r="B8" s="6" t="s">
        <v>76</v>
      </c>
      <c r="C8" s="1293" t="s">
        <v>1244</v>
      </c>
      <c r="F8" s="7" t="s">
        <v>121</v>
      </c>
      <c r="H8" s="3082" t="s">
        <v>2741</v>
      </c>
      <c r="I8" s="7" t="s">
        <v>2748</v>
      </c>
    </row>
    <row r="9" spans="1:23">
      <c r="A9" s="6" t="s">
        <v>77</v>
      </c>
      <c r="B9" s="6" t="s">
        <v>122</v>
      </c>
      <c r="C9" s="1293" t="s">
        <v>1245</v>
      </c>
      <c r="F9" s="7" t="s">
        <v>78</v>
      </c>
      <c r="H9" s="7"/>
      <c r="I9" s="7" t="s">
        <v>2749</v>
      </c>
    </row>
    <row r="10" spans="1:23">
      <c r="A10" s="6" t="s">
        <v>79</v>
      </c>
      <c r="B10" s="6" t="s">
        <v>123</v>
      </c>
      <c r="C10" s="1293" t="s">
        <v>1246</v>
      </c>
      <c r="F10" s="3082" t="s">
        <v>2740</v>
      </c>
      <c r="I10" s="7" t="s">
        <v>2750</v>
      </c>
    </row>
    <row r="11" spans="1:23">
      <c r="A11" s="6" t="s">
        <v>80</v>
      </c>
      <c r="B11" s="6" t="s">
        <v>124</v>
      </c>
      <c r="C11" s="1293" t="s">
        <v>1247</v>
      </c>
      <c r="I11" s="7" t="s">
        <v>2751</v>
      </c>
    </row>
    <row r="12" spans="1:23">
      <c r="A12" s="6" t="s">
        <v>81</v>
      </c>
      <c r="B12" s="6" t="s">
        <v>125</v>
      </c>
      <c r="C12" s="1293" t="s">
        <v>1248</v>
      </c>
      <c r="I12" s="7" t="s">
        <v>2752</v>
      </c>
    </row>
    <row r="13" spans="1:23">
      <c r="A13" s="6" t="s">
        <v>82</v>
      </c>
      <c r="B13" s="6" t="s">
        <v>126</v>
      </c>
      <c r="C13" s="1293" t="s">
        <v>1249</v>
      </c>
      <c r="I13" s="7" t="s">
        <v>2753</v>
      </c>
    </row>
    <row r="14" spans="1:23">
      <c r="A14" s="6" t="s">
        <v>83</v>
      </c>
      <c r="B14" s="6" t="s">
        <v>127</v>
      </c>
      <c r="C14" s="1295" t="s">
        <v>1421</v>
      </c>
      <c r="I14" s="7" t="s">
        <v>2754</v>
      </c>
    </row>
    <row r="15" spans="1:23">
      <c r="A15" s="6" t="s">
        <v>84</v>
      </c>
      <c r="B15" s="6" t="s">
        <v>1214</v>
      </c>
      <c r="C15" s="1295"/>
      <c r="I15" s="7" t="s">
        <v>2755</v>
      </c>
    </row>
    <row r="16" spans="1:23">
      <c r="A16" s="6" t="s">
        <v>85</v>
      </c>
      <c r="B16" s="6" t="s">
        <v>1215</v>
      </c>
      <c r="C16" s="1295"/>
    </row>
    <row r="17" spans="1:3">
      <c r="A17" s="6" t="s">
        <v>86</v>
      </c>
      <c r="B17" s="6" t="s">
        <v>1216</v>
      </c>
      <c r="C17" s="1295"/>
    </row>
    <row r="18" spans="1:3">
      <c r="A18" s="6" t="s">
        <v>87</v>
      </c>
      <c r="B18" s="2356" t="s">
        <v>2210</v>
      </c>
      <c r="C18" s="1295"/>
    </row>
    <row r="19" spans="1:3">
      <c r="A19" s="6" t="s">
        <v>88</v>
      </c>
      <c r="B19" s="2356" t="s">
        <v>2217</v>
      </c>
      <c r="C19" s="1295"/>
    </row>
    <row r="20" spans="1:3">
      <c r="A20" s="6" t="s">
        <v>89</v>
      </c>
      <c r="B20" s="2356" t="s">
        <v>2257</v>
      </c>
      <c r="C20" s="1295"/>
    </row>
    <row r="21" spans="1:3">
      <c r="A21" s="6" t="s">
        <v>90</v>
      </c>
      <c r="B21" s="6" t="s">
        <v>2436</v>
      </c>
      <c r="C21" s="1295"/>
    </row>
    <row r="22" spans="1:3">
      <c r="A22" s="6" t="s">
        <v>91</v>
      </c>
      <c r="B22" s="6" t="s">
        <v>1177</v>
      </c>
      <c r="C22" s="1295"/>
    </row>
    <row r="23" spans="1:3">
      <c r="A23" s="6" t="s">
        <v>92</v>
      </c>
      <c r="B23" s="6" t="s">
        <v>1177</v>
      </c>
      <c r="C23" s="1295"/>
    </row>
    <row r="24" spans="1:3">
      <c r="A24" s="6" t="s">
        <v>9</v>
      </c>
      <c r="B24" s="6" t="s">
        <v>1177</v>
      </c>
      <c r="C24" s="1295"/>
    </row>
    <row r="25" spans="1:3">
      <c r="A25" s="6" t="s">
        <v>93</v>
      </c>
      <c r="B25" s="6" t="s">
        <v>1177</v>
      </c>
      <c r="C25" s="1295"/>
    </row>
    <row r="26" spans="1:3">
      <c r="A26" s="6" t="s">
        <v>94</v>
      </c>
      <c r="B26" s="6" t="s">
        <v>1177</v>
      </c>
      <c r="C26" s="1295"/>
    </row>
    <row r="27" spans="1:3">
      <c r="A27" s="6" t="s">
        <v>1177</v>
      </c>
      <c r="B27" s="6" t="s">
        <v>1177</v>
      </c>
      <c r="C27" s="1295"/>
    </row>
    <row r="28" spans="1:3">
      <c r="A28" s="6" t="s">
        <v>1177</v>
      </c>
      <c r="B28" s="6" t="s">
        <v>1177</v>
      </c>
      <c r="C28" s="1295"/>
    </row>
    <row r="29" spans="1:3">
      <c r="A29" s="6" t="s">
        <v>1177</v>
      </c>
      <c r="B29" s="6" t="s">
        <v>1177</v>
      </c>
      <c r="C29" s="1295"/>
    </row>
    <row r="30" spans="1:3">
      <c r="A30" s="6" t="s">
        <v>1177</v>
      </c>
      <c r="B30" s="6" t="s">
        <v>1177</v>
      </c>
      <c r="C30" s="1295"/>
    </row>
    <row r="31" spans="1:3">
      <c r="A31" s="6" t="s">
        <v>1177</v>
      </c>
      <c r="B31" s="6" t="s">
        <v>1177</v>
      </c>
      <c r="C31" s="1295"/>
    </row>
    <row r="32" spans="1:3">
      <c r="A32" s="6" t="s">
        <v>1177</v>
      </c>
      <c r="B32" s="6" t="s">
        <v>1177</v>
      </c>
      <c r="C32" s="1295"/>
    </row>
    <row r="33" spans="1:3">
      <c r="A33" s="6" t="s">
        <v>1177</v>
      </c>
      <c r="B33" s="6" t="s">
        <v>1177</v>
      </c>
      <c r="C33" s="1295"/>
    </row>
    <row r="34" spans="1:3">
      <c r="A34" s="6" t="s">
        <v>1177</v>
      </c>
      <c r="B34" s="6" t="s">
        <v>1177</v>
      </c>
      <c r="C34" s="1295"/>
    </row>
    <row r="35" spans="1:3">
      <c r="A35" s="6" t="s">
        <v>1177</v>
      </c>
      <c r="B35" s="6" t="s">
        <v>1177</v>
      </c>
      <c r="C35" s="1295"/>
    </row>
    <row r="36" spans="1:3">
      <c r="A36" s="6" t="s">
        <v>1177</v>
      </c>
      <c r="B36" s="6" t="s">
        <v>1177</v>
      </c>
      <c r="C36" s="1295"/>
    </row>
    <row r="37" spans="1:3">
      <c r="A37" s="6" t="s">
        <v>1177</v>
      </c>
      <c r="B37" s="6" t="s">
        <v>1177</v>
      </c>
      <c r="C37" s="1295"/>
    </row>
    <row r="38" spans="1:3">
      <c r="A38" s="6" t="s">
        <v>1177</v>
      </c>
      <c r="B38" s="6" t="s">
        <v>1177</v>
      </c>
      <c r="C38" s="1295"/>
    </row>
    <row r="39" spans="1:3">
      <c r="A39" s="6" t="s">
        <v>1177</v>
      </c>
      <c r="B39" s="6" t="s">
        <v>1177</v>
      </c>
      <c r="C39" s="1295"/>
    </row>
    <row r="40" spans="1:3">
      <c r="A40" s="6" t="s">
        <v>1177</v>
      </c>
      <c r="B40" s="6" t="s">
        <v>1177</v>
      </c>
      <c r="C40" s="1295"/>
    </row>
    <row r="41" spans="1:3">
      <c r="A41" s="6" t="s">
        <v>1177</v>
      </c>
      <c r="B41" s="6" t="s">
        <v>1177</v>
      </c>
      <c r="C41" s="1295"/>
    </row>
    <row r="42" spans="1:3">
      <c r="A42" s="6" t="s">
        <v>1177</v>
      </c>
      <c r="B42" s="6" t="s">
        <v>1177</v>
      </c>
      <c r="C42" s="1295"/>
    </row>
    <row r="43" spans="1:3">
      <c r="A43" s="6" t="s">
        <v>1177</v>
      </c>
      <c r="B43" s="6" t="s">
        <v>1177</v>
      </c>
      <c r="C43" s="1295"/>
    </row>
    <row r="44" spans="1:3">
      <c r="A44" s="6" t="s">
        <v>1177</v>
      </c>
      <c r="B44" s="6" t="s">
        <v>1177</v>
      </c>
      <c r="C44" s="1295"/>
    </row>
    <row r="45" spans="1:3">
      <c r="A45" s="6" t="s">
        <v>1177</v>
      </c>
      <c r="B45" s="6" t="s">
        <v>1177</v>
      </c>
      <c r="C45" s="1295"/>
    </row>
    <row r="46" spans="1:3">
      <c r="A46" s="6" t="s">
        <v>1177</v>
      </c>
      <c r="B46" s="6" t="s">
        <v>1177</v>
      </c>
      <c r="C46" s="1295"/>
    </row>
    <row r="47" spans="1:3">
      <c r="A47" s="6" t="s">
        <v>1177</v>
      </c>
      <c r="B47" s="6" t="s">
        <v>1177</v>
      </c>
      <c r="C47" s="1295"/>
    </row>
    <row r="48" spans="1:3">
      <c r="A48" s="6" t="s">
        <v>1177</v>
      </c>
      <c r="B48" s="6" t="s">
        <v>1177</v>
      </c>
      <c r="C48" s="1295"/>
    </row>
    <row r="49" spans="1:5">
      <c r="A49" s="6" t="s">
        <v>1177</v>
      </c>
      <c r="B49" s="6" t="s">
        <v>1177</v>
      </c>
      <c r="C49" s="1295"/>
    </row>
    <row r="50" spans="1:5">
      <c r="A50" s="6" t="s">
        <v>1177</v>
      </c>
      <c r="B50" s="6" t="s">
        <v>1177</v>
      </c>
      <c r="C50" s="1295"/>
    </row>
    <row r="51" spans="1:5">
      <c r="A51" s="1466" t="s">
        <v>1462</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丰台区大红门西后街甲1号“鸿都国际轻纺城”项目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46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468"/>
    </row>
    <row r="52" spans="1:5">
      <c r="A52" s="1466" t="s">
        <v>1503</v>
      </c>
      <c r="B52" s="1468" t="s">
        <v>1504</v>
      </c>
      <c r="C52" s="1467" t="s">
        <v>1505</v>
      </c>
      <c r="D52" s="1467" t="s">
        <v>1506</v>
      </c>
      <c r="E52" s="1468"/>
    </row>
    <row r="53" spans="1:5">
      <c r="A53" s="3564" t="s">
        <v>1507</v>
      </c>
      <c r="B53" s="1467" t="s">
        <v>1513</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仓储的划拨国有建设用地使用权价格。</v>
      </c>
      <c r="D53" s="1468"/>
      <c r="E53" s="1468"/>
    </row>
    <row r="54" spans="1:5">
      <c r="A54" s="3564"/>
      <c r="B54" s="1467" t="s">
        <v>1514</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468"/>
      <c r="E54" s="1468"/>
    </row>
    <row r="55" spans="1:5">
      <c r="A55" s="3564"/>
      <c r="B55" s="1467" t="s">
        <v>1508</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468"/>
      <c r="E55" s="1468"/>
    </row>
    <row r="56" spans="1:5">
      <c r="A56" s="3564"/>
      <c r="B56" s="1467" t="s">
        <v>1509</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468"/>
      <c r="E56" s="1468"/>
    </row>
    <row r="57" spans="1:5">
      <c r="A57" s="3564"/>
      <c r="B57" s="1467" t="s">
        <v>1510</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c r="A58" s="1469" t="s">
        <v>1565</v>
      </c>
      <c r="B58" s="1467" t="s">
        <v>1566</v>
      </c>
      <c r="C58" s="9" t="s">
        <v>1567</v>
      </c>
      <c r="D58" s="1121"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159</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剩余（增值收益扣减）法</vt:lpstr>
      <vt:lpstr>基准地价</vt:lpstr>
      <vt:lpstr>比较法-工业</vt:lpstr>
      <vt:lpstr>通兴房顺昌门出让-工业</vt:lpstr>
      <vt:lpstr>比较法案例位置</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比较法-工业（一级开发）</vt:lpstr>
      <vt:lpstr>土地一级开发案例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'比较法-工业（一级开发）'!Print_Area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'比较法-工业（一级开发）'!套工工程地质条件</vt:lpstr>
      <vt:lpstr>套工工程地质条件</vt:lpstr>
      <vt:lpstr>套工交易情况</vt:lpstr>
      <vt:lpstr>'比较法-工业（一级开发）'!套工开发程度</vt:lpstr>
      <vt:lpstr>套工开发程度</vt:lpstr>
      <vt:lpstr>'比较法-工业（一级开发）'!套工临街等级</vt:lpstr>
      <vt:lpstr>套工临街等级</vt:lpstr>
      <vt:lpstr>'比较法-工业（一级开发）'!套工土地级别</vt:lpstr>
      <vt:lpstr>套工土地级别</vt:lpstr>
      <vt:lpstr>'比较法-工业（一级开发）'!套工用途</vt:lpstr>
      <vt:lpstr>套工用途</vt:lpstr>
      <vt:lpstr>'比较法-工业（一级开发）'!套工宗地形状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2023-11-17T05:36:40Z</dcterms:modified>
</cp:coreProperties>
</file>