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昌平询价中行\P02结果\"/>
    </mc:Choice>
  </mc:AlternateContent>
  <xr:revisionPtr revIDLastSave="0" documentId="13_ncr:1_{3CE9D0F5-2CC9-4AC3-B693-6D3579E14A29}"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收益法" sheetId="15" r:id="rId20"/>
    <sheet name="收益法-酒店模型" sheetId="63" r:id="rId21"/>
    <sheet name="典型户型修正" sheetId="31" r:id="rId22"/>
    <sheet name="比较法-住宅" sheetId="21" r:id="rId23"/>
    <sheet name="比较法-商业" sheetId="33" r:id="rId24"/>
    <sheet name="比较法-办公" sheetId="34" r:id="rId25"/>
    <sheet name="比较法-工业" sheetId="37" r:id="rId26"/>
    <sheet name="比较法-车位" sheetId="35" r:id="rId27"/>
    <sheet name="比较法-仓储" sheetId="36" r:id="rId28"/>
    <sheet name="土地比较法-住宅、综合" sheetId="39" r:id="rId29"/>
    <sheet name="土地比较法-工业" sheetId="40"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2">'数据-取费表'!$A$1:$F$51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G20" i="1"/>
  <c r="C12" i="4"/>
  <c r="D14" i="9"/>
  <c r="B26" i="1" l="1"/>
  <c r="D2" i="4"/>
  <c r="B5" i="6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C20" i="57"/>
  <c r="D3" i="61"/>
  <c r="F5" i="61"/>
  <c r="E2" i="21"/>
  <c r="F4" i="61"/>
  <c r="E2" i="33"/>
  <c r="F6" i="61"/>
  <c r="D20" i="57"/>
  <c r="D7" i="61"/>
  <c r="E2" i="37"/>
  <c r="F3" i="61"/>
  <c r="H23" i="31"/>
  <c r="D19" i="57"/>
  <c r="E2" i="35"/>
  <c r="E2" i="34"/>
  <c r="D5" i="61"/>
  <c r="E2" i="36"/>
  <c r="F7" i="61"/>
  <c r="D6" i="61"/>
  <c r="E2" i="11"/>
  <c r="D4" i="61"/>
  <c r="C7" i="11" l="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8" i="11" l="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C19" i="9" s="1"/>
  <c r="B3" i="11"/>
  <c r="C20" i="9" s="1"/>
  <c r="C102" i="9" l="1"/>
  <c r="C101"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9" s="1"/>
  <c r="B3" i="15"/>
  <c r="D20" i="9"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02" i="9" l="1"/>
  <c r="G20" i="9"/>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E14" i="62"/>
  <c r="D28" i="62" s="1"/>
  <c r="AC7" i="40"/>
  <c r="V42" i="40" s="1"/>
  <c r="I42" i="40" s="1"/>
  <c r="I46" i="40" s="1"/>
  <c r="J46" i="40" s="1"/>
  <c r="W7" i="40"/>
  <c r="S7" i="40"/>
  <c r="AA7" i="40"/>
  <c r="R42" i="40" s="1"/>
  <c r="R43" i="40" s="1"/>
  <c r="AB7" i="40"/>
  <c r="T42" i="40" s="1"/>
  <c r="G42" i="40" s="1"/>
  <c r="G46" i="40" s="1"/>
  <c r="H46" i="40" s="1"/>
  <c r="U7" i="40"/>
  <c r="C5" i="62" l="1"/>
  <c r="C6" i="62"/>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D107" i="9"/>
  <c r="C104" i="9"/>
  <c r="H121" i="9"/>
  <c r="H4" i="52" s="1"/>
  <c r="I102" i="9" l="1"/>
  <c r="D106" i="9"/>
  <c r="D112" i="9" s="1"/>
  <c r="C103" i="9"/>
  <c r="H122" i="9"/>
  <c r="H5" i="52" s="1"/>
  <c r="D14" i="62"/>
  <c r="D28" i="50" l="1"/>
  <c r="D29" i="50" s="1"/>
  <c r="D7" i="50"/>
  <c r="B5" i="62"/>
  <c r="F14" i="62"/>
  <c r="D117" i="9"/>
  <c r="D113" i="9"/>
  <c r="N48" i="9"/>
  <c r="I110" i="9"/>
  <c r="D45" i="9"/>
  <c r="D125" i="9" l="1"/>
  <c r="D36" i="50"/>
  <c r="D37" i="50" s="1"/>
  <c r="D15" i="50"/>
  <c r="I111" i="9"/>
  <c r="D38" i="50"/>
  <c r="B62" i="60" s="1"/>
  <c r="I115" i="9"/>
  <c r="D23" i="50" s="1"/>
  <c r="B34" i="60" s="1"/>
  <c r="D44" i="50"/>
  <c r="B19" i="60"/>
  <c r="D8" i="50"/>
  <c r="B22" i="60" s="1"/>
  <c r="C78" i="9"/>
  <c r="C73" i="9" s="1"/>
  <c r="C93" i="9"/>
  <c r="C86" i="9" s="1"/>
  <c r="C64" i="9"/>
  <c r="C63" i="9" s="1"/>
  <c r="C67" i="9" s="1"/>
  <c r="C68" i="9" s="1"/>
  <c r="D54" i="9" s="1"/>
  <c r="D53" i="9"/>
  <c r="D48" i="9" s="1"/>
  <c r="N52" i="9" s="1"/>
  <c r="O57" i="9" s="1"/>
  <c r="D52" i="9"/>
  <c r="C72" i="9"/>
  <c r="C79" i="9" s="1"/>
  <c r="C85" i="9"/>
  <c r="C95" i="9" s="1"/>
  <c r="D5" i="62"/>
  <c r="D126" i="9" l="1"/>
  <c r="D9" i="52" s="1"/>
  <c r="D17" i="50"/>
  <c r="B29" i="60"/>
  <c r="D16" i="50"/>
  <c r="B30" i="60" s="1"/>
  <c r="G14" i="62"/>
  <c r="B6" i="62" s="1"/>
  <c r="D8" i="52"/>
  <c r="C96" i="9"/>
  <c r="C80" i="9"/>
  <c r="O59" i="9"/>
  <c r="O58" i="9"/>
  <c r="Q57" i="9"/>
  <c r="E80" i="9" l="1"/>
  <c r="E81" i="9" s="1"/>
  <c r="C81" i="9"/>
  <c r="E96" i="9"/>
  <c r="E97" i="9" s="1"/>
  <c r="C97" i="9"/>
  <c r="D58" i="9" s="1"/>
  <c r="D6" i="62"/>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<sst xmlns="http://schemas.openxmlformats.org/spreadsheetml/2006/main" count="6907" uniqueCount="3049">
  <si>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</si>
  <si>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</si>
  <si>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</si>
  <si>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</si>
  <si>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</si>
  <si>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</si>
  <si>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</si>
  <si>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</si>
  <si>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</si>
  <si>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</si>
  <si>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</si>
  <si>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</si>
  <si>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</si>
  <si>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</si>
  <si>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</si>
  <si>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</si>
  <si>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</si>
  <si>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</si>
  <si>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</si>
  <si>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</si>
  <si>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</si>
  <si>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</si>
  <si>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</si>
  <si>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</si>
  <si>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</si>
  <si>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</si>
  <si>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</si>
  <si>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</si>
  <si>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</si>
  <si>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</si>
  <si>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</si>
  <si>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</si>
  <si>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</si>
  <si>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</si>
  <si>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</si>
  <si>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</si>
  <si>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</si>
  <si>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</si>
  <si>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</si>
  <si>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</si>
  <si>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</si>
  <si>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</si>
  <si>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</si>
  <si>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</si>
  <si>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</si>
  <si>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</si>
  <si>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</si>
  <si>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</si>
  <si>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</si>
  <si>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</si>
  <si>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</si>
  <si>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</si>
  <si>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</si>
  <si>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</si>
  <si>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</si>
  <si>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</si>
  <si>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</si>
  <si>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</si>
  <si>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</si>
  <si>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</si>
  <si>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</si>
  <si>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</si>
  <si>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</si>
  <si>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</si>
  <si>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</si>
  <si>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</si>
  <si>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</si>
  <si>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</si>
  <si>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</si>
  <si>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</si>
  <si>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</si>
  <si>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</si>
  <si>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</si>
  <si>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</si>
  <si>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</si>
  <si>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</si>
  <si>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</si>
  <si>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</si>
  <si>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</si>
  <si>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</si>
  <si>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</si>
  <si>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</si>
  <si>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</si>
  <si>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</si>
  <si>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</si>
  <si>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</si>
  <si>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</si>
  <si>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</si>
  <si>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</si>
  <si>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</si>
  <si>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</si>
  <si>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</si>
  <si>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</si>
  <si>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</si>
  <si>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</si>
  <si>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</si>
  <si>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</si>
  <si>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</si>
  <si>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</si>
  <si>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</si>
  <si>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</si>
  <si>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</si>
  <si>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</si>
  <si>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</si>
  <si>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</si>
  <si>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</si>
  <si>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</si>
  <si>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</si>
  <si>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</si>
  <si>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</si>
  <si>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</si>
  <si>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</si>
  <si>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</si>
  <si>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</si>
  <si>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</si>
  <si>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</si>
  <si>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</si>
  <si>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</si>
  <si>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</si>
  <si>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</si>
  <si>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</si>
  <si>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</si>
  <si>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</si>
  <si>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</si>
  <si>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</si>
  <si>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</si>
  <si>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</si>
  <si>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</si>
  <si>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</si>
  <si>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</si>
  <si>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</si>
  <si>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</si>
  <si>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</si>
  <si>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</si>
  <si>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</si>
  <si>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</si>
  <si>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</si>
  <si>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</si>
  <si>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</si>
  <si>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</si>
  <si>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</si>
  <si>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</si>
  <si>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</si>
  <si>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</si>
  <si>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</si>
  <si>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</si>
  <si>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</si>
  <si>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</si>
  <si>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</si>
  <si>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</si>
  <si>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</si>
  <si>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</si>
  <si>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</si>
  <si>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</si>
  <si>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</si>
  <si>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</si>
  <si>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</si>
  <si>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</si>
  <si>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</si>
  <si>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</si>
  <si>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</si>
  <si>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</si>
  <si>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</si>
  <si>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</si>
  <si>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</si>
  <si>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</si>
  <si>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</si>
  <si>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</si>
  <si>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</si>
  <si>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</si>
  <si>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</si>
  <si>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</si>
  <si>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</si>
  <si>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</si>
  <si>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</si>
  <si>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</si>
  <si>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</si>
  <si>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</si>
  <si>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</si>
  <si>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</si>
  <si>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</si>
  <si>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</si>
  <si>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</si>
  <si>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</si>
  <si>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</si>
  <si>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</si>
  <si>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</si>
  <si>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</si>
  <si>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</si>
  <si>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</si>
  <si>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</si>
  <si>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</si>
  <si>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</si>
  <si>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</si>
  <si>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</si>
  <si>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</si>
  <si>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</si>
  <si>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</si>
  <si>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</si>
  <si>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</si>
  <si>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</si>
  <si>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</si>
  <si>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</si>
  <si>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</si>
  <si>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</si>
  <si>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</si>
  <si>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</si>
  <si>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</si>
  <si>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</si>
  <si>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</si>
  <si>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</si>
  <si>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</si>
  <si>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</si>
  <si>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</si>
  <si>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</si>
  <si>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</si>
  <si>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</si>
  <si>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</si>
  <si>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</si>
  <si>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</si>
  <si>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</si>
  <si>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</si>
  <si>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</si>
  <si>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</si>
  <si>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</si>
  <si>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</si>
  <si>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</si>
  <si>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</si>
  <si>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</si>
  <si>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</si>
  <si>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</si>
  <si>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</si>
  <si>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</si>
  <si>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</si>
  <si>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</si>
  <si>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</si>
  <si>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</si>
  <si>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</si>
  <si>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</si>
  <si>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</si>
  <si>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</si>
  <si>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</si>
  <si>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</si>
  <si>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</si>
  <si>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</si>
  <si>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</si>
  <si>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</si>
  <si>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</si>
  <si>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</si>
  <si>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</si>
  <si>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</si>
  <si>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</si>
  <si>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</si>
  <si>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</si>
  <si>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</si>
  <si>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</si>
  <si>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</si>
  <si>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</si>
  <si>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</si>
  <si>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</si>
  <si>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</si>
  <si>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</si>
  <si>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</si>
  <si>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</si>
  <si>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</si>
  <si>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</si>
  <si>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</si>
  <si>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</si>
  <si>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</si>
  <si>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</si>
  <si>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</si>
  <si>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</si>
  <si>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</si>
  <si>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</si>
  <si>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</si>
  <si>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</si>
  <si>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</si>
  <si>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</si>
  <si>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</si>
  <si>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</si>
  <si>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</si>
  <si>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</si>
  <si>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</si>
  <si>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</si>
  <si>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</si>
  <si>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</si>
  <si>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</si>
  <si>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</si>
  <si>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</si>
  <si>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</si>
  <si>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</si>
  <si>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</si>
  <si>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</si>
  <si>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</si>
  <si>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</si>
  <si>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</si>
  <si>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</si>
  <si>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</si>
  <si>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</si>
  <si>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</si>
  <si>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</si>
  <si>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</si>
  <si>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</si>
  <si>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</si>
  <si>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</si>
  <si>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</si>
  <si>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</si>
  <si>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</si>
  <si>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</si>
  <si>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</si>
  <si>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</si>
  <si>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</si>
  <si>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</si>
  <si>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</si>
  <si>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</si>
  <si>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</si>
  <si>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</si>
  <si>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</si>
  <si>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</si>
  <si>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</si>
  <si>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</si>
  <si>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</si>
  <si>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</si>
  <si>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</si>
  <si>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</si>
  <si>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</si>
  <si>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</si>
  <si>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</si>
  <si>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</si>
  <si>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</si>
  <si>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</si>
  <si>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</si>
  <si>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</si>
  <si>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</si>
  <si>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</si>
  <si>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</si>
  <si>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</si>
  <si>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</si>
  <si>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</si>
  <si>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</si>
  <si>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</si>
  <si>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</si>
  <si>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</si>
  <si>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</si>
  <si>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</si>
  <si>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</si>
  <si>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</si>
  <si>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</si>
  <si>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</si>
  <si>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</si>
  <si>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</si>
  <si>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</si>
  <si>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</si>
  <si>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</si>
  <si>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</si>
  <si>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</si>
  <si>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</si>
  <si>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</si>
  <si>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</si>
  <si>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</si>
  <si>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</si>
  <si>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</si>
  <si>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</si>
  <si>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</si>
  <si>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</si>
  <si>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</si>
  <si>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</si>
  <si>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</si>
  <si>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</si>
  <si>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</si>
  <si>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</si>
  <si>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</si>
  <si>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</si>
  <si>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</si>
  <si>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</si>
  <si>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</si>
  <si>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</si>
  <si>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</si>
  <si>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</si>
  <si>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</si>
  <si>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</si>
  <si>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</si>
  <si>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</si>
  <si>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</si>
  <si>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</si>
  <si>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</si>
  <si>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</si>
  <si>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</si>
  <si>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</si>
  <si>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</si>
  <si>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</si>
  <si>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</si>
  <si>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</si>
  <si>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</si>
  <si>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</si>
  <si>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</si>
  <si>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</si>
  <si>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</si>
  <si>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</si>
  <si>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</si>
  <si>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</si>
  <si>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</si>
  <si>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</si>
  <si>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</si>
  <si>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</si>
  <si>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</si>
  <si>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</si>
  <si>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</si>
  <si>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</si>
  <si>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</si>
  <si>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</si>
  <si>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</si>
  <si>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</si>
  <si>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</si>
  <si>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</si>
  <si>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</si>
  <si>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</si>
  <si>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</si>
  <si>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</si>
  <si>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</si>
  <si>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</si>
  <si>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</si>
  <si>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</si>
  <si>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</si>
  <si>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</si>
  <si>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</si>
  <si>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</si>
  <si>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</si>
  <si>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</si>
  <si>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</si>
  <si>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</si>
  <si>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</si>
  <si>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</si>
  <si>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</si>
  <si>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</si>
  <si>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</si>
  <si>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</si>
  <si>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</si>
  <si>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</si>
  <si>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</si>
  <si>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</si>
  <si>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</si>
  <si>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</si>
  <si>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</si>
  <si>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</si>
  <si>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</si>
  <si>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</si>
  <si>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</si>
  <si>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</si>
  <si>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</si>
  <si>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</si>
  <si>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</si>
  <si>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</si>
  <si>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</si>
  <si>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</si>
  <si>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</si>
  <si>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</si>
  <si>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</si>
  <si>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</si>
  <si>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</si>
  <si>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</si>
  <si>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</si>
  <si>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</si>
  <si>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</si>
  <si>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</si>
  <si>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</si>
  <si>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</si>
  <si>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</si>
  <si>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</si>
  <si>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</si>
  <si>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</si>
  <si>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</si>
  <si>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</si>
  <si>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</si>
  <si>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</si>
  <si>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</si>
  <si>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</si>
  <si>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</si>
  <si>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</si>
  <si>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</si>
  <si>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</si>
  <si>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</si>
  <si>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</si>
  <si>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</si>
  <si>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</si>
  <si>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</si>
  <si>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</si>
  <si>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</si>
  <si>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</si>
  <si>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</si>
  <si>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</si>
  <si>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</si>
  <si>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</si>
  <si>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</si>
  <si>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</si>
  <si>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</si>
  <si>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</si>
  <si>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</si>
  <si>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</si>
  <si>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</si>
  <si>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</si>
  <si>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</si>
  <si>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</si>
  <si>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</si>
  <si>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</si>
  <si>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</si>
  <si>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</si>
  <si>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</si>
  <si>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</si>
  <si>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</si>
  <si>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</si>
  <si>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</si>
  <si>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</si>
  <si>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</si>
  <si>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</si>
  <si>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</si>
  <si>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</si>
  <si>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</si>
  <si>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</si>
  <si>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</si>
  <si>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</si>
  <si>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</si>
  <si>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</si>
  <si>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</si>
  <si>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</si>
  <si>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</si>
  <si>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</si>
  <si>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</si>
  <si>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</si>
  <si>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</si>
  <si>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</si>
  <si>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</si>
  <si>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</si>
  <si>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</si>
  <si>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</si>
  <si>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</si>
  <si>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</si>
  <si>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</si>
  <si>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</si>
  <si>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</si>
  <si>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</si>
  <si>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</si>
  <si>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</si>
  <si>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</si>
  <si>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</si>
  <si>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</si>
  <si>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</si>
  <si>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</si>
  <si>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</si>
  <si>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</si>
  <si>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</si>
  <si>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</si>
  <si>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</si>
  <si>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</si>
  <si>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</si>
  <si>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</si>
  <si>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</si>
  <si>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</si>
  <si>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</si>
  <si>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</si>
  <si>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</si>
  <si>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</si>
  <si>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</si>
  <si>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</si>
  <si>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</si>
  <si>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</si>
  <si>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</si>
  <si>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</si>
  <si>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</si>
  <si>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</si>
  <si>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</si>
  <si>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</si>
  <si>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</si>
  <si>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</si>
  <si>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</si>
  <si>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</si>
  <si>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</si>
  <si>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</si>
  <si>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</si>
  <si>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</si>
  <si>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</si>
  <si>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</si>
  <si>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</si>
  <si>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</si>
  <si>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</si>
  <si>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</si>
  <si>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</si>
  <si>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</si>
  <si>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</si>
  <si>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</si>
  <si>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</si>
  <si>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</si>
  <si>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</si>
  <si>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</si>
  <si>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</si>
  <si>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</si>
  <si>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</si>
  <si>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</si>
  <si>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</si>
  <si>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</si>
  <si>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</si>
  <si>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</si>
  <si>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</si>
  <si>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</si>
  <si>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</si>
  <si>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</si>
  <si>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</si>
  <si>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</si>
  <si>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</si>
  <si>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</si>
  <si>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</si>
  <si>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</si>
  <si>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</si>
  <si>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</si>
  <si>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</si>
  <si>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</si>
  <si>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</si>
  <si>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</si>
  <si>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</si>
  <si>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</si>
  <si>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</si>
  <si>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</si>
  <si>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</si>
  <si>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</si>
  <si>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</si>
  <si>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</si>
  <si>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</si>
  <si>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</si>
  <si>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</si>
  <si>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</si>
  <si>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</si>
  <si>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</si>
  <si>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</si>
  <si>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</si>
  <si>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</si>
  <si>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</si>
  <si>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</si>
  <si>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</si>
  <si>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</si>
  <si>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</si>
  <si>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</si>
  <si>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</si>
  <si>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</si>
  <si>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</si>
  <si>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</si>
  <si>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</si>
  <si>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</si>
  <si>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</si>
  <si>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</si>
  <si>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</si>
  <si>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</si>
  <si>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</si>
  <si>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</si>
  <si>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</si>
  <si>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</si>
  <si>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</si>
  <si>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</si>
  <si>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</si>
  <si>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</si>
  <si>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</si>
  <si>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</si>
  <si>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</si>
  <si>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</si>
  <si>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</si>
  <si>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</si>
  <si>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</si>
  <si>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</si>
  <si>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</si>
  <si>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</si>
  <si>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</si>
  <si>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</si>
  <si>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</si>
  <si>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</si>
  <si>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</si>
  <si>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</si>
  <si>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</si>
  <si>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</si>
  <si>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</si>
  <si>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</si>
  <si>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</si>
  <si>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</si>
  <si>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</si>
  <si>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</si>
  <si>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</si>
  <si>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</si>
  <si>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</si>
  <si>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</si>
  <si>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</si>
  <si>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</si>
  <si>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</si>
  <si>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</si>
  <si>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</si>
  <si>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</si>
  <si>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</si>
  <si>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</si>
  <si>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</si>
  <si>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</si>
  <si>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</si>
  <si>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</si>
  <si>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</si>
  <si>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</si>
  <si>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</si>
  <si>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</si>
  <si>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</si>
  <si>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</si>
  <si>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</si>
  <si>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</si>
  <si>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</si>
  <si>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</si>
  <si>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</si>
  <si>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</si>
  <si>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</si>
  <si>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</si>
  <si>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</si>
  <si>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</si>
  <si>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</si>
  <si>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</si>
  <si>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</si>
  <si>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</si>
  <si>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</si>
  <si>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</si>
  <si>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</si>
  <si>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</si>
  <si>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</si>
  <si>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</si>
  <si>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</si>
  <si>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</si>
  <si>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</si>
  <si>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</si>
  <si>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</si>
  <si>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</si>
  <si>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</si>
  <si>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</si>
  <si>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</si>
  <si>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</si>
  <si>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</si>
  <si>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</si>
  <si>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</si>
  <si>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</si>
  <si>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</si>
  <si>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</si>
  <si>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</si>
  <si>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</si>
  <si>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</si>
  <si>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</si>
  <si>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</si>
  <si>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</si>
  <si>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</si>
  <si>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</si>
  <si>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</si>
  <si>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</si>
  <si>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</si>
  <si>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</si>
  <si>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</si>
  <si>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</si>
  <si>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</si>
  <si>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</si>
  <si>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</si>
  <si>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</si>
  <si>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</si>
  <si>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</si>
  <si>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</si>
  <si>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</si>
  <si>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</si>
  <si>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</si>
  <si>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</si>
  <si>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</si>
  <si>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</si>
  <si>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</si>
  <si>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</si>
  <si>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</si>
  <si>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</si>
  <si>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</si>
  <si>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</si>
  <si>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</si>
  <si>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</si>
  <si>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</si>
  <si>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</si>
  <si>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</si>
  <si>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</si>
  <si>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</si>
  <si>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</si>
  <si>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</si>
  <si>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</si>
  <si>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</si>
  <si>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</si>
  <si>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</si>
  <si>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</si>
  <si>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</si>
  <si>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</si>
  <si>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</si>
  <si>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</si>
  <si>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</si>
  <si>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</si>
  <si>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</si>
  <si>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</si>
  <si>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</si>
  <si>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</si>
  <si>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</si>
  <si>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</si>
  <si>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</si>
  <si>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</si>
  <si>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</si>
  <si>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</si>
  <si>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</si>
  <si>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</si>
  <si>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</si>
  <si>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</si>
  <si>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</si>
  <si>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</si>
  <si>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</si>
  <si>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</si>
  <si>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</si>
  <si>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</si>
  <si>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</si>
  <si>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</si>
  <si>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</si>
  <si>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</si>
  <si>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</si>
  <si>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</si>
  <si>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</si>
  <si>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</si>
  <si>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</si>
  <si>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</si>
  <si>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</si>
  <si>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</si>
  <si>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</si>
  <si>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</si>
  <si>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</si>
  <si>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</si>
  <si>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</si>
  <si>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</si>
  <si>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</si>
  <si>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</si>
  <si>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</si>
  <si>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</si>
  <si>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</si>
  <si>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</si>
  <si>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</si>
  <si>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</si>
  <si>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</si>
  <si>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</si>
  <si>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</si>
  <si>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</si>
  <si>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</si>
  <si>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</si>
  <si>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</si>
  <si>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</si>
  <si>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</si>
  <si>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</si>
  <si>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</si>
  <si>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</si>
  <si>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</si>
  <si>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</si>
  <si>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</si>
  <si>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</si>
  <si>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</si>
  <si>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</si>
  <si>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</si>
  <si>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</si>
  <si>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</si>
  <si>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</si>
  <si>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</si>
  <si>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</si>
  <si>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</si>
  <si>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</si>
  <si>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</si>
  <si>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</si>
  <si>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</si>
  <si>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</si>
  <si>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</si>
  <si>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</si>
  <si>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</si>
  <si>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</si>
  <si>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</si>
  <si>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</si>
  <si>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</si>
  <si>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</si>
  <si>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</si>
  <si>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</si>
  <si>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</si>
  <si>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</si>
  <si>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</si>
  <si>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</si>
  <si>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</si>
  <si>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</si>
  <si>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</si>
  <si>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</si>
  <si>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</si>
  <si>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</si>
  <si>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</si>
  <si>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</si>
  <si>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</si>
  <si>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</si>
  <si>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</si>
  <si>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</si>
  <si>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</si>
  <si>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</si>
  <si>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</si>
  <si>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</si>
  <si>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</si>
  <si>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</si>
  <si>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</si>
  <si>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</si>
  <si>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</si>
  <si>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</si>
  <si>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</si>
  <si>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</si>
  <si>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</si>
  <si>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</si>
  <si>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</si>
  <si>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</si>
  <si>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</si>
  <si>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</si>
  <si>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</si>
  <si>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</si>
  <si>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</si>
  <si>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</si>
  <si>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</si>
  <si>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</si>
  <si>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</si>
  <si>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</si>
  <si>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</si>
  <si>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</si>
  <si>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</si>
  <si>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</si>
  <si>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</si>
  <si>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</si>
  <si>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</si>
  <si>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</si>
  <si>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</si>
  <si>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</si>
  <si>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</si>
  <si>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</si>
  <si>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</si>
  <si>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</si>
  <si>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</si>
  <si>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</si>
  <si>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</si>
  <si>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</si>
  <si>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</si>
  <si>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</si>
  <si>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</si>
  <si>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</si>
  <si>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</si>
  <si>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</si>
  <si>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</si>
  <si>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</si>
  <si>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</si>
  <si>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</si>
  <si>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</si>
  <si>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</si>
  <si>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</si>
  <si>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</si>
  <si>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</si>
  <si>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</si>
  <si>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</si>
  <si>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</si>
  <si>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</si>
  <si>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</si>
  <si>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</si>
  <si>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</si>
  <si>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</si>
  <si>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</si>
  <si>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</si>
  <si>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</si>
  <si>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</si>
  <si>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</si>
  <si>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</si>
  <si>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</si>
  <si>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</si>
  <si>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</si>
  <si>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</si>
  <si>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</si>
  <si>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</si>
  <si>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</si>
  <si>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</si>
  <si>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</si>
  <si>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</si>
  <si>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</si>
  <si>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</si>
  <si>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</si>
  <si>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</si>
  <si>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</si>
  <si>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</si>
  <si>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</si>
  <si>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</si>
  <si>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</si>
  <si>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</si>
  <si>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</si>
  <si>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</si>
  <si>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</si>
  <si>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</si>
  <si>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</si>
  <si>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</si>
  <si>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</si>
  <si>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</si>
  <si>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</si>
  <si>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</si>
  <si>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</si>
  <si>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</si>
  <si>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</si>
  <si>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</si>
  <si>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</si>
  <si>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</si>
  <si>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</si>
  <si>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</si>
  <si>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</si>
  <si>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</si>
  <si>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</si>
  <si>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</si>
  <si>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</si>
  <si>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</si>
  <si>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</si>
  <si>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</si>
  <si>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</si>
  <si>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</si>
  <si>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</si>
  <si>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</si>
  <si>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</si>
  <si>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</si>
  <si>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</si>
  <si>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</si>
  <si>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</si>
  <si>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</si>
  <si>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</si>
  <si>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</si>
  <si>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</si>
  <si>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</si>
  <si>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</si>
  <si>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</si>
  <si>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</si>
  <si>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</si>
  <si>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</si>
  <si>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</si>
  <si>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</si>
  <si>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</si>
  <si>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</si>
  <si>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</si>
  <si>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</si>
  <si>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</si>
  <si>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</si>
  <si>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</si>
  <si>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</si>
  <si>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</si>
  <si>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</si>
  <si>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</si>
  <si>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</si>
  <si>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</si>
  <si>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</si>
  <si>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</si>
  <si>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</si>
  <si>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</si>
  <si>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</si>
  <si>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</si>
  <si>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</si>
  <si>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</si>
  <si>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</si>
  <si>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</si>
  <si>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</si>
  <si>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</si>
  <si>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</si>
  <si>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</si>
  <si>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</si>
  <si>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</si>
  <si>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</si>
  <si>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</si>
  <si>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</si>
  <si>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</si>
  <si>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</si>
  <si>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</si>
  <si>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</si>
  <si>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</si>
  <si>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</si>
  <si>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</si>
  <si>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</si>
  <si>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</si>
  <si>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</si>
  <si>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</si>
  <si>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</si>
  <si>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</si>
  <si>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</si>
  <si>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</si>
  <si>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</si>
  <si>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</si>
  <si>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</si>
  <si>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</si>
  <si>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</si>
  <si>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</si>
  <si>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</si>
  <si>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</si>
  <si>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</si>
  <si>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</si>
  <si>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</si>
  <si>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</si>
  <si>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</si>
  <si>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</si>
  <si>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</si>
  <si>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</si>
  <si>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</si>
  <si>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</si>
  <si>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</si>
  <si>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</si>
  <si>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</si>
  <si>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</si>
  <si>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</si>
  <si>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</si>
  <si>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</si>
  <si>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</si>
  <si>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</si>
  <si>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</si>
  <si>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</si>
  <si>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</si>
  <si>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</si>
  <si>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</si>
  <si>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</si>
  <si>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</si>
  <si>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</si>
  <si>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</si>
  <si>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</si>
  <si>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</si>
  <si>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</si>
  <si>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</si>
  <si>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</si>
  <si>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</si>
  <si>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</si>
  <si>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</si>
  <si>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</si>
  <si>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</si>
  <si>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</si>
  <si>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</si>
  <si>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</si>
  <si>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</si>
  <si>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</si>
  <si>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</si>
  <si>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</si>
  <si>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</si>
  <si>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</si>
  <si>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</si>
  <si>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</si>
  <si>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</si>
  <si>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</si>
  <si>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</si>
  <si>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</si>
  <si>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</si>
  <si>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</si>
  <si>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</si>
  <si>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</si>
  <si>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</si>
  <si>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</si>
  <si>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</si>
  <si>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</si>
  <si>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</si>
  <si>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</si>
  <si>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</si>
  <si>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</si>
  <si>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</si>
  <si>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</si>
  <si>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</si>
  <si>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</si>
  <si>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</si>
  <si>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</si>
  <si>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</si>
  <si>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</si>
  <si>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</si>
  <si>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</si>
  <si>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</si>
  <si>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</si>
  <si>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</si>
  <si>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</si>
  <si>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</si>
  <si>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</si>
  <si>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</si>
  <si>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</si>
  <si>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</si>
  <si>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</si>
  <si>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</si>
  <si>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</si>
  <si>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</si>
  <si>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</si>
  <si>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</si>
  <si>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</si>
  <si>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</si>
  <si>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</si>
  <si>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</si>
  <si>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</si>
  <si>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</si>
  <si>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</si>
  <si>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</si>
  <si>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</si>
  <si>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</si>
  <si>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</si>
  <si>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</si>
  <si>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</si>
  <si>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</si>
  <si>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</si>
  <si>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</si>
  <si>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</si>
  <si>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</si>
  <si>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</si>
  <si>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</si>
  <si>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</si>
  <si>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</si>
  <si>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</si>
  <si>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</si>
  <si>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</si>
  <si>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</si>
  <si>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</si>
  <si>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</si>
  <si>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</si>
  <si>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</si>
  <si>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</si>
  <si>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</si>
  <si>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</si>
  <si>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</si>
  <si>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</si>
  <si>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</si>
  <si>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</si>
  <si>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</si>
  <si>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</si>
  <si>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</si>
  <si>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</si>
  <si>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</si>
  <si>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</si>
  <si>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</si>
  <si>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</si>
  <si>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</si>
  <si>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</si>
  <si>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</si>
  <si>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</si>
  <si>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</si>
  <si>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</si>
  <si>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</si>
  <si>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</si>
  <si>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</si>
  <si>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</si>
  <si>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</si>
  <si>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</si>
  <si>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</si>
  <si>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</si>
  <si>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</si>
  <si>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</si>
  <si>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</si>
  <si>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</si>
  <si>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</si>
  <si>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</si>
  <si>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</si>
  <si>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</si>
  <si>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</si>
  <si>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</si>
  <si>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</si>
  <si>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</si>
  <si>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</si>
  <si>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</si>
  <si>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</si>
  <si>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</si>
  <si>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</si>
  <si>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</si>
  <si>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</si>
  <si>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</si>
  <si>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</si>
  <si>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</si>
  <si>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</si>
  <si>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</si>
  <si>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</si>
  <si>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</si>
  <si>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</si>
  <si>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</si>
  <si>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</si>
  <si>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</si>
  <si>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</si>
  <si>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</si>
  <si>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</si>
  <si>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</si>
  <si>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</si>
  <si>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</si>
  <si>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</si>
  <si>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</si>
  <si>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</si>
  <si>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</si>
  <si>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</si>
  <si>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</si>
  <si>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</si>
  <si>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</si>
  <si>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</si>
  <si>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</si>
  <si>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</si>
  <si>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</si>
  <si>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</si>
  <si>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</si>
  <si>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</si>
  <si>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</si>
  <si>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</si>
  <si>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</si>
  <si>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</si>
  <si>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</si>
  <si>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</si>
  <si>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</si>
  <si>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</si>
  <si>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</si>
  <si>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</si>
  <si>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</si>
  <si>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</si>
  <si>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</si>
  <si>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</si>
  <si>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</si>
  <si>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</si>
  <si>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</si>
  <si>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</si>
  <si>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</si>
  <si>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</si>
  <si>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</si>
  <si>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</si>
  <si>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</si>
  <si>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</si>
  <si>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</si>
  <si>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</si>
  <si>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</si>
  <si>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</si>
  <si>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</si>
  <si>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</si>
  <si>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</si>
  <si>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</si>
  <si>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</si>
  <si>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</si>
  <si>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</si>
  <si>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</si>
  <si>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</si>
  <si>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</si>
  <si>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</si>
  <si>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</si>
  <si>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</si>
  <si>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</si>
  <si>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</si>
  <si>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</si>
  <si>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</si>
  <si>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</si>
  <si>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</si>
  <si>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</si>
  <si>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</si>
  <si>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</si>
  <si>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</si>
  <si>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</si>
  <si>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</si>
  <si>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</si>
  <si>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</si>
  <si>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</si>
  <si>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</si>
  <si>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</si>
  <si>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</si>
  <si>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</si>
  <si>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</si>
  <si>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</si>
  <si>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</si>
  <si>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</si>
  <si>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</si>
  <si>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</si>
  <si>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</si>
  <si>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</si>
  <si>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</si>
  <si>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</si>
  <si>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</si>
  <si>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</si>
  <si>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</si>
  <si>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</si>
  <si>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</si>
  <si>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</si>
  <si>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</si>
  <si>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</si>
  <si>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</si>
  <si>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</si>
  <si>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</si>
  <si>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</si>
  <si>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</si>
  <si>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</si>
  <si>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</si>
  <si>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</si>
  <si>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</si>
  <si>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</si>
  <si>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</si>
  <si>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</si>
  <si>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</si>
  <si>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</si>
  <si>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</si>
  <si>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</si>
  <si>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</si>
  <si>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</si>
  <si>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</si>
  <si>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</si>
  <si>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</si>
  <si>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</si>
  <si>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</si>
  <si>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</si>
  <si>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</si>
  <si>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</si>
  <si>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</si>
  <si>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</si>
  <si>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</si>
  <si>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</si>
  <si>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</si>
  <si>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</si>
  <si>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</si>
  <si>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</si>
  <si>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</si>
  <si>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</si>
  <si>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</si>
  <si>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</si>
  <si>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</si>
  <si>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</si>
  <si>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</si>
  <si>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</si>
  <si>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</si>
  <si>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</si>
  <si>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</si>
  <si>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</si>
  <si>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</si>
  <si>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</si>
  <si>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</si>
  <si>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</si>
  <si>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</si>
  <si>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</si>
  <si>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</si>
  <si>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</si>
  <si>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</si>
  <si>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</si>
  <si>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</si>
  <si>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</si>
  <si>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</si>
  <si>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</si>
  <si>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</si>
  <si>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</si>
  <si>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</si>
  <si>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</si>
  <si>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</si>
  <si>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</si>
  <si>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</si>
  <si>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</si>
  <si>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</si>
  <si>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</si>
  <si>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</si>
  <si>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</si>
  <si>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</si>
  <si>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</si>
  <si>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</si>
  <si>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</si>
  <si>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</si>
  <si>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</si>
  <si>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</si>
  <si>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</si>
  <si>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</si>
  <si>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</si>
  <si>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</si>
  <si>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</si>
  <si>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</si>
  <si>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</si>
  <si>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</si>
  <si>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</si>
  <si>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</si>
  <si>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</si>
  <si>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</si>
  <si>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</si>
  <si>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</si>
  <si>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</si>
  <si>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</si>
  <si>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</si>
  <si>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</si>
  <si>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</si>
  <si>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</si>
  <si>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</si>
  <si>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</si>
  <si>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</si>
  <si>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</si>
  <si>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</si>
  <si>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</si>
  <si>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</si>
  <si>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</si>
  <si>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</si>
  <si>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</si>
  <si>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</si>
  <si>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</si>
  <si>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</si>
  <si>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</si>
  <si>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</si>
  <si>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</si>
  <si>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</si>
  <si>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</si>
  <si>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</si>
  <si>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</si>
  <si>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</si>
  <si>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</si>
  <si>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</si>
  <si>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</si>
  <si>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</si>
  <si>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</si>
  <si>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</si>
  <si>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</si>
  <si>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</si>
  <si>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</si>
  <si>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</si>
  <si>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</si>
  <si>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</si>
  <si>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</si>
  <si>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</si>
  <si>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</si>
  <si>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</si>
  <si>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</si>
  <si>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</si>
  <si>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</si>
  <si>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</si>
  <si>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</si>
  <si>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</si>
  <si>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</si>
  <si>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</si>
  <si>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</si>
  <si>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</si>
  <si>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</si>
  <si>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</si>
  <si>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</si>
  <si>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</si>
  <si>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</si>
  <si>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</si>
  <si>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</si>
  <si>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</si>
  <si>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</si>
  <si>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</si>
  <si>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</si>
  <si>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</si>
  <si>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</si>
  <si>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</si>
  <si>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</si>
  <si>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</si>
  <si>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</si>
  <si>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</si>
  <si>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</si>
  <si>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</si>
  <si>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</si>
  <si>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</si>
  <si>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</si>
  <si>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</si>
  <si>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</si>
  <si>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</si>
  <si>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</si>
  <si>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</si>
  <si>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</si>
  <si>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</si>
  <si>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</si>
  <si>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</si>
  <si>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</si>
  <si>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</si>
  <si>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</si>
  <si>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</si>
  <si>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</si>
  <si>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</si>
  <si>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</si>
  <si>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</si>
  <si>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</si>
  <si>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</si>
  <si>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</si>
  <si>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</si>
  <si>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</si>
  <si>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</si>
  <si>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</si>
  <si>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</si>
  <si>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</si>
  <si>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</si>
  <si>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</si>
  <si>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</si>
  <si>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</si>
  <si>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</si>
  <si>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</si>
  <si>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</si>
  <si>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</si>
  <si>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</si>
  <si>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</si>
  <si>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</si>
  <si>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</si>
  <si>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</si>
  <si>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</si>
  <si>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</si>
  <si>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</si>
  <si>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</si>
  <si>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</si>
  <si>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</si>
  <si>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</si>
  <si>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</si>
  <si>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</si>
  <si>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</si>
  <si>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</si>
  <si>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</si>
  <si>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</si>
  <si>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</si>
  <si>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</si>
  <si>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</si>
  <si>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</si>
  <si>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</si>
  <si>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</si>
  <si>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</si>
  <si>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</si>
  <si>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</si>
  <si>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</si>
  <si>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</si>
  <si>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</si>
  <si>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</si>
  <si>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</si>
  <si>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</si>
  <si>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</si>
  <si>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</si>
  <si>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</si>
  <si>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</si>
  <si>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</si>
  <si>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</si>
  <si>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</si>
  <si>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</si>
  <si>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</si>
  <si>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</si>
  <si>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</si>
  <si>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</si>
  <si>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</si>
  <si>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</si>
  <si>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</si>
  <si>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</si>
  <si>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</si>
  <si>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</si>
  <si>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</si>
  <si>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</si>
  <si>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</si>
  <si>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</si>
  <si>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</si>
  <si>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</si>
  <si>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</si>
  <si>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</si>
  <si>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</si>
  <si>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</si>
  <si>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</si>
  <si>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</si>
  <si>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</si>
  <si>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</si>
  <si>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</si>
  <si>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</si>
  <si>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</si>
  <si>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</si>
  <si>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</si>
  <si>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</si>
  <si>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</si>
  <si>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</si>
  <si>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</si>
  <si>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</si>
  <si>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</si>
  <si>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</si>
  <si>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</si>
  <si>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</si>
  <si>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</si>
  <si>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</si>
  <si>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</si>
  <si>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</si>
  <si>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</si>
  <si>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</si>
  <si>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</si>
  <si>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</si>
  <si>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</si>
  <si>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</si>
  <si>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</si>
  <si>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</si>
  <si>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</si>
  <si>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</si>
  <si>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</si>
  <si>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</si>
  <si>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</si>
  <si>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</si>
  <si>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</si>
  <si>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</si>
  <si>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</si>
  <si>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</si>
  <si>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</si>
  <si>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</si>
  <si>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</si>
  <si>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</si>
  <si>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</si>
  <si>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</si>
  <si>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</si>
  <si>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</si>
  <si>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</si>
  <si>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</si>
  <si>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</si>
  <si>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</si>
  <si>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</si>
  <si>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</si>
  <si>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</si>
  <si>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</si>
  <si>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</si>
  <si>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</si>
  <si>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</si>
  <si>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</si>
  <si>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</si>
  <si>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</si>
  <si>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</si>
  <si>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</si>
  <si>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</si>
  <si>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</si>
  <si>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</si>
  <si>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</si>
  <si>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</si>
  <si>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</si>
  <si>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</si>
  <si>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</si>
  <si>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</si>
  <si>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</si>
  <si>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</si>
  <si>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</si>
  <si>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</si>
  <si>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</si>
  <si>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</si>
  <si>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</si>
  <si>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</si>
  <si>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</si>
  <si>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</si>
  <si>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</si>
  <si>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</si>
  <si>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</si>
  <si>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</si>
  <si>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</si>
  <si>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</si>
  <si>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</si>
  <si>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</si>
  <si>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</si>
  <si>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</si>
  <si>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</si>
  <si>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</si>
  <si>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</si>
  <si>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</si>
  <si>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</si>
  <si>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</si>
  <si>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</si>
  <si>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</si>
  <si>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</si>
  <si>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</si>
  <si>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</si>
  <si>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</si>
  <si>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</si>
  <si>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</si>
  <si>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</si>
  <si>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</si>
  <si>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</si>
  <si>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</si>
  <si>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</si>
  <si>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</si>
  <si>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</si>
  <si>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</si>
  <si>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</si>
  <si>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</si>
  <si>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</si>
  <si>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</si>
  <si>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</si>
  <si>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</si>
  <si>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</si>
  <si>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</si>
  <si>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</si>
  <si>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</si>
  <si>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</si>
  <si>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</si>
  <si>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</si>
  <si>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</si>
  <si>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</si>
  <si>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</si>
  <si>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</si>
  <si>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</si>
  <si>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</si>
  <si>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</si>
  <si>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</si>
  <si>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</si>
  <si>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</si>
  <si>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</si>
  <si>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</si>
  <si>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</si>
  <si>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</si>
  <si>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</si>
  <si>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</si>
  <si>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</si>
  <si>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</si>
  <si>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</si>
  <si>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</si>
  <si>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</si>
  <si>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</si>
  <si>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</si>
  <si>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</si>
  <si>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</si>
  <si>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</si>
  <si>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</si>
  <si>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</si>
  <si>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</si>
  <si>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</si>
  <si>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</si>
  <si>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</si>
  <si>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</si>
  <si>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</si>
  <si>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</si>
  <si>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</si>
  <si>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</si>
  <si>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</si>
  <si>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</si>
  <si>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</si>
  <si>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</si>
  <si>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</si>
  <si>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</si>
  <si>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</si>
  <si>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</si>
  <si>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</si>
  <si>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</si>
  <si>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</si>
  <si>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</si>
  <si>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</si>
  <si>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</si>
  <si>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</si>
  <si>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</si>
  <si>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</si>
  <si>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</si>
  <si>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</si>
  <si>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</si>
  <si>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</si>
  <si>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</si>
  <si>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</si>
  <si>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</si>
  <si>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</si>
  <si>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</si>
  <si>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</si>
  <si>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</si>
  <si>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</si>
  <si>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</si>
  <si>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</si>
  <si>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</si>
  <si>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</si>
  <si>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</si>
  <si>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</si>
  <si>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</si>
  <si>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</si>
  <si>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</si>
  <si>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</si>
  <si>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</si>
  <si>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</si>
  <si>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</si>
  <si>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</si>
  <si>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</si>
  <si>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</si>
  <si>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</si>
  <si>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</si>
  <si>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</si>
  <si>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</si>
  <si>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</si>
  <si>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</si>
  <si>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</si>
  <si>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</si>
  <si>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</si>
  <si>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</si>
  <si>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</si>
  <si>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</si>
  <si>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</si>
  <si>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</si>
  <si>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</si>
  <si>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</si>
  <si>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</si>
  <si>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</si>
  <si>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</si>
  <si>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</si>
  <si>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</si>
  <si>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</si>
  <si>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</si>
  <si>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</si>
  <si>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</si>
  <si>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</si>
  <si>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</si>
  <si>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</si>
  <si>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</si>
  <si>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</si>
  <si>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</si>
  <si>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</si>
  <si>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</si>
  <si>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</si>
  <si>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</si>
  <si>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</si>
  <si>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</si>
  <si>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</si>
  <si>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</si>
  <si>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</si>
  <si>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</si>
  <si>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</si>
  <si>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</si>
  <si>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</si>
  <si>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</si>
  <si>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</si>
  <si>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</si>
  <si>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</si>
  <si>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</si>
  <si>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</si>
  <si>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</si>
  <si>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</si>
  <si>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</si>
  <si>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</si>
  <si>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</si>
  <si>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</si>
  <si>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</si>
  <si>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</si>
  <si>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</si>
  <si>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</si>
  <si>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</si>
  <si>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</si>
  <si>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</si>
  <si>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</si>
  <si>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</si>
  <si>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</si>
  <si>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</si>
  <si>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</si>
  <si>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</si>
  <si>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</si>
  <si>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</si>
  <si>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</si>
  <si>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</si>
  <si>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</si>
  <si>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</si>
  <si>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</si>
  <si>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</si>
  <si>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</si>
  <si>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</si>
  <si>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</si>
  <si>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</si>
  <si>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</si>
  <si>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</si>
  <si>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</si>
  <si>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</si>
  <si>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</si>
  <si>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</si>
  <si>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</si>
  <si>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</si>
  <si>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</si>
  <si>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</si>
  <si>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</si>
  <si>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</si>
  <si>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</si>
  <si>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</si>
  <si>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</si>
  <si>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</si>
  <si>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</si>
  <si>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</si>
  <si>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</si>
  <si>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</si>
  <si>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</si>
  <si>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</si>
  <si>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</si>
  <si>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</si>
  <si>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</si>
  <si>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</si>
  <si>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</si>
  <si>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</si>
  <si>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</si>
  <si>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</si>
  <si>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</si>
  <si>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</si>
  <si>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</si>
  <si>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</si>
  <si>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</si>
  <si>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</si>
  <si>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</si>
  <si>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</si>
  <si>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</si>
  <si>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</si>
  <si>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</si>
  <si>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</si>
  <si>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</si>
  <si>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</si>
  <si>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</si>
  <si>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</si>
  <si>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</si>
  <si>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</si>
  <si>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</si>
  <si>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</si>
  <si>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</si>
  <si>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</si>
  <si>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</si>
  <si>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</si>
  <si>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</si>
  <si>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</si>
  <si>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</si>
  <si>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</si>
  <si>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</si>
  <si>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</si>
  <si>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</si>
  <si>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</si>
  <si>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</si>
  <si>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</si>
  <si>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</si>
  <si>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</si>
  <si>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</si>
  <si>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</si>
  <si>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</si>
  <si>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</si>
  <si>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</si>
  <si>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</si>
  <si>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</si>
  <si>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</si>
  <si>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</si>
  <si>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</si>
  <si>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</si>
  <si>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</si>
  <si>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</si>
  <si>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</si>
  <si>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</si>
  <si>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</si>
  <si>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</si>
  <si>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</si>
  <si>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</si>
  <si>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</si>
  <si>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</si>
  <si>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</si>
  <si>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</si>
  <si>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</si>
  <si>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</si>
  <si>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</si>
  <si>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</si>
  <si>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</si>
  <si>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</si>
  <si>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</si>
  <si>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</si>
  <si>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</si>
  <si>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</si>
  <si>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</si>
  <si>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</si>
  <si>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</si>
  <si>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</si>
  <si>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</si>
  <si>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</si>
  <si>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</si>
  <si>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</si>
  <si>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</si>
  <si>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</si>
  <si>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</si>
  <si>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</si>
  <si>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</si>
  <si>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</si>
  <si>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</si>
  <si>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</si>
  <si>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</si>
  <si>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</si>
  <si>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</si>
  <si>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</si>
  <si>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</si>
  <si>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</si>
  <si>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</si>
  <si>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</si>
  <si>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</si>
  <si>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</si>
  <si>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</si>
  <si>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</si>
  <si>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</si>
  <si>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</si>
  <si>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</si>
  <si>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</si>
  <si>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</si>
  <si>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</si>
  <si>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</si>
  <si>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</si>
  <si>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</si>
  <si>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</si>
  <si>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</si>
  <si>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</si>
  <si>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</si>
  <si>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</si>
  <si>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</si>
  <si>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</si>
  <si>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</si>
  <si>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</si>
  <si>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</si>
  <si>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</si>
  <si>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</si>
  <si>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</si>
  <si>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</si>
  <si>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</si>
  <si>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</si>
  <si>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</si>
  <si>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</si>
  <si>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</si>
  <si>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</si>
  <si>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</si>
  <si>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</si>
  <si>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</si>
  <si>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</si>
  <si>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</si>
  <si>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</si>
  <si>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</si>
  <si>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</si>
  <si>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</si>
  <si>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</si>
  <si>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</si>
  <si>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</si>
  <si>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</si>
  <si>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</si>
  <si>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</si>
  <si>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</si>
  <si>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</si>
  <si>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</si>
  <si>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</si>
  <si>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</si>
  <si>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</si>
  <si>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</si>
  <si>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</si>
  <si>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</si>
  <si>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</si>
  <si>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</si>
  <si>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</si>
  <si>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</si>
  <si>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</si>
  <si>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</si>
  <si>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</si>
  <si>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</si>
  <si>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</si>
  <si>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</si>
  <si>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</si>
  <si>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</si>
  <si>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</si>
  <si>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</si>
  <si>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</si>
  <si>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</si>
  <si>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</si>
  <si>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</si>
  <si>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</si>
  <si>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</si>
  <si>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</si>
  <si>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</si>
  <si>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</si>
  <si>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</si>
  <si>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</si>
  <si>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</si>
  <si>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</si>
  <si>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</si>
  <si>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</si>
  <si>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</si>
  <si>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</si>
  <si>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</si>
  <si>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</si>
  <si>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</si>
  <si>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</si>
  <si>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</si>
  <si>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</si>
  <si>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</si>
  <si>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</si>
  <si>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</si>
  <si>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</si>
  <si>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</si>
  <si>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</si>
  <si>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</si>
  <si>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</si>
  <si>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</si>
  <si>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</si>
  <si>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</si>
  <si>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</si>
  <si>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</si>
  <si>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</si>
  <si>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</si>
  <si>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</si>
  <si>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</si>
  <si>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</si>
  <si>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</si>
  <si>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</si>
  <si>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</si>
  <si>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</si>
  <si>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</si>
  <si>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</si>
  <si>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</si>
  <si>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</si>
  <si>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</si>
  <si>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</si>
  <si>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</si>
  <si>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</si>
  <si>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</si>
  <si>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</si>
  <si>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</si>
  <si>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</si>
  <si>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</si>
  <si>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</si>
  <si>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</si>
  <si>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</si>
  <si>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</si>
  <si>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</si>
  <si>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</si>
  <si>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</si>
  <si>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</si>
  <si>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</si>
  <si>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</si>
  <si>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</si>
  <si>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</si>
  <si>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</si>
  <si>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</si>
  <si>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</si>
  <si>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</si>
  <si>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</si>
  <si>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</si>
  <si>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</si>
  <si>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</si>
  <si>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</si>
  <si>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</si>
  <si>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</si>
  <si>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</si>
  <si>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</si>
  <si>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</si>
  <si>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</si>
  <si>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</si>
  <si>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</si>
  <si>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</si>
  <si>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</si>
  <si>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</si>
  <si>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</si>
  <si>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</si>
  <si>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</si>
  <si>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</si>
  <si>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</si>
  <si>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</si>
  <si>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</si>
  <si>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</si>
  <si>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</si>
  <si>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</si>
  <si>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</si>
  <si>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</si>
  <si>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</si>
  <si>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</si>
  <si>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</si>
  <si>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</si>
  <si>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</si>
  <si>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</si>
  <si>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</si>
  <si>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</si>
  <si>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</si>
  <si>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</si>
  <si>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</si>
  <si>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</si>
  <si>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</si>
  <si>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</si>
  <si>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</si>
  <si>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</si>
  <si>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</si>
  <si>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</si>
  <si>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</si>
  <si>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</si>
  <si>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</si>
  <si>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</si>
  <si>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</si>
  <si>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</si>
  <si>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</si>
  <si>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</si>
  <si>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</si>
  <si>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</si>
  <si>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</si>
  <si>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</si>
  <si>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</si>
  <si>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</si>
  <si>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</si>
  <si>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</si>
  <si>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</si>
  <si>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</si>
  <si>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</si>
  <si>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</si>
  <si>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</si>
  <si>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</si>
  <si>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</si>
  <si>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</si>
  <si>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</si>
  <si>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</si>
  <si>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</si>
  <si>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</si>
  <si>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</si>
  <si>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</si>
  <si>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</si>
  <si>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</si>
  <si>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</si>
  <si>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</si>
  <si>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</si>
  <si>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</si>
  <si>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</si>
  <si>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</si>
  <si>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</si>
  <si>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</si>
  <si>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</si>
  <si>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</si>
  <si>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</si>
  <si>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</si>
  <si>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</si>
  <si>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</si>
  <si>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</si>
  <si>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</si>
  <si>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</si>
  <si>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</si>
  <si>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</si>
  <si>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</si>
  <si>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</si>
  <si>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</si>
  <si>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</si>
  <si>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</si>
  <si>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</si>
  <si>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</si>
  <si>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</si>
  <si>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</si>
  <si>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</si>
  <si>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</si>
  <si>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</si>
  <si>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</si>
  <si>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</si>
  <si>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</si>
  <si>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</si>
  <si>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</si>
  <si>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</si>
  <si>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</si>
  <si>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</si>
  <si>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</si>
  <si>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</si>
  <si>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</si>
  <si>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</si>
  <si>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</si>
  <si>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</si>
  <si>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</si>
  <si>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</si>
  <si>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</si>
  <si>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</si>
  <si>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</si>
  <si>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</si>
  <si>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</si>
  <si>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</si>
  <si>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</si>
  <si>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</si>
  <si>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</si>
  <si>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</si>
  <si>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</si>
  <si>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</si>
  <si>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</si>
  <si>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</si>
  <si>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</si>
  <si>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</si>
  <si>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</si>
  <si>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</si>
  <si>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</si>
  <si>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</si>
  <si>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</si>
  <si>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</si>
  <si>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</si>
  <si>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</si>
  <si>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</si>
  <si>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</si>
  <si>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</si>
  <si>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</si>
  <si>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</si>
  <si>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</si>
  <si>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</si>
  <si>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</si>
  <si>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</si>
  <si>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</si>
  <si>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</si>
  <si>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</si>
  <si>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</si>
  <si>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</si>
  <si>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</si>
  <si>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</si>
  <si>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</si>
  <si>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</si>
  <si>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</si>
  <si>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</si>
  <si>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</si>
  <si>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</si>
  <si>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</si>
  <si>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</si>
  <si>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</si>
  <si>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</si>
  <si>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</si>
  <si>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</si>
  <si>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</si>
  <si>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</si>
  <si>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</si>
  <si>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</si>
  <si>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</si>
  <si>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</si>
  <si>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</si>
  <si>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</si>
  <si>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</si>
  <si>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</si>
  <si>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</si>
  <si>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</si>
  <si>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</si>
  <si>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</si>
  <si>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</si>
  <si>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</si>
  <si>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</si>
  <si>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</si>
  <si>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</si>
  <si>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</si>
  <si>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</si>
  <si>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</si>
  <si>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</si>
  <si>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</si>
  <si>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</si>
  <si>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</si>
  <si>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</si>
  <si>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</si>
  <si>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</si>
  <si>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</si>
  <si>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</si>
  <si>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</si>
  <si>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</si>
  <si>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</si>
  <si>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</si>
  <si>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</si>
  <si>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</si>
  <si>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</si>
  <si>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</si>
  <si>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</si>
  <si>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</si>
  <si>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</si>
  <si>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</si>
  <si>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</si>
  <si>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</si>
  <si>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</si>
  <si>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</si>
  <si>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</si>
  <si>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</si>
  <si>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</si>
  <si>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</si>
  <si>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</si>
  <si>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</si>
  <si>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</si>
  <si>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</si>
  <si>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</si>
  <si>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</si>
  <si>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</si>
  <si>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</si>
  <si>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</si>
  <si>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</si>
  <si>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</si>
  <si>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</si>
  <si>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</si>
  <si>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</si>
  <si>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</si>
  <si>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</si>
  <si>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</si>
  <si>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</si>
  <si>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</si>
  <si>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</si>
  <si>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</si>
  <si>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</si>
  <si>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</si>
  <si>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</si>
  <si>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</si>
  <si>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</si>
  <si>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</si>
  <si>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</si>
  <si>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</si>
  <si>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</si>
  <si>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</si>
  <si>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</si>
  <si>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</si>
  <si>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</si>
  <si>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</si>
  <si>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</si>
  <si>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</si>
  <si>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</si>
  <si>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</si>
  <si>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</si>
  <si>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</si>
  <si>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</si>
  <si>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</si>
  <si>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</si>
  <si>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</si>
  <si>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</si>
  <si>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</si>
  <si>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</si>
  <si>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</si>
  <si>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</si>
  <si>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</si>
  <si>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</si>
  <si>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</si>
  <si>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</si>
  <si>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</si>
  <si>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</si>
  <si>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</si>
  <si>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</si>
  <si>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</si>
  <si>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</si>
  <si>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</si>
  <si>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</si>
  <si>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</si>
  <si>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</si>
  <si>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</si>
  <si>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</si>
  <si>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</si>
  <si>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</si>
  <si>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</si>
  <si>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</si>
  <si>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</si>
  <si>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</si>
  <si>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</si>
  <si>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</si>
  <si>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</si>
  <si>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</si>
  <si>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</si>
  <si>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</si>
  <si>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</si>
  <si>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</si>
  <si>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</si>
  <si>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</si>
  <si>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</si>
  <si>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</si>
  <si>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</si>
  <si>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</si>
  <si>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</si>
  <si>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</si>
  <si>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</si>
  <si>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</si>
  <si>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</si>
  <si>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</si>
  <si>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</si>
  <si>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</si>
  <si>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</si>
  <si>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</si>
  <si>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</si>
  <si>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</si>
  <si>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</si>
  <si>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</si>
  <si>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</si>
  <si>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</si>
  <si>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</si>
  <si>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</si>
  <si>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</si>
  <si>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</si>
  <si>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</si>
  <si>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</si>
  <si>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</si>
  <si>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</si>
  <si>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</si>
  <si>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</si>
  <si>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</si>
  <si>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</si>
  <si>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</si>
  <si>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</si>
  <si>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</si>
  <si>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</si>
  <si>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</si>
  <si>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</si>
  <si>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</si>
  <si>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</si>
  <si>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</si>
  <si>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</si>
  <si>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</si>
  <si>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</si>
  <si>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</si>
  <si>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</si>
  <si>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</si>
  <si>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</si>
  <si>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</si>
  <si>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</si>
  <si>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</si>
  <si>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</si>
  <si>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</si>
  <si>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</si>
  <si>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</si>
  <si>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</si>
  <si>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</si>
  <si>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</si>
  <si>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</si>
  <si>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</si>
  <si>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</si>
  <si>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</si>
  <si>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</si>
  <si>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</si>
  <si>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</si>
  <si>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</si>
  <si>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</si>
  <si>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</si>
  <si>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</si>
  <si>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</si>
  <si>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</si>
  <si>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</si>
  <si>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</si>
  <si>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</si>
  <si>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</si>
  <si>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</si>
  <si>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</si>
  <si>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</si>
  <si>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</si>
  <si>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</si>
  <si>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</si>
  <si>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</si>
  <si>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</si>
  <si>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</si>
  <si>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</si>
  <si>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</si>
  <si>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</si>
  <si>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</si>
  <si>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</si>
  <si>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</si>
  <si>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</si>
  <si>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</si>
  <si>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</si>
  <si>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</si>
  <si>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</si>
  <si>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</si>
  <si>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</si>
  <si>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</si>
  <si>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</si>
  <si>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</si>
  <si>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</si>
  <si>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</si>
  <si>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</si>
  <si>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</si>
  <si>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</si>
  <si>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</si>
  <si>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</si>
  <si>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</si>
  <si>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</si>
  <si>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</si>
  <si>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</si>
  <si>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</si>
  <si>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</si>
  <si>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</si>
  <si>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</si>
  <si>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</si>
  <si>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</si>
  <si>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</si>
  <si>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</si>
  <si>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</si>
  <si>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</si>
  <si>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</si>
  <si>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</si>
  <si>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</si>
  <si>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</si>
  <si>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</si>
  <si>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</si>
  <si>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</si>
  <si>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</si>
  <si>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</si>
  <si>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</si>
  <si>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</si>
  <si>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</si>
  <si>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</si>
  <si>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</si>
  <si>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</si>
  <si>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</si>
  <si>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</si>
  <si>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</si>
  <si>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</si>
  <si>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</si>
  <si>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</si>
  <si>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</si>
  <si>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</si>
  <si>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</si>
  <si>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</si>
  <si>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</si>
  <si>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</si>
  <si>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</si>
  <si>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</si>
  <si>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</si>
  <si>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</si>
  <si>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</si>
  <si>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</si>
  <si>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</si>
  <si>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</si>
  <si>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</si>
  <si>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</si>
  <si>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</si>
  <si>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</si>
  <si>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</si>
  <si>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</si>
  <si>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</si>
  <si>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</si>
  <si>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</si>
  <si>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</si>
  <si>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</si>
  <si>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</si>
  <si>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</si>
  <si>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</si>
  <si>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</si>
  <si>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</si>
  <si>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</si>
  <si>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</si>
  <si>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</si>
  <si>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</si>
  <si>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</si>
  <si>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</si>
  <si>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</si>
  <si>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</si>
  <si>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</si>
  <si>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</si>
  <si>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</si>
  <si>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</si>
  <si>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</si>
  <si>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</si>
  <si>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</si>
  <si>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</si>
  <si>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</si>
  <si>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</si>
  <si>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</si>
  <si>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</si>
  <si>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</si>
  <si>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</si>
  <si>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</si>
  <si>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</si>
  <si>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</si>
  <si>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</si>
  <si>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</si>
  <si>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</si>
  <si>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</si>
  <si>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</si>
  <si>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</si>
  <si>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</si>
  <si>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</si>
  <si>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</si>
  <si>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</si>
  <si>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</si>
  <si>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</si>
  <si>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</si>
  <si>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</si>
  <si>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</si>
  <si>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</si>
  <si>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</si>
  <si>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</si>
  <si>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</si>
  <si>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</si>
  <si>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</si>
  <si>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</si>
  <si>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</si>
  <si>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</si>
  <si>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</si>
  <si>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</si>
  <si>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</si>
  <si>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</si>
  <si>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</si>
  <si>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</si>
  <si>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</si>
  <si>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</si>
  <si>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</si>
  <si>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</si>
  <si>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</si>
  <si>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</si>
  <si>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</si>
  <si>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</si>
  <si>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</si>
  <si>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</si>
  <si>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</si>
  <si>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</si>
  <si>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</si>
  <si>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</si>
  <si>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</si>
  <si>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</si>
  <si>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</si>
  <si>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</si>
  <si>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</si>
  <si>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</si>
  <si>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</si>
  <si>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</si>
  <si>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</si>
  <si>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</si>
  <si>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</si>
  <si>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</si>
  <si>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</si>
  <si>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</si>
  <si>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</si>
  <si>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</si>
  <si>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</si>
  <si>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</si>
  <si>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</si>
  <si>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</si>
  <si>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</si>
  <si>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</si>
  <si>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</si>
  <si>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</si>
  <si>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</si>
  <si>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</si>
  <si>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</si>
  <si>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</si>
  <si>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</si>
  <si>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</si>
  <si>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</si>
  <si>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</si>
  <si>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</si>
  <si>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</si>
  <si>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</si>
  <si>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</si>
  <si>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</si>
  <si>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</si>
  <si>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</si>
  <si>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</si>
  <si>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</si>
  <si>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</si>
  <si>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</si>
  <si>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</si>
  <si>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</si>
  <si>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</si>
  <si>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</si>
  <si>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</si>
  <si>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</si>
  <si>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</si>
  <si>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</si>
  <si>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</si>
  <si>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</si>
  <si>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</si>
  <si>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</si>
  <si>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</si>
  <si>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</si>
  <si>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</si>
  <si>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</si>
  <si>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</si>
  <si>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</si>
  <si>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</si>
  <si>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</si>
  <si>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</si>
  <si>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</si>
  <si>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</si>
  <si>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</si>
  <si>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</si>
  <si>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</si>
  <si>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</si>
  <si>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</si>
  <si>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</si>
  <si>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</si>
  <si>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</si>
  <si>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</si>
  <si>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</si>
  <si>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</si>
  <si>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</si>
  <si>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</si>
  <si>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</si>
  <si>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</si>
  <si>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</si>
  <si>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</si>
  <si>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</si>
  <si>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</si>
  <si>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</si>
  <si>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</si>
  <si>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</si>
  <si>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</si>
  <si>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</si>
  <si>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</si>
  <si>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</si>
  <si>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</si>
  <si>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</si>
  <si>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</si>
  <si>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</si>
  <si>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</si>
  <si>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</si>
  <si>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</si>
  <si>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</si>
  <si>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</si>
  <si>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</si>
  <si>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</si>
  <si>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</si>
  <si>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</si>
  <si>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</si>
  <si>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</si>
  <si>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</si>
  <si>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</si>
  <si>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</si>
  <si>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</si>
  <si>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</si>
  <si>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</si>
  <si>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</si>
  <si>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</si>
  <si>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</si>
  <si>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</si>
  <si>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</si>
  <si>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</si>
  <si>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</si>
  <si>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</si>
  <si>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</si>
  <si>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</si>
  <si>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</si>
  <si>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</si>
  <si>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</si>
  <si>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</si>
  <si>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</si>
  <si>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</si>
  <si>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</si>
  <si>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</si>
  <si>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</si>
  <si>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</si>
  <si>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</si>
  <si>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</si>
  <si>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</si>
  <si>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</si>
  <si>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</si>
  <si>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</si>
  <si>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</si>
  <si>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</si>
  <si>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</si>
  <si>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</si>
  <si>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</si>
  <si>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</si>
  <si>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</si>
  <si>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</si>
  <si>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</si>
  <si>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</si>
  <si>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</si>
  <si>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</si>
  <si>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</si>
  <si>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</si>
  <si>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</si>
  <si>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</si>
  <si>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</si>
  <si>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</si>
  <si>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</si>
  <si>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</si>
  <si>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</si>
  <si>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</si>
  <si>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</si>
  <si>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</si>
  <si>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</si>
  <si>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</si>
  <si>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</si>
  <si>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</si>
  <si>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</si>
  <si>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</si>
  <si>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</si>
  <si>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</si>
  <si>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</si>
  <si>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</si>
  <si>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</si>
  <si>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</si>
  <si>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</si>
  <si>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</si>
  <si>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</si>
  <si>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</si>
  <si>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</si>
  <si>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</si>
  <si>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</si>
  <si>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</si>
  <si>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</si>
  <si>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</si>
  <si>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</si>
  <si>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</si>
  <si>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</si>
  <si>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</si>
  <si>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</si>
  <si>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</si>
  <si>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</si>
  <si>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</si>
  <si>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</si>
  <si>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</si>
  <si>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</si>
  <si>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</si>
  <si>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</si>
  <si>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</si>
  <si>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</si>
  <si>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</si>
  <si>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</si>
  <si>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</si>
  <si>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</si>
  <si>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</si>
  <si>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</si>
  <si>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</si>
  <si>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</si>
  <si>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</si>
  <si>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</si>
  <si>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</si>
  <si>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</si>
  <si>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</si>
  <si>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</si>
  <si>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</si>
  <si>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</si>
  <si>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</si>
  <si>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</si>
  <si>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</si>
  <si>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</si>
  <si>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</si>
  <si>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</si>
  <si>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</si>
  <si>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</si>
  <si>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</si>
  <si>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</si>
  <si>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</si>
  <si>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</si>
  <si>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</si>
  <si>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</si>
  <si>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</si>
  <si>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</si>
  <si>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</si>
  <si>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</si>
  <si>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</si>
  <si>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</si>
  <si>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</si>
  <si>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</si>
  <si>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</si>
  <si>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</si>
  <si>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</si>
  <si>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</si>
  <si>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</si>
  <si>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</si>
  <si>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</si>
  <si>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</si>
  <si>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</si>
  <si>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</si>
  <si>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</si>
  <si>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</si>
  <si>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</si>
  <si>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</si>
  <si>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</si>
  <si>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</si>
  <si>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</si>
  <si>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</si>
  <si>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</si>
  <si>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</si>
  <si>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</si>
  <si>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</si>
  <si>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</si>
  <si>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</si>
  <si>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</si>
  <si>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</si>
  <si>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</si>
  <si>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</si>
  <si>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</si>
  <si>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</si>
  <si>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</si>
  <si>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</si>
  <si>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</si>
  <si>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</si>
  <si>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</si>
  <si>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</si>
  <si>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</si>
  <si>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</si>
  <si>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</si>
  <si>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</si>
  <si>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</si>
  <si>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</si>
  <si>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</si>
  <si>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</si>
  <si>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</si>
  <si>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</si>
  <si>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</si>
  <si>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</si>
  <si>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</si>
  <si>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</si>
  <si>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负2层</t>
    <phoneticPr fontId="146" type="noConversion"/>
  </si>
  <si>
    <t>建筑面积</t>
    <phoneticPr fontId="146" type="noConversion"/>
  </si>
  <si>
    <r>
      <t>1层</t>
    </r>
    <r>
      <rPr>
        <sz val="11"/>
        <color theme="1"/>
        <rFont val="宋体"/>
        <family val="3"/>
        <charset val="134"/>
        <scheme val="minor"/>
      </rPr>
      <t>4-30</t>
    </r>
    <phoneticPr fontId="146" type="noConversion"/>
  </si>
  <si>
    <r>
      <t>1层4-</t>
    </r>
    <r>
      <rPr>
        <sz val="11"/>
        <color theme="1"/>
        <rFont val="宋体"/>
        <family val="3"/>
        <charset val="134"/>
        <scheme val="minor"/>
      </rPr>
      <t>29</t>
    </r>
    <phoneticPr fontId="146" type="noConversion"/>
  </si>
  <si>
    <t>北京市</t>
  </si>
  <si>
    <t>企业</t>
  </si>
  <si>
    <t>万元</t>
  </si>
  <si>
    <t>楼面单价</t>
  </si>
  <si>
    <t>商业</t>
  </si>
  <si>
    <t>无租约</t>
  </si>
  <si>
    <t>否</t>
  </si>
  <si>
    <t>利息：取LPR加浮动点数</t>
  </si>
  <si>
    <t>钢混</t>
  </si>
  <si>
    <t>非生产用房</t>
  </si>
  <si>
    <t>已包含在土地取得成本中</t>
  </si>
  <si>
    <t>未包含在土地购买价格中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</si>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</sst>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9" fontId="42" fillId="20"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13322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估价对象为北京市房地产，为XX所有。根据《》[]，估价对象建筑面积为52.28平方米。根据《》[]，估价对象（分摊）出让国有建设用地使用权面积为平方米。估价对象用途为。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2022年6月17日（评估专业人员实地查勘之日）</v>
      </c>
    </row>
    <row r="10" spans="1:2">
      <c r="A10" s="1139" t="s">
        <v>865</v>
      </c>
      <c r="B10" s="1126" t="str">
        <f>'预评函-1'!A13</f>
        <v>本次估价的“房地产价值”是指在正常市场情况下，在价值时点2022年6月17日，估价对象规划用途为，假定未设立法定优先受偿款下的房地产市场价值。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52.28</v>
      </c>
    </row>
    <row r="19" spans="1:2">
      <c r="A19" s="1139" t="s">
        <v>874</v>
      </c>
      <c r="B19" s="1126">
        <f ca="1">'预评函-2（1）'!D7</f>
        <v>136</v>
      </c>
    </row>
    <row r="20" spans="1:2">
      <c r="A20" s="1139" t="s">
        <v>912</v>
      </c>
      <c r="B20" s="1126" t="str">
        <f>'预评函-2（1）'!C7</f>
        <v>总价（万元）</v>
      </c>
    </row>
    <row r="21" spans="1:2">
      <c r="A21" s="1139" t="s">
        <v>875</v>
      </c>
      <c r="B21" s="1126">
        <f ca="1">'预评函-2（1）'!D9</f>
        <v>26085</v>
      </c>
    </row>
    <row r="22" spans="1:2">
      <c r="A22" s="1139" t="s">
        <v>876</v>
      </c>
      <c r="B22" s="1126" t="str">
        <f ca="1">'预评函-2（1）'!D8</f>
        <v>壹佰叁拾陆万元整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136</v>
      </c>
    </row>
    <row r="30" spans="1:2">
      <c r="A30" s="1139" t="s">
        <v>882</v>
      </c>
      <c r="B30" s="1126" t="str">
        <f ca="1">'预评函-2（1）'!D16</f>
        <v>壹佰叁拾陆万元整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112</v>
      </c>
    </row>
    <row r="38" spans="1:2">
      <c r="A38" s="1139" t="s">
        <v>890</v>
      </c>
      <c r="B38" s="1126">
        <f ca="1">'预评函-2（2）'!E4</f>
        <v>21338</v>
      </c>
    </row>
    <row r="39" spans="1:2">
      <c r="A39" s="1139" t="s">
        <v>891</v>
      </c>
      <c r="B39" s="1126" t="str">
        <f ca="1">'预评函-2（2）'!D5</f>
        <v>壹佰壹拾贰万元整</v>
      </c>
    </row>
    <row r="40" spans="1:2">
      <c r="A40" s="1139" t="s">
        <v>892</v>
      </c>
      <c r="B40" s="1126">
        <f ca="1">'预评函-2（2）'!F4</f>
        <v>25</v>
      </c>
    </row>
    <row r="41" spans="1:2">
      <c r="A41" s="1139" t="s">
        <v>893</v>
      </c>
      <c r="B41" s="1126">
        <f ca="1">'预评函-2（2）'!G4</f>
        <v>4747</v>
      </c>
    </row>
    <row r="42" spans="1:2" s="1136" customFormat="1" ht="15.75" thickBot="1">
      <c r="A42" s="1140" t="s">
        <v>894</v>
      </c>
      <c r="B42" s="1128" t="str">
        <f ca="1">'预评函-2（2）'!F5</f>
        <v>贰拾伍万元整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26085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v>44729</v>
      </c>
      <c r="C2" s="2808" t="s">
        <v>1291</v>
      </c>
      <c r="D2" s="2510">
        <f>B2</f>
        <v>44729</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2479</v>
      </c>
      <c r="C4" s="2809" t="s">
        <v>1294</v>
      </c>
      <c r="D4" s="1357"/>
      <c r="E4" s="782"/>
      <c r="F4" s="782"/>
      <c r="G4" s="1121"/>
    </row>
    <row r="5" spans="1:17">
      <c r="A5" s="1358" t="s">
        <v>1295</v>
      </c>
      <c r="B5" s="1359" t="s">
        <v>2480</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5" t="s">
        <v>3035</v>
      </c>
      <c r="C6" s="2516" t="s">
        <v>2481</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3036</v>
      </c>
      <c r="C7" s="1453" t="str">
        <f>IF(B7="自然人","姓名","名称")</f>
        <v>名称</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4" t="s">
        <v>1306</v>
      </c>
      <c r="F9" s="2522"/>
      <c r="G9" s="2523"/>
    </row>
    <row r="10" spans="1:17" ht="13.5" thickBot="1">
      <c r="A10" s="3376"/>
      <c r="B10" s="259" t="s">
        <v>1307</v>
      </c>
      <c r="C10" s="3391"/>
      <c r="D10" s="3392"/>
      <c r="E10" s="2815" t="s">
        <v>1308</v>
      </c>
      <c r="F10" s="2524"/>
      <c r="G10" s="2525"/>
    </row>
    <row r="11" spans="1:17" ht="13.5" thickBot="1">
      <c r="A11" s="3376"/>
      <c r="B11" s="1370" t="s">
        <v>1309</v>
      </c>
      <c r="C11" s="3393"/>
      <c r="D11" s="3394"/>
      <c r="E11" s="769"/>
      <c r="F11" s="769"/>
      <c r="G11" s="788"/>
    </row>
    <row r="12" spans="1:17" ht="13.5" thickBot="1">
      <c r="A12" s="3380" t="s">
        <v>2587</v>
      </c>
      <c r="B12" s="2816" t="s">
        <v>1310</v>
      </c>
      <c r="C12" s="766">
        <f>信息!B3</f>
        <v>52.28</v>
      </c>
      <c r="D12" s="1371" t="s">
        <v>1311</v>
      </c>
      <c r="E12" s="1372"/>
      <c r="F12" s="1373"/>
      <c r="G12" s="788"/>
    </row>
    <row r="13" spans="1:17" ht="21" customHeight="1" thickBot="1">
      <c r="A13" s="3381"/>
      <c r="B13" s="2817" t="s">
        <v>1312</v>
      </c>
      <c r="C13" s="767"/>
      <c r="D13" s="1374" t="s">
        <v>1313</v>
      </c>
      <c r="E13" s="1375"/>
      <c r="F13" s="769"/>
      <c r="G13" s="788"/>
      <c r="I13" s="3399"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2588</v>
      </c>
      <c r="C14" s="2527"/>
      <c r="D14" s="769"/>
      <c r="E14" s="769"/>
      <c r="F14" s="769"/>
      <c r="G14" s="788"/>
      <c r="I14" s="3399"/>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8"/>
      <c r="B15" s="2818" t="s">
        <v>1315</v>
      </c>
      <c r="C15" s="784"/>
      <c r="D15" s="783"/>
      <c r="E15" s="783"/>
      <c r="F15" s="783"/>
      <c r="G15" s="1122"/>
      <c r="I15" s="3399"/>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0"/>
    </row>
    <row r="17" spans="1:66" ht="13.5" customHeight="1">
      <c r="A17" s="1383" t="s">
        <v>1319</v>
      </c>
      <c r="B17" s="3395" t="s">
        <v>1320</v>
      </c>
      <c r="C17" s="3396"/>
      <c r="D17" s="3397" t="s">
        <v>1321</v>
      </c>
      <c r="E17" s="3398"/>
      <c r="F17" s="1378" t="s">
        <v>1322</v>
      </c>
      <c r="G17" s="1379"/>
      <c r="J17" s="2820"/>
    </row>
    <row r="18" spans="1:66" ht="24">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8" t="s">
        <v>2586</v>
      </c>
      <c r="B24" s="3408"/>
      <c r="C24" s="3408"/>
      <c r="D24" s="3408"/>
      <c r="E24" s="3408"/>
      <c r="F24" s="3408"/>
      <c r="G24" s="3408"/>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3" t="s">
        <v>1334</v>
      </c>
      <c r="D28" s="3384"/>
      <c r="E28" s="759"/>
      <c r="F28" s="761" t="s">
        <v>1334</v>
      </c>
      <c r="G28" s="759"/>
      <c r="K28" s="2821"/>
    </row>
    <row r="29" spans="1:66">
      <c r="A29" s="762" t="s">
        <v>1335</v>
      </c>
      <c r="B29" s="756"/>
      <c r="C29" s="3385" t="s">
        <v>1336</v>
      </c>
      <c r="D29" s="3386"/>
      <c r="E29" s="756"/>
      <c r="F29" s="762" t="s">
        <v>1336</v>
      </c>
      <c r="G29" s="756"/>
      <c r="K29" s="2821"/>
    </row>
    <row r="30" spans="1:66">
      <c r="A30" s="762" t="s">
        <v>1337</v>
      </c>
      <c r="B30" s="756"/>
      <c r="C30" s="3385" t="s">
        <v>1337</v>
      </c>
      <c r="D30" s="3386"/>
      <c r="E30" s="756"/>
      <c r="F30" s="762" t="s">
        <v>1338</v>
      </c>
      <c r="G30" s="756"/>
      <c r="K30" s="2821"/>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DEFD7-F963-41BC-A9EB-C1256FAE6DD3}">
  <dimension ref="A1:B5"/>
  <sheetViews>
    <sheetView workbookViewId="0">
      <selection activeCell="E17" sqref="E17"/>
    </sheetView>
  </sheetViews>
  <sheetFormatPr defaultRowHeight="13.5"/>
  <sheetData>
    <row r="1" spans="1:2">
      <c r="B1" s="1269" t="s">
        <v>3032</v>
      </c>
    </row>
    <row r="2" spans="1:2">
      <c r="A2" s="1269" t="s">
        <v>3031</v>
      </c>
      <c r="B2">
        <v>153.44</v>
      </c>
    </row>
    <row r="3" spans="1:2">
      <c r="A3" s="1269" t="s">
        <v>3033</v>
      </c>
      <c r="B3">
        <v>52.28</v>
      </c>
    </row>
    <row r="4" spans="1:2">
      <c r="A4" s="1269" t="s">
        <v>3034</v>
      </c>
      <c r="B4">
        <v>52.28</v>
      </c>
    </row>
    <row r="5" spans="1:2">
      <c r="B5">
        <f>SUM(B2:B4)</f>
        <v>258</v>
      </c>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06" customWidth="1"/>
    <col min="2" max="2" width="16.75" style="2552" customWidth="1"/>
    <col min="3" max="3" width="18.25" style="2592" customWidth="1"/>
    <col min="4" max="4" width="34.125" style="2607" customWidth="1"/>
    <col min="5" max="5" width="17.625" style="2607" customWidth="1"/>
    <col min="6" max="6" width="15.5" style="2551"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2"/>
  </cols>
  <sheetData>
    <row r="1" spans="1:41" ht="19.5" thickBot="1">
      <c r="A1" s="2839" t="s">
        <v>1379</v>
      </c>
      <c r="B1" s="905"/>
      <c r="D1" s="2551"/>
      <c r="E1" s="2551"/>
    </row>
    <row r="2" spans="1:41" s="2555" customFormat="1" ht="15.75" thickBot="1">
      <c r="A2" s="2840" t="s">
        <v>1380</v>
      </c>
      <c r="B2" s="2841">
        <f>项目基本情况!D2</f>
        <v>44729</v>
      </c>
      <c r="C2" s="1613"/>
      <c r="D2" s="3411"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3037</v>
      </c>
      <c r="C3" s="1613"/>
      <c r="D3" s="3412"/>
      <c r="E3" s="2557" t="s">
        <v>3041</v>
      </c>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3038</v>
      </c>
      <c r="C4" s="1613"/>
      <c r="D4" s="3412"/>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52.28</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3039</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40</v>
      </c>
      <c r="C11" s="1613"/>
      <c r="D11" s="2846" t="s">
        <v>1392</v>
      </c>
      <c r="E11" s="2567">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2569">
        <v>56216</v>
      </c>
      <c r="C12" s="1613"/>
      <c r="D12" s="2847"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31.47</v>
      </c>
      <c r="C13" s="2884"/>
      <c r="D13" s="2850" t="s">
        <v>1397</v>
      </c>
      <c r="E13" s="2571">
        <f>成本法!C10</f>
        <v>10456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0.91500000000000004</v>
      </c>
      <c r="C14" s="1613"/>
      <c r="D14" s="2852"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3">
        <v>0.05</v>
      </c>
      <c r="C15" s="2481"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5.5E-2</v>
      </c>
      <c r="C16" s="2481" t="s">
        <v>2598</v>
      </c>
      <c r="D16" s="2854"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2595</v>
      </c>
      <c r="B17" s="3006">
        <v>7.4999999999999997E-2</v>
      </c>
      <c r="C17" s="2481" t="s">
        <v>2599</v>
      </c>
      <c r="D17" s="2843"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c r="C18" s="1613"/>
      <c r="D18" s="2856" t="str">
        <f>IF(B26=0,"建安总额","在建建安")</f>
        <v>建安总额</v>
      </c>
      <c r="E18" s="2857">
        <f>ROUND(B5*E17*IF(B26=0,1,E20),0)</f>
        <v>182980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8">
        <v>0.9</v>
      </c>
      <c r="F20" s="905"/>
      <c r="G20" s="1613">
        <f>54/60</f>
        <v>0.9</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7">
        <v>0</v>
      </c>
      <c r="C21" s="1613"/>
      <c r="D21" s="2847" t="s">
        <v>1410</v>
      </c>
      <c r="E21" s="2580">
        <v>0.03</v>
      </c>
      <c r="F21" s="2590"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9">
        <v>2</v>
      </c>
      <c r="C22" s="1613"/>
      <c r="D22" s="2847" t="s">
        <v>1412</v>
      </c>
      <c r="E22" s="2583">
        <v>0</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2">
        <v>2</v>
      </c>
      <c r="C23" s="1613"/>
      <c r="D23" s="2847" t="s">
        <v>1414</v>
      </c>
      <c r="E23" s="2570">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2</v>
      </c>
      <c r="C24" s="1613"/>
      <c r="D24" s="2854" t="s">
        <v>1416</v>
      </c>
      <c r="E24" s="2584">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80">
        <v>0.03</v>
      </c>
      <c r="F25" s="2590" t="s">
        <v>2604</v>
      </c>
      <c r="I25" s="2885"/>
    </row>
    <row r="26" spans="1:41" ht="15" thickBot="1">
      <c r="A26" s="2863" t="s">
        <v>1417</v>
      </c>
      <c r="B26" s="2867">
        <f>B22-B23</f>
        <v>0</v>
      </c>
      <c r="D26" s="2847" t="s">
        <v>1420</v>
      </c>
      <c r="E26" s="2583">
        <v>0.03</v>
      </c>
      <c r="F26" s="2590" t="s">
        <v>2604</v>
      </c>
      <c r="G26" s="2886"/>
      <c r="H26" s="2886"/>
      <c r="I26" s="1613"/>
      <c r="J26" s="1613"/>
      <c r="K26" s="1613"/>
      <c r="L26" s="1613"/>
      <c r="M26" s="1613"/>
      <c r="N26" s="1613"/>
    </row>
    <row r="27" spans="1:41" ht="15.75" thickBot="1">
      <c r="A27" s="2868" t="s">
        <v>1419</v>
      </c>
      <c r="B27" s="2585">
        <v>2016</v>
      </c>
      <c r="C27" s="1613"/>
      <c r="D27" s="3073" t="s">
        <v>3042</v>
      </c>
      <c r="E27" s="2869">
        <f ca="1">IF(D27="利息：取LPR",存贷款利率!G1,存贷款利率!G1+F27)</f>
        <v>4.2000000000000003E-2</v>
      </c>
      <c r="F27" s="3074">
        <v>5.0000000000000001E-3</v>
      </c>
      <c r="G27" s="2886"/>
      <c r="H27" s="2886"/>
      <c r="K27" s="1613"/>
      <c r="N27" s="1613"/>
    </row>
    <row r="28" spans="1:41" ht="15" thickBot="1">
      <c r="A28" s="905"/>
      <c r="B28" s="905"/>
      <c r="D28" s="2850" t="s">
        <v>1422</v>
      </c>
      <c r="E28" s="3324">
        <v>0.2</v>
      </c>
      <c r="G28" s="2886"/>
      <c r="H28" s="2886"/>
      <c r="K28" s="1613"/>
      <c r="N28" s="1613"/>
    </row>
    <row r="29" spans="1:41" ht="14.25">
      <c r="A29" s="2870" t="s">
        <v>1421</v>
      </c>
      <c r="B29" s="2586" t="s">
        <v>3040</v>
      </c>
      <c r="D29" s="2852" t="s">
        <v>1423</v>
      </c>
      <c r="E29" s="2871">
        <f>E30+E31</f>
        <v>5.5000000000000007E-2</v>
      </c>
      <c r="F29" s="1238"/>
      <c r="G29" s="2886"/>
      <c r="H29" s="2886"/>
      <c r="K29" s="1613"/>
      <c r="N29" s="1613"/>
    </row>
    <row r="30" spans="1:41" ht="14.25">
      <c r="A30" s="2847" t="str">
        <f>IF(B29="租赁期内按合同租金","合同租金","市场租金")</f>
        <v>市场租金</v>
      </c>
      <c r="B30" s="2587">
        <v>5</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3">
        <v>0.03</v>
      </c>
      <c r="D32" s="2854" t="s">
        <v>1429</v>
      </c>
      <c r="E32" s="2589">
        <v>0.05</v>
      </c>
      <c r="F32" s="2590" t="s">
        <v>2491</v>
      </c>
      <c r="G32" s="2886"/>
      <c r="H32" s="2886"/>
      <c r="K32" s="1613"/>
      <c r="L32" s="1613"/>
      <c r="M32" s="1613"/>
      <c r="N32" s="1613"/>
    </row>
    <row r="33" spans="1:14" ht="14.25">
      <c r="A33" s="2847" t="s">
        <v>1428</v>
      </c>
      <c r="B33" s="2573">
        <v>0.1</v>
      </c>
      <c r="D33" s="2854" t="s">
        <v>1431</v>
      </c>
      <c r="E33" s="2588">
        <v>0.03</v>
      </c>
      <c r="F33" s="1237" t="s">
        <v>1432</v>
      </c>
      <c r="G33" s="2886"/>
      <c r="H33" s="2886"/>
      <c r="K33" s="1613"/>
      <c r="L33" s="1613"/>
      <c r="M33" s="1613"/>
      <c r="N33" s="1613"/>
    </row>
    <row r="34" spans="1:14" s="2592" customFormat="1" ht="14.25">
      <c r="A34" s="2847" t="s">
        <v>1430</v>
      </c>
      <c r="B34" s="2875">
        <f>收益法!J54</f>
        <v>31.47</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25">
      <c r="A40" s="2847" t="str">
        <f>IF(B29="租赁期内按合同租金","成新率","——")</f>
        <v>——</v>
      </c>
      <c r="B40" s="2573"/>
      <c r="D40" s="2879" t="s">
        <v>1444</v>
      </c>
      <c r="E40" s="2883">
        <f>SUMIF(D42:D51,E41,E42:E51)</f>
        <v>0</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1.4999999999999999E-2</v>
      </c>
      <c r="C45" s="2481" t="s">
        <v>2602</v>
      </c>
      <c r="D45" s="2600" t="s">
        <v>1456</v>
      </c>
      <c r="E45" s="2587"/>
      <c r="F45" s="1239">
        <v>12</v>
      </c>
      <c r="G45" s="2592"/>
      <c r="H45" s="2592"/>
      <c r="M45" s="1613"/>
      <c r="N45" s="1613"/>
    </row>
    <row r="46" spans="1:14" ht="14.25">
      <c r="A46" s="2847" t="s">
        <v>1455</v>
      </c>
      <c r="B46" s="2602">
        <v>1.5E-3</v>
      </c>
      <c r="C46" s="2481" t="s">
        <v>2600</v>
      </c>
      <c r="D46" s="2600" t="s">
        <v>1218</v>
      </c>
      <c r="E46" s="2587"/>
      <c r="F46" s="1239">
        <v>3</v>
      </c>
      <c r="G46" s="2592"/>
      <c r="H46" s="2592"/>
      <c r="M46" s="1613"/>
      <c r="N46" s="1613"/>
    </row>
    <row r="47" spans="1:14" ht="15" thickBot="1">
      <c r="A47" s="2850" t="s">
        <v>1457</v>
      </c>
      <c r="B47" s="2603">
        <v>0.01</v>
      </c>
      <c r="C47" s="2481" t="s">
        <v>2601</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5"/>
  </cols>
  <sheetData>
    <row r="1" spans="1:29" s="2613" customFormat="1" ht="19.5" thickBot="1">
      <c r="A1" s="3413" t="s">
        <v>1463</v>
      </c>
      <c r="B1" s="3414"/>
      <c r="C1" s="3414"/>
      <c r="D1" s="3414"/>
      <c r="E1" s="3414"/>
      <c r="F1" s="3414"/>
      <c r="G1" s="3414"/>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8"/>
  <sheetViews>
    <sheetView tabSelected="1" view="pageBreakPreview" zoomScale="80" zoomScaleNormal="100" zoomScaleSheetLayoutView="80" workbookViewId="0">
      <selection activeCell="D29" sqref="D29"/>
    </sheetView>
  </sheetViews>
  <sheetFormatPr defaultColWidth="14.625" defaultRowHeight="13.5"/>
  <cols>
    <col min="1" max="1" width="24.375" style="2501" customWidth="1"/>
    <col min="2" max="16384" width="14.625" style="2501"/>
  </cols>
  <sheetData>
    <row r="1" spans="1:9" ht="16.5">
      <c r="A1" s="2499" t="s">
        <v>973</v>
      </c>
      <c r="B1" s="2499">
        <f>SUM(B14:B23)</f>
        <v>52.28</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44729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136</v>
      </c>
      <c r="C5" s="2499">
        <f ca="1">E14</f>
        <v>26085</v>
      </c>
      <c r="D5" s="2499" t="e">
        <f ca="1">ROUND(B5*10000/$B$2,0)</f>
        <v>#DIV/0!</v>
      </c>
      <c r="E5" s="1562"/>
      <c r="F5" s="2500"/>
      <c r="G5" s="2500"/>
    </row>
    <row r="6" spans="1:9" ht="16.5">
      <c r="A6" s="2499" t="s">
        <v>981</v>
      </c>
      <c r="B6" s="2499">
        <f ca="1">SUM(G14:G23)</f>
        <v>136</v>
      </c>
      <c r="C6" s="2499">
        <f ca="1">E14</f>
        <v>26085</v>
      </c>
      <c r="D6" s="2499" t="e">
        <f t="shared" ref="D6:D8" ca="1" si="0">ROUND(B6*10000/$B$2,0)</f>
        <v>#DIV/0!</v>
      </c>
      <c r="E6" s="1562"/>
      <c r="F6" s="2500"/>
      <c r="G6" s="2500"/>
    </row>
    <row r="7" spans="1:9" ht="16.5">
      <c r="A7" s="2499" t="s">
        <v>982</v>
      </c>
      <c r="B7" s="2499">
        <f>SUM(H14:H23)</f>
        <v>0</v>
      </c>
      <c r="C7" s="2499">
        <f>ROUND(B7*10000/$B$1,0)</f>
        <v>0</v>
      </c>
      <c r="D7" s="2499" t="e">
        <f t="shared" si="0"/>
        <v>#DIV/0!</v>
      </c>
      <c r="E7" s="1562"/>
      <c r="F7" s="2500"/>
      <c r="G7" s="2500"/>
    </row>
    <row r="8" spans="1:9" ht="16.5">
      <c r="A8" s="2499" t="s">
        <v>983</v>
      </c>
      <c r="B8" s="2499">
        <f>SUM(I14:I23)</f>
        <v>0</v>
      </c>
      <c r="C8" s="2499">
        <f t="shared" ref="C6:C8" si="1">ROUND(B8*10000/$B$1,0)</f>
        <v>0</v>
      </c>
      <c r="D8" s="2499" t="e">
        <f t="shared" si="0"/>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3030</v>
      </c>
      <c r="B14" s="2834">
        <f>项目基本情况!C12</f>
        <v>52.28</v>
      </c>
      <c r="C14" s="2834">
        <f>项目基本情况!C13</f>
        <v>0</v>
      </c>
      <c r="D14" s="2834">
        <f ca="1">IF('数据-取费表'!B3="万元",IF(A14="估价对象1（结果表）",结果表!H121,'结果表 (1修多)'!H125),IF(A14="估价对象1（结果表）",结果表!H121,'结果表 (1修多)'!H125)/10000)</f>
        <v>136</v>
      </c>
      <c r="E14" s="2834">
        <f ca="1">结果表!G20</f>
        <v>26085</v>
      </c>
      <c r="F14" s="2834" t="e">
        <f ca="1">ROUND(D14*10000/C14,0)</f>
        <v>#DIV/0!</v>
      </c>
      <c r="G14" s="2834">
        <f ca="1">IF('数据-取费表'!B3="万元",IF(A14="估价对象1（结果表）",结果表!D125,'结果表 (1修多)'!D129),IF(A14="估价对象1（结果表）",结果表!D125,'结果表 (1修多)'!D129)/10000)</f>
        <v>136</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row r="28" spans="1:9">
      <c r="D28" s="2501">
        <f ca="1">E14*B14</f>
        <v>1363723.8</v>
      </c>
    </row>
  </sheetData>
  <sheetProtection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64" zoomScale="80" zoomScaleNormal="100" zoomScaleSheetLayoutView="80" zoomScalePageLayoutView="80" workbookViewId="0">
      <selection activeCell="F37" sqref="F37"/>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北京市预评估</v>
      </c>
      <c r="B2" s="3486"/>
      <c r="C2" s="3486"/>
      <c r="D2" s="3486"/>
      <c r="E2" s="3486"/>
      <c r="F2" s="3486"/>
      <c r="G2" s="3486"/>
      <c r="H2" s="3486"/>
      <c r="I2" s="3486"/>
      <c r="J2" s="2761"/>
    </row>
    <row r="3" spans="1:15" ht="12.75">
      <c r="A3" s="3491" t="s">
        <v>1471</v>
      </c>
      <c r="B3" s="3492"/>
      <c r="C3" s="3492"/>
      <c r="D3" s="3492"/>
      <c r="E3" s="3492"/>
      <c r="F3" s="3492"/>
      <c r="G3" s="3492"/>
      <c r="H3" s="3492"/>
      <c r="I3" s="3492"/>
      <c r="J3" s="2762"/>
    </row>
    <row r="4" spans="1:15" ht="14.25">
      <c r="A4" s="2630" t="s">
        <v>1472</v>
      </c>
      <c r="B4" s="2630" t="s">
        <v>1473</v>
      </c>
      <c r="C4" s="2631" t="s">
        <v>3047</v>
      </c>
      <c r="D4" s="2631" t="s">
        <v>3048</v>
      </c>
      <c r="E4" s="3488" t="s">
        <v>1474</v>
      </c>
      <c r="F4" s="3476"/>
      <c r="G4" s="3476"/>
      <c r="H4" s="3476"/>
      <c r="I4" s="3477"/>
      <c r="J4" s="2763"/>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3"/>
    </row>
    <row r="6" spans="1:15" ht="12.75">
      <c r="A6" s="3487"/>
      <c r="B6" s="3487"/>
      <c r="C6" s="3494"/>
      <c r="D6" s="3490"/>
      <c r="E6" s="12" t="s">
        <v>1477</v>
      </c>
      <c r="F6" s="2017"/>
      <c r="G6" s="2017"/>
      <c r="H6" s="2017"/>
      <c r="I6" s="2012"/>
      <c r="J6" s="2763"/>
    </row>
    <row r="7" spans="1:15" ht="12.75">
      <c r="A7" s="3487"/>
      <c r="B7" s="3487"/>
      <c r="C7" s="3495"/>
      <c r="D7" s="3490"/>
      <c r="E7" s="12" t="s">
        <v>1478</v>
      </c>
      <c r="F7" s="2017"/>
      <c r="G7" s="2017"/>
      <c r="H7" s="2017"/>
      <c r="I7" s="2012"/>
      <c r="J7" s="2763"/>
    </row>
    <row r="8" spans="1:15" ht="12.75">
      <c r="A8" s="3487" t="s">
        <v>1479</v>
      </c>
      <c r="B8" s="3487">
        <v>15</v>
      </c>
      <c r="C8" s="3493"/>
      <c r="D8" s="3490"/>
      <c r="E8" s="12" t="s">
        <v>1480</v>
      </c>
      <c r="F8" s="2017"/>
      <c r="G8" s="2017"/>
      <c r="H8" s="2017"/>
      <c r="I8" s="2012"/>
      <c r="J8" s="2763"/>
    </row>
    <row r="9" spans="1:15" ht="12.75">
      <c r="A9" s="3487"/>
      <c r="B9" s="3487"/>
      <c r="C9" s="3495"/>
      <c r="D9" s="3490"/>
      <c r="E9" s="12" t="s">
        <v>1481</v>
      </c>
      <c r="F9" s="2017"/>
      <c r="G9" s="2017"/>
      <c r="H9" s="2017"/>
      <c r="I9" s="2012"/>
      <c r="J9" s="2763"/>
    </row>
    <row r="10" spans="1:15" ht="12.75">
      <c r="A10" s="3487" t="s">
        <v>1482</v>
      </c>
      <c r="B10" s="3487">
        <v>15</v>
      </c>
      <c r="C10" s="3493"/>
      <c r="D10" s="3490"/>
      <c r="E10" s="12" t="s">
        <v>1483</v>
      </c>
      <c r="F10" s="2017"/>
      <c r="G10" s="2017"/>
      <c r="H10" s="2017"/>
      <c r="I10" s="2012"/>
      <c r="J10" s="2763"/>
    </row>
    <row r="11" spans="1:15" ht="12.75">
      <c r="A11" s="3487"/>
      <c r="B11" s="3487"/>
      <c r="C11" s="3495"/>
      <c r="D11" s="3490"/>
      <c r="E11" s="12" t="s">
        <v>1484</v>
      </c>
      <c r="F11" s="2017"/>
      <c r="G11" s="2017"/>
      <c r="H11" s="2017"/>
      <c r="I11" s="2012"/>
      <c r="J11" s="2763"/>
    </row>
    <row r="12" spans="1:15" ht="12.75">
      <c r="A12" s="3487" t="s">
        <v>1485</v>
      </c>
      <c r="B12" s="3487">
        <v>15</v>
      </c>
      <c r="C12" s="3493"/>
      <c r="D12" s="3490"/>
      <c r="E12" s="12" t="s">
        <v>1486</v>
      </c>
      <c r="F12" s="2017"/>
      <c r="G12" s="2017"/>
      <c r="H12" s="2017"/>
      <c r="I12" s="2012"/>
      <c r="J12" s="2763"/>
    </row>
    <row r="13" spans="1:15" ht="12.75">
      <c r="A13" s="3487"/>
      <c r="B13" s="3487"/>
      <c r="C13" s="3495"/>
      <c r="D13" s="3490"/>
      <c r="E13" s="12" t="s">
        <v>1487</v>
      </c>
      <c r="F13" s="2017"/>
      <c r="G13" s="2017"/>
      <c r="H13" s="2017"/>
      <c r="I13" s="2012"/>
      <c r="J13" s="2763"/>
    </row>
    <row r="14" spans="1:15" ht="12.75">
      <c r="A14" s="3487" t="s">
        <v>1488</v>
      </c>
      <c r="B14" s="3487">
        <v>30</v>
      </c>
      <c r="C14" s="3493">
        <v>5</v>
      </c>
      <c r="D14" s="3490">
        <f>10-C14</f>
        <v>5</v>
      </c>
      <c r="E14" s="12" t="s">
        <v>1489</v>
      </c>
      <c r="F14" s="2017"/>
      <c r="G14" s="2017"/>
      <c r="H14" s="2017"/>
      <c r="I14" s="2012"/>
      <c r="J14" s="2763"/>
    </row>
    <row r="15" spans="1:15" ht="12.75">
      <c r="A15" s="3487"/>
      <c r="B15" s="3487"/>
      <c r="C15" s="3494"/>
      <c r="D15" s="3490"/>
      <c r="E15" s="12" t="s">
        <v>1490</v>
      </c>
      <c r="F15" s="2017"/>
      <c r="G15" s="2017"/>
      <c r="H15" s="2017"/>
      <c r="I15" s="2012"/>
      <c r="J15" s="2763"/>
    </row>
    <row r="16" spans="1:15" ht="12.75">
      <c r="A16" s="3487"/>
      <c r="B16" s="3487"/>
      <c r="C16" s="3495"/>
      <c r="D16" s="3490"/>
      <c r="E16" s="12" t="s">
        <v>1491</v>
      </c>
      <c r="F16" s="2017"/>
      <c r="G16" s="2017"/>
      <c r="H16" s="2017"/>
      <c r="I16" s="2012"/>
      <c r="J16" s="2763"/>
    </row>
    <row r="17" spans="1:36" ht="15">
      <c r="A17" s="2632" t="s">
        <v>1492</v>
      </c>
      <c r="B17" s="2022"/>
      <c r="C17" s="2633">
        <f>SUM(C5:C16)</f>
        <v>5</v>
      </c>
      <c r="D17" s="2633">
        <f>SUM(D5:D16)</f>
        <v>5</v>
      </c>
      <c r="E17" s="2481"/>
      <c r="F17" s="2481"/>
      <c r="G17" s="2481"/>
      <c r="H17" s="2481"/>
      <c r="I17" s="2481"/>
      <c r="J17" s="2764"/>
    </row>
    <row r="18" spans="1:36" ht="30" customHeight="1" thickBot="1">
      <c r="A18" s="2634" t="s">
        <v>1493</v>
      </c>
      <c r="B18" s="2635"/>
      <c r="C18" s="2636">
        <f>ROUND(C17/SUM(C17:D17),2)</f>
        <v>0.5</v>
      </c>
      <c r="D18" s="2636">
        <f>1-C18</f>
        <v>0.5</v>
      </c>
      <c r="E18" s="3507" t="s">
        <v>2576</v>
      </c>
      <c r="F18" s="3508"/>
      <c r="G18" s="3508"/>
      <c r="H18" s="3508"/>
      <c r="I18" s="3508"/>
      <c r="J18" s="2764"/>
    </row>
    <row r="19" spans="1:36" ht="15">
      <c r="A19" s="2637" t="s">
        <v>1494</v>
      </c>
      <c r="B19" s="2638" t="s">
        <v>1495</v>
      </c>
      <c r="C19" s="2639">
        <f ca="1">SUMIF(INDIRECT("'"&amp;C4&amp;"'"&amp;"!A:A"),结果表!B19,INDIRECT("'"&amp;C4&amp;"'"&amp;"!B:B"))</f>
        <v>131</v>
      </c>
      <c r="D19" s="2640">
        <f ca="1">SUMIF(INDIRECT("'"&amp;D4&amp;"'"&amp;"!A:A"),结果表!B19,INDIRECT("'"&amp;D4&amp;"'"&amp;"!B:B"))</f>
        <v>141</v>
      </c>
      <c r="E19" s="2637" t="s">
        <v>1496</v>
      </c>
      <c r="F19" s="2638" t="s">
        <v>1495</v>
      </c>
      <c r="G19" s="2641">
        <f ca="1">ROUND(C19*$C$18+D19*$D$18,0)</f>
        <v>136</v>
      </c>
      <c r="H19" s="2642" t="str">
        <f>'数据-取费表'!B3</f>
        <v>万元</v>
      </c>
      <c r="I19" s="2690"/>
      <c r="J19" s="2765"/>
    </row>
    <row r="20" spans="1:36" ht="15">
      <c r="A20" s="2643"/>
      <c r="B20" s="1622" t="s">
        <v>1497</v>
      </c>
      <c r="C20" s="1847">
        <f ca="1">SUMIF(INDIRECT("'"&amp;C4&amp;"'"&amp;"!A:A"),结果表!B20,INDIRECT("'"&amp;C4&amp;"'"&amp;"!B:B"))</f>
        <v>25122</v>
      </c>
      <c r="D20" s="1850">
        <f ca="1">SUMIF(INDIRECT("'"&amp;D4&amp;"'"&amp;"!A:A"),结果表!B20,INDIRECT("'"&amp;D4&amp;"'"&amp;"!B:B"))</f>
        <v>27048</v>
      </c>
      <c r="E20" s="2643"/>
      <c r="F20" s="1622" t="s">
        <v>1497</v>
      </c>
      <c r="G20" s="2021">
        <f ca="1">ROUND(C20*$C$18+D20*$D$18,0)</f>
        <v>26085</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7.6335877862595325E-2</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96" t="s">
        <v>1500</v>
      </c>
      <c r="B24" s="2638" t="s">
        <v>1495</v>
      </c>
      <c r="C24" s="2641">
        <f>D30</f>
        <v>0</v>
      </c>
      <c r="D24" s="2593"/>
      <c r="E24" s="905"/>
      <c r="F24" s="905"/>
      <c r="G24" s="905"/>
      <c r="H24" s="905"/>
      <c r="I24" s="905"/>
      <c r="J24" s="2764"/>
    </row>
    <row r="25" spans="1:36" ht="21.75" customHeight="1">
      <c r="A25" s="3497"/>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1"/>
      <c r="G30" s="2481"/>
      <c r="H30" s="2481"/>
      <c r="I30" s="2481"/>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26085</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21338</v>
      </c>
      <c r="D34" s="2667">
        <f ca="1">IF(D33="自定义",ROUND(C34/C32,3),1-D35)</f>
        <v>0.81800000000000006</v>
      </c>
      <c r="E34" s="1363" t="s">
        <v>1510</v>
      </c>
      <c r="F34" s="2668">
        <v>2000</v>
      </c>
      <c r="G34" s="905"/>
      <c r="H34" s="905"/>
      <c r="I34" s="905"/>
      <c r="J34" s="2764"/>
    </row>
    <row r="35" spans="1:17" ht="15.75" thickBot="1">
      <c r="A35" s="1395"/>
      <c r="B35" s="2669" t="s">
        <v>1511</v>
      </c>
      <c r="C35" s="2670">
        <f ca="1">IF(D33="自定义",F35,ROUND(C32*D35,0))</f>
        <v>4747</v>
      </c>
      <c r="D35" s="2671">
        <f ca="1">IF(D33="自定义",ROUND(C35/C32,3),IF(D33="成本法成本比率",成本法!C56,IF(D33="收益法收益比率",收益法!J38,收益法!J41)))</f>
        <v>0.182</v>
      </c>
      <c r="E35" s="2672" t="s">
        <v>1512</v>
      </c>
      <c r="F35" s="2673">
        <v>4460</v>
      </c>
      <c r="G35" s="905"/>
      <c r="H35" s="905"/>
      <c r="I35" s="905"/>
      <c r="J35" s="2764"/>
    </row>
    <row r="36" spans="1:17" ht="15.75" thickBot="1">
      <c r="A36" s="3496" t="s">
        <v>1513</v>
      </c>
      <c r="B36" s="1396" t="s">
        <v>1514</v>
      </c>
      <c r="C36" s="2674">
        <v>0</v>
      </c>
      <c r="D36" s="2675"/>
      <c r="E36" s="1608"/>
      <c r="F36" s="1608"/>
      <c r="G36" s="905"/>
      <c r="H36" s="905"/>
      <c r="I36" s="905"/>
      <c r="J36" s="2764"/>
    </row>
    <row r="37" spans="1:17" ht="15.75" thickBot="1">
      <c r="A37" s="3501"/>
      <c r="B37" s="2022" t="s">
        <v>1515</v>
      </c>
      <c r="C37" s="2676">
        <v>0</v>
      </c>
      <c r="D37" s="1239"/>
      <c r="E37" s="1239"/>
      <c r="F37" s="1608"/>
      <c r="G37" s="1239"/>
      <c r="H37" s="1239"/>
      <c r="I37" s="1239"/>
      <c r="J37" s="2768"/>
    </row>
    <row r="38" spans="1:17" ht="15.75" thickBot="1">
      <c r="A38" s="3502"/>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1"/>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21" t="s">
        <v>1524</v>
      </c>
      <c r="B45" s="3422"/>
      <c r="C45" s="3432"/>
      <c r="D45" s="246">
        <f ca="1">ROUND(I102*F45,0)</f>
        <v>136</v>
      </c>
      <c r="E45" s="1470" t="s">
        <v>1525</v>
      </c>
      <c r="F45" s="2479">
        <v>1</v>
      </c>
      <c r="G45" s="2480" t="s">
        <v>1526</v>
      </c>
      <c r="H45" s="905"/>
      <c r="I45" s="905"/>
      <c r="J45" s="2764"/>
      <c r="K45" s="3427" t="s">
        <v>2505</v>
      </c>
      <c r="L45" s="3427"/>
      <c r="M45" s="3427"/>
      <c r="N45" s="3427"/>
      <c r="O45" s="3427"/>
      <c r="P45" s="3427"/>
      <c r="Q45" s="1236"/>
    </row>
    <row r="46" spans="1:17" ht="14.25" customHeight="1">
      <c r="A46" s="3498" t="s">
        <v>1528</v>
      </c>
      <c r="B46" s="3499"/>
      <c r="C46" s="3499"/>
      <c r="D46" s="3499"/>
      <c r="E46" s="3499"/>
      <c r="F46" s="3499"/>
      <c r="G46" s="3500"/>
      <c r="H46" s="2896"/>
      <c r="I46" s="905"/>
      <c r="J46" s="2764"/>
      <c r="K46" s="2454">
        <v>1</v>
      </c>
      <c r="L46" s="3428" t="s">
        <v>2506</v>
      </c>
      <c r="M46" s="3428"/>
      <c r="N46" s="3429" t="str">
        <f>项目基本情况!B1</f>
        <v>北京市预评估</v>
      </c>
      <c r="O46" s="3429"/>
      <c r="P46" s="3429"/>
      <c r="Q46" s="1236"/>
    </row>
    <row r="47" spans="1:17" ht="12" customHeight="1">
      <c r="A47" s="38" t="s">
        <v>1530</v>
      </c>
      <c r="B47" s="39"/>
      <c r="C47" s="40"/>
      <c r="D47" s="1028" t="s">
        <v>1531</v>
      </c>
      <c r="E47" s="235" t="s">
        <v>1532</v>
      </c>
      <c r="F47" s="41" t="s">
        <v>1533</v>
      </c>
      <c r="G47" s="2482" t="s">
        <v>1534</v>
      </c>
      <c r="H47" s="2896"/>
      <c r="I47" s="905"/>
      <c r="J47" s="2764"/>
      <c r="K47" s="2454">
        <v>2</v>
      </c>
      <c r="L47" s="3428" t="s">
        <v>2507</v>
      </c>
      <c r="M47" s="3428"/>
      <c r="N47" s="3430">
        <f>'数据-取费表'!B2</f>
        <v>44729</v>
      </c>
      <c r="O47" s="3430"/>
      <c r="P47" s="3430"/>
      <c r="Q47" s="1236"/>
    </row>
    <row r="48" spans="1:17" ht="25.5">
      <c r="A48" s="3503" t="s">
        <v>1536</v>
      </c>
      <c r="B48" s="3437"/>
      <c r="C48" s="3437"/>
      <c r="D48" s="12">
        <f ca="1">IF(H48="情况1",0,IF(H48="情况2",D52,IF(H48="情况3",D53,IF(H48="情况4",D54))))</f>
        <v>7</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428" t="s">
        <v>2508</v>
      </c>
      <c r="M48" s="3428"/>
      <c r="N48" s="3429">
        <f ca="1">I102</f>
        <v>136</v>
      </c>
      <c r="O48" s="3429"/>
      <c r="P48" s="3429"/>
      <c r="Q48" s="1236"/>
    </row>
    <row r="49" spans="1:17" ht="25.5" customHeight="1">
      <c r="A49" s="2019" t="s">
        <v>1540</v>
      </c>
      <c r="B49" s="3476" t="s">
        <v>1541</v>
      </c>
      <c r="C49" s="3476"/>
      <c r="D49" s="2486">
        <v>0</v>
      </c>
      <c r="E49" s="261" t="s">
        <v>1542</v>
      </c>
      <c r="F49" s="2487" t="s">
        <v>48</v>
      </c>
      <c r="G49" s="3418"/>
      <c r="H49" s="2488" t="s">
        <v>2582</v>
      </c>
      <c r="I49" s="2489"/>
      <c r="J49" s="2772"/>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2"/>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2"/>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7</v>
      </c>
      <c r="E52" s="2020" t="s">
        <v>1553</v>
      </c>
      <c r="F52" s="2493">
        <f>'数据-取费表'!E29</f>
        <v>5.5000000000000007E-2</v>
      </c>
      <c r="G52" s="2494"/>
      <c r="H52" s="905"/>
      <c r="I52" s="2897"/>
      <c r="J52" s="2772"/>
      <c r="K52" s="2454">
        <v>1</v>
      </c>
      <c r="L52" s="3417" t="s">
        <v>2515</v>
      </c>
      <c r="M52" s="3417"/>
      <c r="N52" s="2456">
        <f ca="1">D48</f>
        <v>7</v>
      </c>
      <c r="O52" s="2454" t="str">
        <f>E48</f>
        <v>销售额×税（费）率</v>
      </c>
      <c r="P52" s="2457">
        <f>F48</f>
        <v>5.5000000000000007E-2</v>
      </c>
      <c r="Q52" s="1236"/>
    </row>
    <row r="53" spans="1:17" ht="12" customHeight="1">
      <c r="A53" s="2010" t="s">
        <v>1555</v>
      </c>
      <c r="B53" s="3488" t="s">
        <v>2593</v>
      </c>
      <c r="C53" s="3477"/>
      <c r="D53" s="1028">
        <f ca="1">ROUND(D45*'数据-取费表'!E29/(1+'数据-取费表'!F30),0)</f>
        <v>7</v>
      </c>
      <c r="E53" s="2020" t="s">
        <v>1553</v>
      </c>
      <c r="F53" s="2493">
        <f>'数据-取费表'!E29</f>
        <v>5.5000000000000007E-2</v>
      </c>
      <c r="G53" s="2494"/>
      <c r="H53" s="905"/>
      <c r="I53" s="2897"/>
      <c r="J53" s="2772"/>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7</v>
      </c>
      <c r="E54" s="264" t="s">
        <v>1558</v>
      </c>
      <c r="F54" s="2493">
        <f>'数据-取费表'!E29</f>
        <v>5.5000000000000007E-2</v>
      </c>
      <c r="G54" s="2494"/>
      <c r="H54" s="2898"/>
      <c r="I54" s="2897"/>
      <c r="J54" s="2772"/>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2"/>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899"/>
      <c r="J56" s="2772"/>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899"/>
      <c r="I57" s="2899"/>
      <c r="J57" s="2772"/>
      <c r="K57" s="3417">
        <f>IF(AND(K55="",K56=""),4,IF(项目基本情况!I6="上海银行",K56+1,K55+1))</f>
        <v>4</v>
      </c>
      <c r="L57" s="3417" t="s">
        <v>2518</v>
      </c>
      <c r="M57" s="2462" t="s">
        <v>2519</v>
      </c>
      <c r="N57" s="2463"/>
      <c r="O57" s="2464">
        <f ca="1">SUMIF(N52:N56,"&lt;9e307")</f>
        <v>7</v>
      </c>
      <c r="P57" s="2465"/>
      <c r="Q57" s="1234" t="e">
        <f ca="1">O57/N49</f>
        <v>#VALUE!</v>
      </c>
    </row>
    <row r="58" spans="1:17" ht="24.75">
      <c r="A58" s="2010" t="s">
        <v>1551</v>
      </c>
      <c r="B58" s="3488" t="s">
        <v>1569</v>
      </c>
      <c r="C58" s="3476"/>
      <c r="D58" s="12">
        <f ca="1">IF(H58="转让取得",C81,C97)</f>
        <v>77</v>
      </c>
      <c r="E58" s="2020" t="s">
        <v>1564</v>
      </c>
      <c r="F58" s="235" t="s">
        <v>48</v>
      </c>
      <c r="G58" s="2494"/>
      <c r="H58" s="2496" t="s">
        <v>1570</v>
      </c>
      <c r="I58" s="2899"/>
      <c r="J58" s="2772"/>
      <c r="K58" s="3417"/>
      <c r="L58" s="3417"/>
      <c r="M58" s="2462" t="s">
        <v>2520</v>
      </c>
      <c r="N58" s="2466"/>
      <c r="O58" s="2467" t="str">
        <f ca="1">IF(H19="元",NUMBERSTRING(INT(O57),2)&amp;"元整",NUMBERSTRING(INT(O57*10000),2)&amp;"元整")</f>
        <v>柒万元整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2573</v>
      </c>
      <c r="H59" s="2024" t="s">
        <v>2583</v>
      </c>
      <c r="I59" s="2801" t="s">
        <v>2584</v>
      </c>
      <c r="J59" s="2772"/>
      <c r="K59" s="3470">
        <f>K57+1</f>
        <v>5</v>
      </c>
      <c r="L59" s="3417" t="s">
        <v>2521</v>
      </c>
      <c r="M59" s="2454" t="s">
        <v>2519</v>
      </c>
      <c r="N59" s="2469"/>
      <c r="O59" s="2470" t="e">
        <f ca="1">N49-O57</f>
        <v>#VALUE!</v>
      </c>
      <c r="P59" s="2471"/>
      <c r="Q59" s="1236"/>
    </row>
    <row r="60" spans="1:17" ht="12" customHeight="1">
      <c r="A60" s="1385"/>
      <c r="B60" s="1389"/>
      <c r="C60" s="1389"/>
      <c r="D60" s="1389"/>
      <c r="E60" s="770"/>
      <c r="F60" s="2900"/>
      <c r="G60" s="2900"/>
      <c r="H60" s="2901"/>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0"/>
      <c r="G61" s="2900"/>
      <c r="H61" s="2902"/>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130</v>
      </c>
      <c r="D63" s="47"/>
      <c r="E63" s="48"/>
      <c r="F63" s="2900"/>
      <c r="G63" s="2900"/>
      <c r="H63" s="2902"/>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f ca="1">D45</f>
        <v>136</v>
      </c>
      <c r="D64" s="50" t="s">
        <v>41</v>
      </c>
      <c r="E64" s="52"/>
      <c r="F64" s="2900"/>
      <c r="G64" s="2900"/>
      <c r="H64" s="2902"/>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5"/>
      <c r="D65" s="50"/>
      <c r="E65" s="52"/>
      <c r="F65" s="2900"/>
      <c r="G65" s="2900"/>
      <c r="H65" s="2902"/>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6"/>
      <c r="D66" s="54" t="s">
        <v>41</v>
      </c>
      <c r="E66" s="1244" t="s">
        <v>1588</v>
      </c>
      <c r="F66" s="2900"/>
      <c r="G66" s="2900"/>
      <c r="H66" s="2902"/>
      <c r="I66" s="31"/>
      <c r="K66" s="3436"/>
      <c r="L66" s="2476" t="s">
        <v>2528</v>
      </c>
      <c r="M66" s="2476" t="e">
        <f>N49*0.5%</f>
        <v>#VALUE!</v>
      </c>
      <c r="N66" s="2477" t="e">
        <f>IF(M66&gt;0.5,0.5,ROUND(M66,0))</f>
        <v>#VALUE!</v>
      </c>
      <c r="O66" s="2475" t="s">
        <v>2529</v>
      </c>
      <c r="P66" s="2475"/>
      <c r="Q66" s="1236"/>
    </row>
    <row r="67" spans="1:36" ht="12.75">
      <c r="A67" s="53" t="s">
        <v>42</v>
      </c>
      <c r="B67" s="54" t="s">
        <v>1591</v>
      </c>
      <c r="C67" s="2707">
        <f ca="1">C63-C66</f>
        <v>130</v>
      </c>
      <c r="D67" s="50" t="s">
        <v>41</v>
      </c>
      <c r="E67" s="52"/>
      <c r="F67" s="2900"/>
      <c r="G67" s="2900"/>
      <c r="H67" s="2902"/>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f ca="1">IF(C67&lt;=0,0,ROUND(C67*D68,0))</f>
        <v>7</v>
      </c>
      <c r="D68" s="2170">
        <f>'数据-取费表'!E29</f>
        <v>5.5000000000000007E-2</v>
      </c>
      <c r="E68" s="57"/>
      <c r="F68" s="2900"/>
      <c r="G68" s="2900"/>
      <c r="H68" s="2902"/>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130</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88" t="s">
        <v>1606</v>
      </c>
      <c r="F76" s="3476"/>
      <c r="G76" s="3476"/>
      <c r="H76" s="3489"/>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24" t="s">
        <v>1611</v>
      </c>
      <c r="F78" s="3425"/>
      <c r="G78" s="3425"/>
      <c r="H78" s="3445"/>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129</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129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77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130</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64" t="s">
        <v>2493</v>
      </c>
      <c r="H90" s="3464"/>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24" t="s">
        <v>1623</v>
      </c>
      <c r="F91" s="3425"/>
      <c r="G91" s="3425"/>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24" t="s">
        <v>1626</v>
      </c>
      <c r="F92" s="3425"/>
      <c r="G92" s="3425"/>
      <c r="H92" s="3445"/>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24" t="s">
        <v>1611</v>
      </c>
      <c r="F93" s="3425"/>
      <c r="G93" s="3425"/>
      <c r="H93" s="3445"/>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24" t="s">
        <v>1628</v>
      </c>
      <c r="F94" s="3425"/>
      <c r="G94" s="3425"/>
      <c r="H94" s="3445"/>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129</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129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77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8"/>
    </row>
    <row r="100" spans="1:36" ht="15">
      <c r="A100" s="3459" t="s">
        <v>1632</v>
      </c>
      <c r="B100" s="3460"/>
      <c r="C100" s="1235" t="str">
        <f>C4</f>
        <v>成本法</v>
      </c>
      <c r="D100" s="2726" t="str">
        <f>D4</f>
        <v>收益法</v>
      </c>
      <c r="E100" s="1389"/>
      <c r="F100" s="3461" t="s">
        <v>2537</v>
      </c>
      <c r="G100" s="3463"/>
      <c r="H100" s="3461" t="s">
        <v>2538</v>
      </c>
      <c r="I100" s="3462"/>
      <c r="J100" s="2779"/>
    </row>
    <row r="101" spans="1:36" ht="12.75">
      <c r="A101" s="3478" t="s">
        <v>2570</v>
      </c>
      <c r="B101" s="2235" t="str">
        <f>IF(H19="元","总价（元）","总价（万元）")</f>
        <v>总价（万元）</v>
      </c>
      <c r="C101" s="1235">
        <f ca="1">C19</f>
        <v>131</v>
      </c>
      <c r="D101" s="2726">
        <f ca="1">D19</f>
        <v>141</v>
      </c>
      <c r="E101" s="1389"/>
      <c r="F101" s="3461" t="str">
        <f>项目基本情况!I1</f>
        <v>北京市房地产</v>
      </c>
      <c r="G101" s="3463"/>
      <c r="H101" s="3465">
        <f>项目基本情况!C12</f>
        <v>52.28</v>
      </c>
      <c r="I101" s="3462"/>
      <c r="J101" s="2779"/>
    </row>
    <row r="102" spans="1:36" ht="12.75">
      <c r="A102" s="3478"/>
      <c r="B102" s="2235" t="s">
        <v>2571</v>
      </c>
      <c r="C102" s="2727">
        <f ca="1">C20</f>
        <v>25122</v>
      </c>
      <c r="D102" s="2728">
        <f ca="1">D20</f>
        <v>27048</v>
      </c>
      <c r="E102" s="1389"/>
      <c r="F102" s="3448" t="s">
        <v>2567</v>
      </c>
      <c r="G102" s="3449"/>
      <c r="H102" s="2736" t="str">
        <f>C106</f>
        <v>总价（万元）</v>
      </c>
      <c r="I102" s="2737">
        <f ca="1">H121</f>
        <v>136</v>
      </c>
      <c r="J102" s="2779"/>
    </row>
    <row r="103" spans="1:36" ht="12.75">
      <c r="A103" s="3478" t="s">
        <v>2572</v>
      </c>
      <c r="B103" s="2173" t="str">
        <f>B101</f>
        <v>总价（万元）</v>
      </c>
      <c r="C103" s="2731">
        <f ca="1">H121</f>
        <v>136</v>
      </c>
      <c r="D103" s="2729"/>
      <c r="E103" s="1389"/>
      <c r="F103" s="3448"/>
      <c r="G103" s="3449"/>
      <c r="H103" s="2736" t="s">
        <v>2540</v>
      </c>
      <c r="I103" s="52">
        <f ca="1">I121</f>
        <v>26085</v>
      </c>
      <c r="J103" s="2763"/>
    </row>
    <row r="104" spans="1:36" ht="13.5" thickBot="1">
      <c r="A104" s="3479"/>
      <c r="B104" s="2733" t="s">
        <v>2571</v>
      </c>
      <c r="C104" s="2734">
        <f ca="1">I121</f>
        <v>26085</v>
      </c>
      <c r="D104" s="2735"/>
      <c r="E104" s="1389"/>
      <c r="F104" s="3448"/>
      <c r="G104" s="3449"/>
      <c r="H104" s="3480"/>
      <c r="I104" s="3481"/>
      <c r="J104" s="2780"/>
    </row>
    <row r="105" spans="1:36" ht="15">
      <c r="A105" s="3442" t="s">
        <v>1633</v>
      </c>
      <c r="B105" s="3443"/>
      <c r="C105" s="3443"/>
      <c r="D105" s="3444"/>
      <c r="E105" s="1389"/>
      <c r="F105" s="3484" t="s">
        <v>2541</v>
      </c>
      <c r="G105" s="3485"/>
      <c r="H105" s="2738" t="str">
        <f>C108</f>
        <v>总额（万元）</v>
      </c>
      <c r="I105" s="2737">
        <f>SUMIF(I106:I108,"&lt;9E307")</f>
        <v>0</v>
      </c>
      <c r="J105" s="2779"/>
    </row>
    <row r="106" spans="1:36" ht="14.25">
      <c r="A106" s="3448" t="s">
        <v>2564</v>
      </c>
      <c r="B106" s="3449"/>
      <c r="C106" s="2736" t="str">
        <f>B101</f>
        <v>总价（万元）</v>
      </c>
      <c r="D106" s="2737">
        <f ca="1">H121</f>
        <v>136</v>
      </c>
      <c r="E106" s="1389"/>
      <c r="F106" s="3450" t="s">
        <v>2542</v>
      </c>
      <c r="G106" s="3451"/>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6" t="s">
        <v>2565</v>
      </c>
      <c r="D107" s="52">
        <f ca="1">I121</f>
        <v>26085</v>
      </c>
      <c r="E107" s="1389"/>
      <c r="F107" s="3450" t="s">
        <v>2543</v>
      </c>
      <c r="G107" s="3451"/>
      <c r="H107" s="2738" t="str">
        <f>C110</f>
        <v>总额（万元）</v>
      </c>
      <c r="I107" s="52">
        <f>C37</f>
        <v>0</v>
      </c>
      <c r="J107" s="2763"/>
    </row>
    <row r="108" spans="1:36" ht="12.75">
      <c r="A108" s="3519" t="s">
        <v>2541</v>
      </c>
      <c r="B108" s="3520"/>
      <c r="C108" s="2738" t="str">
        <f>IF(H19="元","总额（元）","总额（万元）")</f>
        <v>总额（万元）</v>
      </c>
      <c r="D108" s="2737">
        <f>IF(D36="正常操作",I106+I107+I108,I107+I108)</f>
        <v>0</v>
      </c>
      <c r="E108" s="1389"/>
      <c r="F108" s="3450" t="s">
        <v>2568</v>
      </c>
      <c r="G108" s="3451"/>
      <c r="H108" s="2738" t="str">
        <f>C111</f>
        <v>总额（万元）</v>
      </c>
      <c r="I108" s="52">
        <f>C38</f>
        <v>0</v>
      </c>
      <c r="J108" s="2763"/>
    </row>
    <row r="109" spans="1:36" ht="12.75">
      <c r="A109" s="3450" t="s">
        <v>2542</v>
      </c>
      <c r="B109" s="3451"/>
      <c r="C109" s="2738" t="str">
        <f>C108</f>
        <v>总额（万元）</v>
      </c>
      <c r="D109" s="52">
        <f>IF(D36="同一抵押权人同一抵押物续贷",C36&amp;"（未扣减，详见特别提示）",C36)</f>
        <v>0</v>
      </c>
      <c r="E109" s="1389"/>
      <c r="F109" s="3448"/>
      <c r="G109" s="3449"/>
      <c r="H109" s="3482"/>
      <c r="I109" s="3483"/>
      <c r="J109" s="2781"/>
    </row>
    <row r="110" spans="1:36" ht="28.5" customHeight="1">
      <c r="A110" s="3450" t="s">
        <v>2566</v>
      </c>
      <c r="B110" s="3451"/>
      <c r="C110" s="2738" t="str">
        <f>C108</f>
        <v>总额（万元）</v>
      </c>
      <c r="D110" s="52">
        <f>C37</f>
        <v>0</v>
      </c>
      <c r="E110" s="1389"/>
      <c r="F110" s="3431" t="str">
        <f>IF(项目基本情况!F5="已注销","——","3.房地产抵押价值")</f>
        <v>3.房地产抵押价值</v>
      </c>
      <c r="G110" s="3432"/>
      <c r="H110" s="2724" t="str">
        <f>C112</f>
        <v>总价（万元）</v>
      </c>
      <c r="I110" s="2737">
        <f ca="1">IF(F110="——","——",I102-I105)</f>
        <v>136</v>
      </c>
      <c r="J110" s="2779"/>
    </row>
    <row r="111" spans="1:36" ht="12.75">
      <c r="A111" s="3450" t="s">
        <v>2545</v>
      </c>
      <c r="B111" s="3451"/>
      <c r="C111" s="2738" t="str">
        <f>C108</f>
        <v>总额（万元）</v>
      </c>
      <c r="D111" s="52">
        <f>C38</f>
        <v>0</v>
      </c>
      <c r="E111" s="1389"/>
      <c r="F111" s="3433"/>
      <c r="G111" s="3434"/>
      <c r="H111" s="2736" t="s">
        <v>2540</v>
      </c>
      <c r="I111" s="2740">
        <f ca="1">D113</f>
        <v>26085</v>
      </c>
      <c r="J111" s="2782"/>
    </row>
    <row r="112" spans="1:36" ht="26.25" customHeight="1">
      <c r="A112" s="3448" t="str">
        <f>IF(项目基本情况!F5="已注销","——","3.房地产抵押价值")</f>
        <v>3.房地产抵押价值</v>
      </c>
      <c r="B112" s="3449"/>
      <c r="C112" s="2736" t="str">
        <f>B101</f>
        <v>总价（万元）</v>
      </c>
      <c r="D112" s="2737">
        <f ca="1">IF(A112="——","——",D106-D108)</f>
        <v>136</v>
      </c>
      <c r="E112" s="1389"/>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48"/>
      <c r="B113" s="3449"/>
      <c r="C113" s="2736" t="s">
        <v>2533</v>
      </c>
      <c r="D113" s="52">
        <f ca="1">ROUND(IF(D112=D106,D107,IF(H19="元",D112/项目基本情况!C12,D112*10000/项目基本情况!C12)),0)</f>
        <v>26085</v>
      </c>
      <c r="E113" s="1389"/>
      <c r="F113" s="3433"/>
      <c r="G113" s="3434"/>
      <c r="H113" s="2736" t="s">
        <v>2569</v>
      </c>
      <c r="I113" s="52" t="str">
        <f>D115</f>
        <v>——</v>
      </c>
      <c r="J113" s="2763"/>
    </row>
    <row r="114" spans="1:16" ht="12.75">
      <c r="A114" s="3448" t="str">
        <f>IF(项目基本情况!F5="已注销及未注销","4.抵押担保权已注销时的房地产抵押价值",IF(项目基本情况!F5="已注销","3.抵押担保权已注销时的房地产抵押价值","——"))</f>
        <v>——</v>
      </c>
      <c r="B114" s="3449"/>
      <c r="C114" s="2736" t="str">
        <f>B101</f>
        <v>总价（万元）</v>
      </c>
      <c r="D114" s="2737" t="str">
        <f>IF(A114="——","——",D106-D110-D111)</f>
        <v>——</v>
      </c>
      <c r="E114" s="1389"/>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48"/>
      <c r="B115" s="3449"/>
      <c r="C115" s="2736" t="s">
        <v>2533</v>
      </c>
      <c r="D115" s="52" t="str">
        <f>IF(A114="——","——",ROUND(IF(D114=D106,D107,IF(H19="元",D114/项目基本情况!C12,D114*10000/项目基本情况!C12)),0))</f>
        <v>——</v>
      </c>
      <c r="E115" s="1389"/>
      <c r="F115" s="3511"/>
      <c r="G115" s="3512"/>
      <c r="H115" s="2741" t="s">
        <v>2533</v>
      </c>
      <c r="I115" s="2725" t="str">
        <f ca="1">D117</f>
        <v>——</v>
      </c>
      <c r="J115" s="2763"/>
    </row>
    <row r="116" spans="1:16" ht="15.75">
      <c r="A116" s="3448" t="str">
        <f>IF(项目基本情况!G5="抵押净值",IF(OR(项目基本情况!F5="已注销",项目基本情况!F5="房地产抵押价值"),"4.抵押净值","5.抵押净值"),"——")</f>
        <v>——</v>
      </c>
      <c r="B116" s="3449"/>
      <c r="C116" s="2736" t="str">
        <f>B101</f>
        <v>总价（万元）</v>
      </c>
      <c r="D116" s="2737" t="str">
        <f>IF(A116="——","——",O59)</f>
        <v>——</v>
      </c>
      <c r="E116" s="1389"/>
      <c r="F116" s="3426"/>
      <c r="G116" s="3426"/>
      <c r="H116" s="3467"/>
      <c r="I116" s="3467"/>
      <c r="J116" s="2783"/>
      <c r="O116" s="32"/>
      <c r="P116" s="32"/>
    </row>
    <row r="117" spans="1:16" ht="13.5" thickBot="1">
      <c r="A117" s="3517"/>
      <c r="B117" s="3518"/>
      <c r="C117" s="2741" t="s">
        <v>2533</v>
      </c>
      <c r="D117" s="2725"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4"/>
      <c r="O117" s="32"/>
      <c r="P117" s="32"/>
    </row>
    <row r="118" spans="1:16" ht="15">
      <c r="A118" s="3468" t="s">
        <v>1634</v>
      </c>
      <c r="B118" s="3469"/>
      <c r="C118" s="3469"/>
      <c r="D118" s="3469"/>
      <c r="E118" s="3469"/>
      <c r="F118" s="3469"/>
      <c r="G118" s="3469"/>
      <c r="H118" s="3469"/>
      <c r="I118" s="3469"/>
      <c r="J118" s="2785"/>
    </row>
    <row r="119" spans="1:16" ht="12.75">
      <c r="A119" s="3441" t="s">
        <v>2551</v>
      </c>
      <c r="B119" s="3439" t="s">
        <v>2561</v>
      </c>
      <c r="C119" s="3439" t="s">
        <v>2562</v>
      </c>
      <c r="D119" s="3446" t="s">
        <v>2553</v>
      </c>
      <c r="E119" s="3447"/>
      <c r="F119" s="3437" t="s">
        <v>2563</v>
      </c>
      <c r="G119" s="3437"/>
      <c r="H119" s="3437" t="s">
        <v>2554</v>
      </c>
      <c r="I119" s="3438"/>
      <c r="J119" s="2763"/>
    </row>
    <row r="120" spans="1:16" ht="12.75">
      <c r="A120" s="3441"/>
      <c r="B120" s="3440"/>
      <c r="C120" s="3440"/>
      <c r="D120" s="2020" t="s">
        <v>2555</v>
      </c>
      <c r="E120" s="2020" t="s">
        <v>2560</v>
      </c>
      <c r="F120" s="2020" t="s">
        <v>2555</v>
      </c>
      <c r="G120" s="2020" t="s">
        <v>2556</v>
      </c>
      <c r="H120" s="2020" t="s">
        <v>2555</v>
      </c>
      <c r="I120" s="52" t="s">
        <v>2556</v>
      </c>
      <c r="J120" s="2763"/>
    </row>
    <row r="121" spans="1:16" ht="12.75">
      <c r="A121" s="2010" t="str">
        <f>项目基本情况!I1</f>
        <v>北京市房地产</v>
      </c>
      <c r="B121" s="2020">
        <f>项目基本情况!C12</f>
        <v>52.28</v>
      </c>
      <c r="C121" s="2020">
        <f>项目基本情况!C13</f>
        <v>0</v>
      </c>
      <c r="D121" s="2020">
        <f ca="1">ROUND(IF(B32="总价",C34,IF('数据-取费表'!B3="万元",E121*B121/10000,E121*B121)),0)</f>
        <v>112</v>
      </c>
      <c r="E121" s="2020">
        <f ca="1">ROUND(IF(B32="楼面单价",C34,IF(H19="元",D121/B121,D121*10000/B121)),0)</f>
        <v>21338</v>
      </c>
      <c r="F121" s="2020">
        <f ca="1">ROUND(IF(B32="总价",C35,IF('数据-取费表'!B3="万元",G121*B121/10000,G121*B121)),0)</f>
        <v>25</v>
      </c>
      <c r="G121" s="2020">
        <f ca="1">ROUND(IF(B32="楼面单价",C35,IF(H19="元",F121/B121,F121*10000/B121)),0)</f>
        <v>4747</v>
      </c>
      <c r="H121" s="2020">
        <f ca="1">ROUND(IF(B32="总价",C32,IF('数据-取费表'!B3="万元",I121*B121/10000,I121*B121)),0)</f>
        <v>136</v>
      </c>
      <c r="I121" s="52">
        <f ca="1">ROUND(IF(B32="楼面单价",C32,IF(H19="元",H121/B121,H121*10000/B121)),0)</f>
        <v>26085</v>
      </c>
      <c r="J121" s="2763"/>
    </row>
    <row r="122" spans="1:16" ht="12.75">
      <c r="A122" s="3441" t="s">
        <v>2557</v>
      </c>
      <c r="B122" s="3437"/>
      <c r="C122" s="3437"/>
      <c r="D122" s="3472" t="str">
        <f ca="1">IF(H19="元",NUMBERSTRING(INT(D121),2)&amp;"元整",NUMBERSTRING(INT(D121*10000),2)&amp;"元整")</f>
        <v>壹佰壹拾贰万元整</v>
      </c>
      <c r="E122" s="3473"/>
      <c r="F122" s="3472" t="str">
        <f ca="1">IF(H19="元",NUMBERSTRING(INT(F121),2)&amp;"元整",NUMBERSTRING(INT(F121*10000),2)&amp;"元整")</f>
        <v>贰拾伍万元整</v>
      </c>
      <c r="G122" s="3473"/>
      <c r="H122" s="3472" t="str">
        <f ca="1">IF(H19="元",NUMBERSTRING(INT(H121),2)&amp;"元整",NUMBERSTRING(INT(H121*10000),2)&amp;"元整")</f>
        <v>壹佰叁拾陆万元整</v>
      </c>
      <c r="I122" s="3521"/>
      <c r="J122" s="2786"/>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79"/>
    </row>
    <row r="124" spans="1:16" ht="12.75">
      <c r="A124" s="3475" t="s">
        <v>2557</v>
      </c>
      <c r="B124" s="3476"/>
      <c r="C124" s="3477"/>
      <c r="D124" s="3513">
        <f>H109</f>
        <v>0</v>
      </c>
      <c r="E124" s="3514"/>
      <c r="F124" s="3514"/>
      <c r="G124" s="3514"/>
      <c r="H124" s="3514"/>
      <c r="I124" s="3515"/>
      <c r="J124" s="2787"/>
    </row>
    <row r="125" spans="1:16" ht="12.75">
      <c r="A125" s="3448" t="str">
        <f>IF(项目基本情况!D5="房地产市场价值","——",MID(A112,3,LEN(A112)-2))</f>
        <v>房地产抵押价值</v>
      </c>
      <c r="B125" s="3449"/>
      <c r="C125" s="3449"/>
      <c r="D125" s="3465">
        <f ca="1">I110</f>
        <v>136</v>
      </c>
      <c r="E125" s="3474"/>
      <c r="F125" s="3474"/>
      <c r="G125" s="3474"/>
      <c r="H125" s="3474"/>
      <c r="I125" s="3462"/>
      <c r="J125" s="2779"/>
    </row>
    <row r="126" spans="1:16" ht="12.75">
      <c r="A126" s="3441" t="s">
        <v>2557</v>
      </c>
      <c r="B126" s="3437"/>
      <c r="C126" s="3437"/>
      <c r="D126" s="3513">
        <f ca="1">I111</f>
        <v>26085</v>
      </c>
      <c r="E126" s="3514"/>
      <c r="F126" s="3514"/>
      <c r="G126" s="3514"/>
      <c r="H126" s="3514"/>
      <c r="I126" s="3515"/>
      <c r="J126" s="2787"/>
    </row>
    <row r="127" spans="1:16" ht="13.5" thickBot="1">
      <c r="A127" s="3448" t="str">
        <f>IF(项目基本情况!D5="房地产市场价值","——",MID(A114,3,LEN(A114)-2))</f>
        <v/>
      </c>
      <c r="B127" s="3449"/>
      <c r="C127" s="3449"/>
      <c r="D127" s="3421" t="str">
        <f>I112</f>
        <v>——</v>
      </c>
      <c r="E127" s="3422"/>
      <c r="F127" s="3422"/>
      <c r="G127" s="3422"/>
      <c r="H127" s="3422"/>
      <c r="I127" s="3423"/>
      <c r="J127" s="2779"/>
    </row>
    <row r="128" spans="1:16" ht="14.25" thickTop="1" thickBot="1">
      <c r="A128" s="3441" t="s">
        <v>2557</v>
      </c>
      <c r="B128" s="3437"/>
      <c r="C128" s="3488"/>
      <c r="D128" s="3466" t="str">
        <f>I113</f>
        <v>——</v>
      </c>
      <c r="E128" s="3466"/>
      <c r="F128" s="3466"/>
      <c r="G128" s="3466"/>
      <c r="H128" s="3466"/>
      <c r="I128" s="3466"/>
      <c r="J128" s="2787"/>
    </row>
    <row r="129" spans="1:10" ht="14.25" thickTop="1" thickBot="1">
      <c r="A129" s="3448" t="str">
        <f>IF(项目基本情况!D5="房地产市场价值","——",MID(F114,3,LEN(F114)-2))</f>
        <v/>
      </c>
      <c r="B129" s="3449"/>
      <c r="C129" s="3465"/>
      <c r="D129" s="3516" t="str">
        <f>I114</f>
        <v>——</v>
      </c>
      <c r="E129" s="3516"/>
      <c r="F129" s="3516"/>
      <c r="G129" s="3516"/>
      <c r="H129" s="3516"/>
      <c r="I129" s="3516"/>
      <c r="J129" s="2779"/>
    </row>
    <row r="130" spans="1:10" ht="14.25" thickTop="1" thickBot="1">
      <c r="A130" s="3504" t="s">
        <v>2557</v>
      </c>
      <c r="B130" s="3505"/>
      <c r="C130" s="3505"/>
      <c r="D130" s="3522">
        <f>H116</f>
        <v>0</v>
      </c>
      <c r="E130" s="3523"/>
      <c r="F130" s="3523"/>
      <c r="G130" s="3523"/>
      <c r="H130" s="3523"/>
      <c r="I130" s="3524"/>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2"/>
    </row>
    <row r="3" spans="1:15" ht="12.75">
      <c r="A3" s="3491" t="s">
        <v>1471</v>
      </c>
      <c r="B3" s="3492"/>
      <c r="C3" s="3492"/>
      <c r="D3" s="3492"/>
      <c r="E3" s="3492"/>
      <c r="F3" s="3492"/>
      <c r="G3" s="3492"/>
      <c r="H3" s="3492"/>
      <c r="I3" s="3492"/>
      <c r="J3" s="2762"/>
    </row>
    <row r="4" spans="1:15" ht="14.25">
      <c r="A4" s="2630" t="s">
        <v>1472</v>
      </c>
      <c r="B4" s="2630" t="s">
        <v>1473</v>
      </c>
      <c r="C4" s="2631"/>
      <c r="D4" s="2631"/>
      <c r="E4" s="3488" t="s">
        <v>1644</v>
      </c>
      <c r="F4" s="3476"/>
      <c r="G4" s="3476"/>
      <c r="H4" s="3476"/>
      <c r="I4" s="3477"/>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3"/>
    </row>
    <row r="6" spans="1:15" ht="12.75">
      <c r="A6" s="3487"/>
      <c r="B6" s="3487"/>
      <c r="C6" s="3494"/>
      <c r="D6" s="3490"/>
      <c r="E6" s="12" t="s">
        <v>1477</v>
      </c>
      <c r="F6" s="2017"/>
      <c r="G6" s="2017"/>
      <c r="H6" s="2017"/>
      <c r="I6" s="2012"/>
      <c r="J6" s="2763"/>
    </row>
    <row r="7" spans="1:15" ht="12.75">
      <c r="A7" s="3487"/>
      <c r="B7" s="3487"/>
      <c r="C7" s="3495"/>
      <c r="D7" s="3490"/>
      <c r="E7" s="12" t="s">
        <v>1478</v>
      </c>
      <c r="F7" s="2017"/>
      <c r="G7" s="2017"/>
      <c r="H7" s="2017"/>
      <c r="I7" s="2012"/>
      <c r="J7" s="2763"/>
    </row>
    <row r="8" spans="1:15" ht="12.75">
      <c r="A8" s="3487" t="s">
        <v>1479</v>
      </c>
      <c r="B8" s="3487">
        <v>15</v>
      </c>
      <c r="C8" s="3493"/>
      <c r="D8" s="3490"/>
      <c r="E8" s="12" t="s">
        <v>1480</v>
      </c>
      <c r="F8" s="2017"/>
      <c r="G8" s="2017"/>
      <c r="H8" s="2017"/>
      <c r="I8" s="2012"/>
      <c r="J8" s="2763"/>
    </row>
    <row r="9" spans="1:15" ht="12.75">
      <c r="A9" s="3487"/>
      <c r="B9" s="3487"/>
      <c r="C9" s="3495"/>
      <c r="D9" s="3490"/>
      <c r="E9" s="12" t="s">
        <v>1481</v>
      </c>
      <c r="F9" s="2017"/>
      <c r="G9" s="2017"/>
      <c r="H9" s="2017"/>
      <c r="I9" s="2012"/>
      <c r="J9" s="2763"/>
    </row>
    <row r="10" spans="1:15" ht="12.75">
      <c r="A10" s="3487" t="s">
        <v>1482</v>
      </c>
      <c r="B10" s="3487">
        <v>15</v>
      </c>
      <c r="C10" s="3493"/>
      <c r="D10" s="3490"/>
      <c r="E10" s="12" t="s">
        <v>1483</v>
      </c>
      <c r="F10" s="2017"/>
      <c r="G10" s="2017"/>
      <c r="H10" s="2017"/>
      <c r="I10" s="2012"/>
      <c r="J10" s="2763"/>
    </row>
    <row r="11" spans="1:15" ht="12.75">
      <c r="A11" s="3487"/>
      <c r="B11" s="3487"/>
      <c r="C11" s="3495"/>
      <c r="D11" s="3490"/>
      <c r="E11" s="12" t="s">
        <v>1484</v>
      </c>
      <c r="F11" s="2017"/>
      <c r="G11" s="2017"/>
      <c r="H11" s="2017"/>
      <c r="I11" s="2012"/>
      <c r="J11" s="2763"/>
    </row>
    <row r="12" spans="1:15" ht="12.75">
      <c r="A12" s="3487" t="s">
        <v>1485</v>
      </c>
      <c r="B12" s="3487">
        <v>15</v>
      </c>
      <c r="C12" s="3493"/>
      <c r="D12" s="3490"/>
      <c r="E12" s="12" t="s">
        <v>1486</v>
      </c>
      <c r="F12" s="2017"/>
      <c r="G12" s="2017"/>
      <c r="H12" s="2017"/>
      <c r="I12" s="2012"/>
      <c r="J12" s="2763"/>
    </row>
    <row r="13" spans="1:15" ht="12.75">
      <c r="A13" s="3487"/>
      <c r="B13" s="3487"/>
      <c r="C13" s="3495"/>
      <c r="D13" s="3490"/>
      <c r="E13" s="12" t="s">
        <v>1487</v>
      </c>
      <c r="F13" s="2017"/>
      <c r="G13" s="2017"/>
      <c r="H13" s="2017"/>
      <c r="I13" s="2012"/>
      <c r="J13" s="2763"/>
    </row>
    <row r="14" spans="1:15" ht="12.75">
      <c r="A14" s="3487" t="s">
        <v>1488</v>
      </c>
      <c r="B14" s="3487">
        <v>30</v>
      </c>
      <c r="C14" s="3493"/>
      <c r="D14" s="3490"/>
      <c r="E14" s="12" t="s">
        <v>1489</v>
      </c>
      <c r="F14" s="2017"/>
      <c r="G14" s="2017"/>
      <c r="H14" s="2017"/>
      <c r="I14" s="2012"/>
      <c r="J14" s="2763"/>
    </row>
    <row r="15" spans="1:15" ht="12.75">
      <c r="A15" s="3487"/>
      <c r="B15" s="3487"/>
      <c r="C15" s="3494"/>
      <c r="D15" s="3490"/>
      <c r="E15" s="12" t="s">
        <v>1490</v>
      </c>
      <c r="F15" s="2017"/>
      <c r="G15" s="2017"/>
      <c r="H15" s="2017"/>
      <c r="I15" s="2012"/>
      <c r="J15" s="2763"/>
    </row>
    <row r="16" spans="1:15" ht="12.75">
      <c r="A16" s="3487"/>
      <c r="B16" s="3487"/>
      <c r="C16" s="3495"/>
      <c r="D16" s="3490"/>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507" t="s">
        <v>2576</v>
      </c>
      <c r="F18" s="3508"/>
      <c r="G18" s="3508"/>
      <c r="H18" s="3508"/>
      <c r="I18" s="3508"/>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96" t="s">
        <v>1500</v>
      </c>
      <c r="B24" s="2638" t="s">
        <v>1495</v>
      </c>
      <c r="C24" s="2641">
        <f>D30</f>
        <v>0</v>
      </c>
      <c r="D24" s="2593"/>
      <c r="E24" s="905"/>
      <c r="F24" s="905"/>
      <c r="G24" s="905"/>
      <c r="H24" s="905"/>
      <c r="I24" s="905"/>
      <c r="J24" s="2764"/>
    </row>
    <row r="25" spans="1:36" ht="21.75" customHeight="1">
      <c r="A25" s="3497"/>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1"/>
      <c r="G30" s="2481"/>
      <c r="H30" s="2481"/>
      <c r="I30" s="2481"/>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53" t="s">
        <v>1647</v>
      </c>
      <c r="B32" s="3553"/>
      <c r="C32" s="3553"/>
      <c r="D32" s="3553"/>
      <c r="E32" s="3553"/>
      <c r="F32" s="3553"/>
      <c r="G32" s="3553"/>
      <c r="H32" s="3553"/>
      <c r="I32" s="3553"/>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496" t="s">
        <v>1656</v>
      </c>
      <c r="B38" s="1396" t="s">
        <v>1657</v>
      </c>
      <c r="C38" s="2674"/>
      <c r="D38" s="2675"/>
      <c r="E38" s="1608"/>
      <c r="F38" s="1608"/>
      <c r="G38" s="905"/>
      <c r="H38" s="905"/>
      <c r="I38" s="905"/>
      <c r="J38" s="2764"/>
    </row>
    <row r="39" spans="1:16" ht="15.75" thickBot="1">
      <c r="A39" s="3501"/>
      <c r="B39" s="2022" t="s">
        <v>1658</v>
      </c>
      <c r="C39" s="2676"/>
      <c r="D39" s="1239"/>
      <c r="E39" s="1239"/>
      <c r="F39" s="1608"/>
      <c r="G39" s="1239"/>
      <c r="H39" s="1239"/>
      <c r="I39" s="1239"/>
      <c r="J39" s="2768"/>
    </row>
    <row r="40" spans="1:16" ht="15.75" thickBot="1">
      <c r="A40" s="3502"/>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4"/>
      <c r="K47" s="3526" t="s">
        <v>1527</v>
      </c>
      <c r="L47" s="3526"/>
      <c r="M47" s="3526"/>
      <c r="N47" s="3526"/>
      <c r="O47" s="3526"/>
      <c r="P47" s="3526"/>
    </row>
    <row r="48" spans="1:16" ht="14.25" customHeight="1">
      <c r="A48" s="3498" t="s">
        <v>1528</v>
      </c>
      <c r="B48" s="3499"/>
      <c r="C48" s="3499"/>
      <c r="D48" s="3499"/>
      <c r="E48" s="3499"/>
      <c r="F48" s="3499"/>
      <c r="G48" s="3500"/>
      <c r="H48" s="2896"/>
      <c r="I48" s="905"/>
      <c r="J48" s="2764"/>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6"/>
      <c r="I49" s="905"/>
      <c r="J49" s="2764"/>
      <c r="K49" s="2431">
        <v>2</v>
      </c>
      <c r="L49" s="3527" t="s">
        <v>1535</v>
      </c>
      <c r="M49" s="3527"/>
      <c r="N49" s="3530">
        <f>'数据-取费表'!B2</f>
        <v>44729</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2"/>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2"/>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2"/>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7"/>
      <c r="J54" s="2772"/>
      <c r="K54" s="2431">
        <v>1</v>
      </c>
      <c r="L54" s="3529" t="s">
        <v>1554</v>
      </c>
      <c r="M54" s="3529"/>
      <c r="N54" s="2433">
        <f>D50</f>
        <v>0</v>
      </c>
      <c r="O54" s="2431" t="str">
        <f>E50</f>
        <v>销售额×税（费）率</v>
      </c>
      <c r="P54" s="2434">
        <f>F50</f>
        <v>5.5000000000000007E-2</v>
      </c>
    </row>
    <row r="55" spans="1:17" ht="12" customHeight="1">
      <c r="A55" s="2010" t="s">
        <v>1555</v>
      </c>
      <c r="B55" s="3488" t="s">
        <v>2593</v>
      </c>
      <c r="C55" s="3477"/>
      <c r="D55" s="1028">
        <f>ROUND(D47*'数据-取费表'!E29/(1+'数据-取费表'!F30),0)</f>
        <v>0</v>
      </c>
      <c r="E55" s="2020" t="s">
        <v>1553</v>
      </c>
      <c r="F55" s="2493">
        <f>'数据-取费表'!E29</f>
        <v>5.5000000000000007E-2</v>
      </c>
      <c r="G55" s="2494"/>
      <c r="H55" s="905"/>
      <c r="I55" s="2897"/>
      <c r="J55" s="2772"/>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5.5000000000000007E-2</v>
      </c>
      <c r="G56" s="2494"/>
      <c r="H56" s="2898"/>
      <c r="I56" s="2897"/>
      <c r="J56" s="2772"/>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899"/>
      <c r="J58" s="2772"/>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899"/>
      <c r="I59" s="2899"/>
      <c r="J59" s="2772"/>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899"/>
      <c r="J60" s="2772"/>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35">
        <f>K59+1</f>
        <v>6</v>
      </c>
      <c r="L61" s="3529" t="s">
        <v>1573</v>
      </c>
      <c r="M61" s="2431" t="s">
        <v>1568</v>
      </c>
      <c r="N61" s="2446"/>
      <c r="O61" s="2447" t="e">
        <f>N51-O59</f>
        <v>#VALUE!</v>
      </c>
      <c r="P61" s="2448"/>
    </row>
    <row r="62" spans="1:17" ht="12" customHeight="1">
      <c r="A62" s="1385"/>
      <c r="B62" s="2481"/>
      <c r="C62" s="2481"/>
      <c r="D62" s="2481"/>
      <c r="E62" s="1385"/>
      <c r="F62" s="2899"/>
      <c r="G62" s="2899"/>
      <c r="H62" s="2894"/>
      <c r="I62" s="905"/>
      <c r="J62" s="2772"/>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899"/>
      <c r="G63" s="2899"/>
      <c r="H63" s="2894"/>
      <c r="I63" s="905"/>
      <c r="J63" s="2764"/>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D47</f>
        <v>0</v>
      </c>
      <c r="D66" s="50" t="s">
        <v>41</v>
      </c>
      <c r="E66" s="52"/>
      <c r="F66" s="2899"/>
      <c r="G66" s="2899"/>
      <c r="H66" s="2894"/>
      <c r="I66" s="905"/>
      <c r="J66" s="2764"/>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25"/>
      <c r="L68" s="1235" t="s">
        <v>1589</v>
      </c>
      <c r="M68" s="1235" t="e">
        <f>N51*0.5%</f>
        <v>#VALUE!</v>
      </c>
      <c r="N68" s="235" t="e">
        <f>IF(M68&gt;0.5,0.5,ROUND(M68,0))</f>
        <v>#VALUE!</v>
      </c>
      <c r="O68" s="2452" t="s">
        <v>1590</v>
      </c>
    </row>
    <row r="69" spans="1:36" ht="12.75">
      <c r="A69" s="53" t="s">
        <v>42</v>
      </c>
      <c r="B69" s="54" t="s">
        <v>1591</v>
      </c>
      <c r="C69" s="2707">
        <f>C65-C68</f>
        <v>0</v>
      </c>
      <c r="D69" s="50" t="s">
        <v>41</v>
      </c>
      <c r="E69" s="52"/>
      <c r="F69" s="2899"/>
      <c r="G69" s="2899"/>
      <c r="H69" s="2894"/>
      <c r="I69" s="905"/>
      <c r="J69" s="2764"/>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IF(C69&lt;=0,0,ROUND(C69*D70,0))</f>
        <v>0</v>
      </c>
      <c r="D70" s="2170">
        <f>'数据-取费表'!E29</f>
        <v>5.5000000000000007E-2</v>
      </c>
      <c r="E70" s="57"/>
      <c r="F70" s="2899"/>
      <c r="G70" s="2899"/>
      <c r="H70" s="2894"/>
      <c r="I70" s="905"/>
      <c r="J70" s="2764"/>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88" t="s">
        <v>1606</v>
      </c>
      <c r="F78" s="3476"/>
      <c r="G78" s="3476"/>
      <c r="H78" s="3489"/>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24" t="s">
        <v>1611</v>
      </c>
      <c r="F80" s="3425"/>
      <c r="G80" s="3425"/>
      <c r="H80" s="3445"/>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64" t="s">
        <v>2494</v>
      </c>
      <c r="H92" s="3544"/>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24" t="s">
        <v>1623</v>
      </c>
      <c r="F93" s="3425"/>
      <c r="G93" s="3425"/>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24" t="s">
        <v>1626</v>
      </c>
      <c r="F94" s="3425"/>
      <c r="G94" s="3425"/>
      <c r="H94" s="3445"/>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24" t="s">
        <v>1611</v>
      </c>
      <c r="F95" s="3425"/>
      <c r="G95" s="3425"/>
      <c r="H95" s="3445"/>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24" t="s">
        <v>1628</v>
      </c>
      <c r="F96" s="3425"/>
      <c r="G96" s="3425"/>
      <c r="H96" s="3445"/>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799"/>
    </row>
    <row r="102" spans="1:36" ht="15">
      <c r="A102" s="3459" t="s">
        <v>1632</v>
      </c>
      <c r="B102" s="3460"/>
      <c r="C102" s="2722">
        <f>C4</f>
        <v>0</v>
      </c>
      <c r="D102" s="2723">
        <f>D4</f>
        <v>0</v>
      </c>
      <c r="E102" s="1389"/>
      <c r="F102" s="3461" t="s">
        <v>2537</v>
      </c>
      <c r="G102" s="3463"/>
      <c r="H102" s="3474" t="s">
        <v>2538</v>
      </c>
      <c r="I102" s="3462"/>
      <c r="J102" s="2779"/>
    </row>
    <row r="103" spans="1:36" ht="12.75">
      <c r="A103" s="3545" t="s">
        <v>2532</v>
      </c>
      <c r="B103" s="2235" t="str">
        <f>IF(H19="元","总价（元）","总价（万元）")</f>
        <v>总价（万元）</v>
      </c>
      <c r="C103" s="1235" t="e">
        <f ca="1">C19</f>
        <v>#REF!</v>
      </c>
      <c r="D103" s="2726" t="e">
        <f ca="1">D19</f>
        <v>#REF!</v>
      </c>
      <c r="E103" s="1389"/>
      <c r="F103" s="3546"/>
      <c r="G103" s="3547"/>
      <c r="H103" s="3465">
        <f>典型户型修正!B25</f>
        <v>0</v>
      </c>
      <c r="I103" s="3462"/>
      <c r="J103" s="2779"/>
    </row>
    <row r="104" spans="1:36" ht="12.75">
      <c r="A104" s="3545"/>
      <c r="B104" s="2235" t="s">
        <v>2533</v>
      </c>
      <c r="C104" s="2727" t="e">
        <f ca="1">C20</f>
        <v>#REF!</v>
      </c>
      <c r="D104" s="2728" t="e">
        <f ca="1">D20</f>
        <v>#REF!</v>
      </c>
      <c r="E104" s="1389"/>
      <c r="F104" s="3448" t="s">
        <v>2539</v>
      </c>
      <c r="G104" s="3449"/>
      <c r="H104" s="2736" t="str">
        <f>C110</f>
        <v>总价（万元）</v>
      </c>
      <c r="I104" s="2737">
        <f>H125</f>
        <v>0</v>
      </c>
      <c r="J104" s="2779"/>
    </row>
    <row r="105" spans="1:36" ht="12.75">
      <c r="A105" s="3545" t="s">
        <v>2534</v>
      </c>
      <c r="B105" s="2173" t="str">
        <f>B103</f>
        <v>总价（万元）</v>
      </c>
      <c r="C105" s="12" t="e">
        <f ca="1">ROUND(IF('数据-取费表'!B4="总价",G19,IF(H19="元",G20*'数据-取费表'!E5,G20*'数据-取费表'!E5/10000)),0)</f>
        <v>#REF!</v>
      </c>
      <c r="D105" s="2729"/>
      <c r="E105" s="1389"/>
      <c r="F105" s="3448"/>
      <c r="G105" s="3449"/>
      <c r="H105" s="2736" t="s">
        <v>2540</v>
      </c>
      <c r="I105" s="52" t="e">
        <f>I125</f>
        <v>#DIV/0!</v>
      </c>
      <c r="J105" s="2763"/>
    </row>
    <row r="106" spans="1:36" ht="12.75">
      <c r="A106" s="3545"/>
      <c r="B106" s="2235" t="s">
        <v>2533</v>
      </c>
      <c r="C106" s="1409" t="e">
        <f ca="1">ROUND(IF('数据-取费表'!B4="楼面单价",G20,IF(H19="元",G19/'数据-取费表'!E5,G19*10000/'数据-取费表'!E5)),0)</f>
        <v>#REF!</v>
      </c>
      <c r="D106" s="2729"/>
      <c r="E106" s="1389"/>
      <c r="F106" s="3448"/>
      <c r="G106" s="3449"/>
      <c r="H106" s="3480"/>
      <c r="I106" s="3481"/>
      <c r="J106" s="2780"/>
    </row>
    <row r="107" spans="1:36" ht="12.75">
      <c r="A107" s="3552" t="s">
        <v>2535</v>
      </c>
      <c r="B107" s="2730" t="str">
        <f>B103</f>
        <v>总价（万元）</v>
      </c>
      <c r="C107" s="2731">
        <f>H125</f>
        <v>0</v>
      </c>
      <c r="D107" s="2732"/>
      <c r="E107" s="1389"/>
      <c r="F107" s="3484" t="s">
        <v>2541</v>
      </c>
      <c r="G107" s="3485"/>
      <c r="H107" s="2738" t="str">
        <f>C112</f>
        <v>总额（万元）</v>
      </c>
      <c r="I107" s="2737">
        <f>SUMIF(I108:I110,"&lt;9E307")</f>
        <v>0</v>
      </c>
      <c r="J107" s="2779"/>
    </row>
    <row r="108" spans="1:36" ht="15" thickBot="1">
      <c r="A108" s="3479"/>
      <c r="B108" s="2733" t="s">
        <v>2533</v>
      </c>
      <c r="C108" s="2734" t="e">
        <f>I125</f>
        <v>#DIV/0!</v>
      </c>
      <c r="D108" s="2735"/>
      <c r="E108" s="1389"/>
      <c r="F108" s="3450" t="s">
        <v>2542</v>
      </c>
      <c r="G108" s="3451"/>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8" t="str">
        <f>C114</f>
        <v>总额（万元）</v>
      </c>
      <c r="I109" s="52">
        <f>C39</f>
        <v>0</v>
      </c>
      <c r="J109" s="2763"/>
    </row>
    <row r="110" spans="1:36" ht="12.75">
      <c r="A110" s="3448" t="s">
        <v>2546</v>
      </c>
      <c r="B110" s="3449"/>
      <c r="C110" s="2736" t="str">
        <f>B103</f>
        <v>总价（万元）</v>
      </c>
      <c r="D110" s="2737">
        <f>H125</f>
        <v>0</v>
      </c>
      <c r="E110" s="1389"/>
      <c r="F110" s="3450" t="s">
        <v>2544</v>
      </c>
      <c r="G110" s="3451"/>
      <c r="H110" s="2738" t="str">
        <f>C115</f>
        <v>总额（万元）</v>
      </c>
      <c r="I110" s="52">
        <f>C40</f>
        <v>0</v>
      </c>
      <c r="J110" s="2763"/>
    </row>
    <row r="111" spans="1:36" ht="12.75">
      <c r="A111" s="3448"/>
      <c r="B111" s="3449"/>
      <c r="C111" s="2736" t="s">
        <v>2547</v>
      </c>
      <c r="D111" s="52" t="e">
        <f>I125</f>
        <v>#DIV/0!</v>
      </c>
      <c r="E111" s="1389"/>
      <c r="F111" s="3448"/>
      <c r="G111" s="3449"/>
      <c r="H111" s="3482"/>
      <c r="I111" s="3483"/>
      <c r="J111" s="2781"/>
    </row>
    <row r="112" spans="1:36" ht="28.5" customHeight="1">
      <c r="A112" s="3519" t="s">
        <v>2541</v>
      </c>
      <c r="B112" s="3520"/>
      <c r="C112" s="2738" t="str">
        <f>IF(H19="元","总额（元）","总额（万元）")</f>
        <v>总额（万元）</v>
      </c>
      <c r="D112" s="2737">
        <f>IF(D38="正常操作",I108+I109+I110,I109+I110)</f>
        <v>0</v>
      </c>
      <c r="E112" s="1389"/>
      <c r="F112" s="3431" t="str">
        <f>IF(项目基本情况!F5="已注销","——","3.房地产抵押价值")</f>
        <v>3.房地产抵押价值</v>
      </c>
      <c r="G112" s="3432"/>
      <c r="H112" s="1409" t="str">
        <f>C116</f>
        <v>总价（万元）</v>
      </c>
      <c r="I112" s="2737">
        <f>IF(F112="——","——",I104-I107)</f>
        <v>0</v>
      </c>
      <c r="J112" s="2779"/>
    </row>
    <row r="113" spans="1:27" ht="12.75">
      <c r="A113" s="3450" t="s">
        <v>2548</v>
      </c>
      <c r="B113" s="3451"/>
      <c r="C113" s="2738" t="str">
        <f>C112</f>
        <v>总额（万元）</v>
      </c>
      <c r="D113" s="52">
        <f>IF(D38="同一抵押权人同一抵押物续贷",C38&amp;"（未扣减，详见特别提示）",C38)</f>
        <v>0</v>
      </c>
      <c r="E113" s="1389"/>
      <c r="F113" s="3433"/>
      <c r="G113" s="3434"/>
      <c r="H113" s="2736" t="s">
        <v>2540</v>
      </c>
      <c r="I113" s="2740" t="e">
        <f>D117</f>
        <v>#DIV/0!</v>
      </c>
      <c r="J113" s="2782"/>
    </row>
    <row r="114" spans="1:27" ht="12.75">
      <c r="A114" s="3450" t="s">
        <v>2549</v>
      </c>
      <c r="B114" s="3451"/>
      <c r="C114" s="2738"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7" t="str">
        <f>IF(F114="——","——",I104-I109-I110)</f>
        <v>——</v>
      </c>
      <c r="J114" s="2779"/>
    </row>
    <row r="115" spans="1:27" ht="12.75">
      <c r="A115" s="3450" t="s">
        <v>2550</v>
      </c>
      <c r="B115" s="3451"/>
      <c r="C115" s="2738" t="str">
        <f>C112</f>
        <v>总额（万元）</v>
      </c>
      <c r="D115" s="52">
        <f>C40</f>
        <v>0</v>
      </c>
      <c r="E115" s="1389"/>
      <c r="F115" s="3433"/>
      <c r="G115" s="3434"/>
      <c r="H115" s="2736" t="s">
        <v>2540</v>
      </c>
      <c r="I115" s="52" t="str">
        <f>D119</f>
        <v>——</v>
      </c>
      <c r="J115" s="2763"/>
    </row>
    <row r="116" spans="1:27" ht="12.75">
      <c r="A116" s="3448" t="str">
        <f>IF(项目基本情况!F5="已注销","——","3.房地产抵押价值")</f>
        <v>3.房地产抵押价值</v>
      </c>
      <c r="B116" s="3449"/>
      <c r="C116" s="2736" t="str">
        <f>B103</f>
        <v>总价（万元）</v>
      </c>
      <c r="D116" s="2737">
        <f>IF(A116="——","——",D110-D112)</f>
        <v>0</v>
      </c>
      <c r="E116" s="1389"/>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48"/>
      <c r="B117" s="3449"/>
      <c r="C117" s="2736" t="s">
        <v>2547</v>
      </c>
      <c r="D117" s="52" t="e">
        <f>ROUND(IF(D116=D110,D111,IF(H19="元",D116/B125,D116*10000/B125)),0)</f>
        <v>#DIV/0!</v>
      </c>
      <c r="E117" s="1389"/>
      <c r="F117" s="3511"/>
      <c r="G117" s="3512"/>
      <c r="H117" s="2741" t="s">
        <v>2540</v>
      </c>
      <c r="I117" s="2725" t="str">
        <f>D121</f>
        <v>——</v>
      </c>
      <c r="J117" s="2763"/>
    </row>
    <row r="118" spans="1:27" ht="15.75">
      <c r="A118" s="3448" t="str">
        <f>IF(项目基本情况!F5="已注销及未注销","4.抵押担保权已注销时的房地产抵押价值",IF(项目基本情况!F5="已注销","3.抵押担保权已注销时的房地产抵押价值","——"))</f>
        <v>——</v>
      </c>
      <c r="B118" s="3449"/>
      <c r="C118" s="2736" t="str">
        <f>B103</f>
        <v>总价（万元）</v>
      </c>
      <c r="D118" s="2737" t="str">
        <f>IF(A118="——","——",D110-D114-D115)</f>
        <v>——</v>
      </c>
      <c r="E118" s="1389"/>
      <c r="F118" s="3426"/>
      <c r="G118" s="3426"/>
      <c r="H118" s="3467"/>
      <c r="I118" s="3467"/>
      <c r="J118" s="2783"/>
      <c r="O118" s="32"/>
      <c r="P118" s="32"/>
    </row>
    <row r="119" spans="1:27" s="1236" customFormat="1" ht="12.75">
      <c r="A119" s="3448"/>
      <c r="B119" s="3449"/>
      <c r="C119" s="2736"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D47" sqref="D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131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25122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728172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ROUND([2]基准地价修正!$C$33*D10,0)</f>
        <v>696474</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21242</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10456</v>
      </c>
      <c r="D8" s="1099"/>
      <c r="E8" s="115"/>
      <c r="F8" s="1098"/>
      <c r="G8" s="1446" t="s">
        <v>3046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10456</v>
      </c>
      <c r="D10" s="1101">
        <f>IF('数据-取费表'!B10&lt;&gt;"住宅",IF(B1="仅计算典型户型",'数据-取费表'!E5,'数据-取费表'!B5),0)</f>
        <v>52.28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52.28</v>
      </c>
      <c r="E19" s="111">
        <f>'数据-取费表'!E15</f>
        <v>200</v>
      </c>
      <c r="F19" s="112"/>
      <c r="G19" s="1446" t="s">
        <v>3045</v>
      </c>
    </row>
    <row r="20" spans="1:123" s="91" customFormat="1" ht="13.5" customHeight="1">
      <c r="A20" s="120" t="s">
        <v>1702</v>
      </c>
      <c r="B20" s="89" t="s">
        <v>1703</v>
      </c>
      <c r="C20" s="99">
        <f>ROUND((C5+C19)*F20,0)</f>
        <v>21845</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63368</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62451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150003</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150003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1058319</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201670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182980</v>
      </c>
      <c r="D34" s="1096"/>
      <c r="E34" s="115"/>
      <c r="F34" s="1107" t="str">
        <f>IF('数据-取费表'!B26=0,"",'数据-取费表'!E20)</f>
        <v/>
      </c>
      <c r="G34" s="95"/>
    </row>
    <row r="35" spans="1:123" ht="13.5" customHeight="1">
      <c r="A35" s="92" t="s">
        <v>1685</v>
      </c>
      <c r="B35" s="93" t="s">
        <v>1734</v>
      </c>
      <c r="C35" s="115">
        <f>ROUND(C34*F35,0)</f>
        <v>5489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10456</v>
      </c>
      <c r="D37" s="1096">
        <f>IF(B1="仅计算典型户型",'数据-取费表'!E5,'数据-取费表'!B5)</f>
        <v>52.28</v>
      </c>
      <c r="E37" s="115">
        <f>'数据-取费表'!E23</f>
        <v>200</v>
      </c>
      <c r="F37" s="1108"/>
      <c r="G37" s="124" t="s">
        <v>1739</v>
      </c>
    </row>
    <row r="38" spans="1:123" ht="13.5" customHeight="1">
      <c r="A38" s="92" t="s">
        <v>1740</v>
      </c>
      <c r="B38" s="93" t="s">
        <v>1741</v>
      </c>
      <c r="C38" s="115">
        <f>ROUND(C34*F38,0)</f>
        <v>2745</v>
      </c>
      <c r="D38" s="115"/>
      <c r="E38" s="115"/>
      <c r="F38" s="1108">
        <f>'数据-取费表'!E24</f>
        <v>1.4999999999999999E-2</v>
      </c>
      <c r="G38" s="95" t="s">
        <v>1735</v>
      </c>
    </row>
    <row r="39" spans="1:123" s="91" customFormat="1" ht="13.5" customHeight="1">
      <c r="A39" s="120" t="s">
        <v>1700</v>
      </c>
      <c r="B39" s="89" t="s">
        <v>1703</v>
      </c>
      <c r="C39" s="99">
        <f>ROUND(C33*F20,0)</f>
        <v>6050</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8724</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8470</v>
      </c>
      <c r="D42" s="104"/>
      <c r="E42" s="104"/>
      <c r="F42" s="105"/>
      <c r="G42" s="3554" t="s">
        <v>1745</v>
      </c>
    </row>
    <row r="43" spans="1:123" ht="13.5" customHeight="1">
      <c r="A43" s="92" t="s">
        <v>1685</v>
      </c>
      <c r="B43" s="93" t="s">
        <v>1714</v>
      </c>
      <c r="C43" s="104">
        <f ca="1">ROUND(IF('数据-取费表'!B24&lt;=1,C39*F22*'数据-取费表'!B23/2,C39*(POWER((1+F22),'数据-取费表'!B23/2)-1)),0)</f>
        <v>254</v>
      </c>
      <c r="D43" s="104"/>
      <c r="E43" s="104"/>
      <c r="F43" s="105"/>
      <c r="G43" s="3555"/>
    </row>
    <row r="44" spans="1:123" ht="13.5" customHeight="1">
      <c r="A44" s="92" t="s">
        <v>1687</v>
      </c>
      <c r="B44" s="93" t="s">
        <v>1716</v>
      </c>
      <c r="C44" s="104">
        <f ca="1">ROUND(IF('数据-取费表'!B24&lt;=1,C40*F22*'数据-取费表'!B23/2,C40*(POWER((1+F22),'数据-取费表'!B23/2)-1)),4)</f>
        <v>1.2999999999999999E-3</v>
      </c>
      <c r="D44" s="104"/>
      <c r="E44" s="104"/>
      <c r="F44" s="105"/>
      <c r="G44" s="3556"/>
    </row>
    <row r="45" spans="1:123" s="91" customFormat="1" ht="13.5" customHeight="1">
      <c r="A45" s="120" t="s">
        <v>1709</v>
      </c>
      <c r="B45" s="110" t="s">
        <v>1721</v>
      </c>
      <c r="C45" s="111">
        <f>C46</f>
        <v>41544</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41544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283410</v>
      </c>
      <c r="D49" s="99"/>
      <c r="E49" s="99"/>
      <c r="F49" s="126"/>
      <c r="G49" s="100" t="s">
        <v>1753</v>
      </c>
    </row>
    <row r="50" spans="1:123" s="122" customFormat="1" ht="24">
      <c r="A50" s="952" t="s">
        <v>1754</v>
      </c>
      <c r="B50" s="89" t="s">
        <v>1755</v>
      </c>
      <c r="C50" s="99"/>
      <c r="D50" s="99"/>
      <c r="E50" s="99"/>
      <c r="F50" s="126">
        <f>IF('数据-取费表'!B26=0,'数据-取费表'!E20,1)</f>
        <v>0.9</v>
      </c>
      <c r="G50" s="113" t="s">
        <v>1756</v>
      </c>
    </row>
    <row r="51" spans="1:123" ht="16.5" customHeight="1">
      <c r="A51" s="952" t="s">
        <v>1757</v>
      </c>
      <c r="B51" s="89" t="s">
        <v>1758</v>
      </c>
      <c r="C51" s="99">
        <f ca="1">ROUND(C49*F50,0)</f>
        <v>255069</v>
      </c>
      <c r="D51" s="99"/>
      <c r="E51" s="99"/>
      <c r="F51" s="126"/>
      <c r="G51" s="100" t="s">
        <v>1759</v>
      </c>
    </row>
    <row r="52" spans="1:123" s="88" customFormat="1" ht="16.5" thickBot="1">
      <c r="A52" s="127" t="s">
        <v>1760</v>
      </c>
      <c r="B52" s="128"/>
      <c r="C52" s="129">
        <f ca="1">C31+C51</f>
        <v>1313388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0.19400000000000001</v>
      </c>
    </row>
    <row r="57" spans="1:123">
      <c r="B57" s="135" t="s">
        <v>1763</v>
      </c>
      <c r="C57" s="137">
        <f ca="1">1-C56</f>
        <v>0.80600000000000005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-10456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-10456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-314</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-2154</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-2154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10466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3" zoomScale="80" zoomScaleNormal="60" zoomScaleSheetLayoutView="80" workbookViewId="0">
      <selection activeCell="D23" sqref="D2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141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27048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85977</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85870</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52.28</v>
      </c>
      <c r="G7" s="909"/>
      <c r="H7" s="237"/>
      <c r="I7" s="238"/>
      <c r="J7" s="239"/>
      <c r="K7" s="240"/>
      <c r="L7" s="235" t="s">
        <v>1777</v>
      </c>
      <c r="M7" s="236">
        <f>IF('数据-取费表'!B42="",IF(D1="仅计算典型户型",'数据-取费表'!E5,'数据-取费表'!B5),'数据-取费表'!B42)</f>
        <v>52.28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255069</v>
      </c>
      <c r="D13" s="1023" t="s">
        <v>1791</v>
      </c>
      <c r="E13" s="1023" t="s">
        <v>1792</v>
      </c>
      <c r="F13" s="1024">
        <f>'数据-取费表'!E20</f>
        <v>0.9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182980</v>
      </c>
      <c r="D14" s="1256" t="s">
        <v>1795</v>
      </c>
      <c r="E14" s="1257"/>
      <c r="F14" s="757"/>
      <c r="G14" s="910"/>
      <c r="H14" s="253" t="s">
        <v>1774</v>
      </c>
      <c r="I14" s="235" t="s">
        <v>1796</v>
      </c>
      <c r="J14" s="13">
        <f ca="1">C29</f>
        <v>283410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5489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6632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10456</v>
      </c>
      <c r="D17" s="235" t="s">
        <v>1809</v>
      </c>
      <c r="E17" s="235" t="s">
        <v>1810</v>
      </c>
      <c r="F17" s="15">
        <f>'数据-取费表'!E23</f>
        <v>200</v>
      </c>
      <c r="G17" s="910"/>
      <c r="H17" s="253" t="s">
        <v>1811</v>
      </c>
      <c r="I17" s="235" t="s">
        <v>1812</v>
      </c>
      <c r="J17" s="2744">
        <f ca="1">ROUND(IF(AND(项目基本情况!B7="自然人",项目基本情况!B6="北京市"),J6*M17/(1+'数据-取费表'!F30),J18+J19+J20),0)</f>
        <v>2381</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2745</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201670</v>
      </c>
      <c r="D19" s="33" t="s">
        <v>1820</v>
      </c>
      <c r="E19" s="1261"/>
      <c r="F19" s="15"/>
      <c r="G19" s="910"/>
      <c r="H19" s="253" t="s">
        <v>1797</v>
      </c>
      <c r="I19" s="235" t="s">
        <v>1821</v>
      </c>
      <c r="J19" s="13">
        <f ca="1">IF(项目基本情况!B7="自然人","——",IF(K19="按租金收入计税",ROUND(J6*M19/(1+'数据-取费表'!F30),0),ROUND(C29*M19*0.7,0)))</f>
        <v>2381</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6050</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4251</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8724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1.2999999999999999E-3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-6632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41544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283410</v>
      </c>
      <c r="D29" s="1034"/>
      <c r="E29" s="1032"/>
      <c r="F29" s="1035"/>
      <c r="G29" s="652"/>
      <c r="H29" s="271" t="s">
        <v>24</v>
      </c>
      <c r="I29" s="272" t="s">
        <v>1869</v>
      </c>
      <c r="J29" s="273">
        <f ca="1">ROUND(J26/(1+F40)^F41,0)</f>
        <v>0</v>
      </c>
      <c r="K29" s="274" t="s">
        <v>1870</v>
      </c>
      <c r="L29" s="275"/>
      <c r="M29" s="276">
        <f>IF(D1="仅计算典型户型",'数据-取费表'!E5,'数据-取费表'!B5)</f>
        <v>52.28</v>
      </c>
    </row>
    <row r="30" spans="1:37" ht="18" customHeight="1" thickTop="1">
      <c r="A30" s="1021" t="s">
        <v>14</v>
      </c>
      <c r="B30" s="1022" t="s">
        <v>1871</v>
      </c>
      <c r="C30" s="243">
        <f ca="1">ROUND(C31+C36+C37+C38,0)</f>
        <v>19806</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14312</v>
      </c>
      <c r="D31" s="1256" t="s">
        <v>1873</v>
      </c>
      <c r="E31" s="1259"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4498</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9814</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4251</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383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860</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66171</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1402439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31.47</v>
      </c>
      <c r="H41" s="908"/>
      <c r="I41" s="135" t="s">
        <v>1762</v>
      </c>
      <c r="J41" s="136">
        <f ca="1">ROUND(C13/C40,3)</f>
        <v>0.182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0.81800000000000006</v>
      </c>
      <c r="K42" s="905"/>
      <c r="L42" s="908"/>
      <c r="M42" s="908"/>
      <c r="Q42" s="656"/>
    </row>
    <row r="43" spans="1:18" s="652" customFormat="1" ht="18" customHeight="1" thickBot="1">
      <c r="A43" s="271" t="s">
        <v>24</v>
      </c>
      <c r="B43" s="272" t="s">
        <v>1891</v>
      </c>
      <c r="C43" s="273">
        <f ca="1">ROUND(C40/F43,0)</f>
        <v>26826</v>
      </c>
      <c r="D43" s="274" t="s">
        <v>1892</v>
      </c>
      <c r="E43" s="275" t="s">
        <v>1893</v>
      </c>
      <c r="F43" s="276">
        <f>IF(D1="仅计算典型户型",'数据-取费表'!E5,'数据-取费表'!B5)</f>
        <v>52.28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1402439</v>
      </c>
      <c r="R45" s="1008" t="s">
        <v>1900</v>
      </c>
    </row>
    <row r="46" spans="1:18" s="652" customFormat="1" ht="18" customHeight="1" thickBot="1">
      <c r="A46" s="649"/>
      <c r="D46" s="649"/>
      <c r="E46" s="649"/>
      <c r="F46" s="649"/>
      <c r="K46" s="653"/>
      <c r="O46" s="1005" t="s">
        <v>768</v>
      </c>
      <c r="P46" s="1006" t="s">
        <v>1901</v>
      </c>
      <c r="Q46" s="1007">
        <f ca="1">J61</f>
        <v>11643</v>
      </c>
      <c r="R46" s="1008" t="s">
        <v>1902</v>
      </c>
    </row>
    <row r="47" spans="1:18" s="652" customFormat="1" ht="21.75" thickBot="1">
      <c r="A47" s="1455" t="s">
        <v>1903</v>
      </c>
      <c r="C47" s="950">
        <f ca="1">IF(C2="元",C69-C40,ROUND((C69-C40)/10000,0))</f>
        <v>-182</v>
      </c>
      <c r="D47" s="1456" t="str">
        <f>C2</f>
        <v>万元</v>
      </c>
      <c r="E47" s="649"/>
      <c r="F47" s="649"/>
      <c r="I47" s="1457" t="s">
        <v>1904</v>
      </c>
      <c r="J47" s="981"/>
      <c r="K47" s="982"/>
      <c r="L47" s="995">
        <f ca="1">IF(M48="住宅",0,IF(L49&gt;J52,L61,J61))</f>
        <v>11643</v>
      </c>
      <c r="O47" s="1009" t="s">
        <v>769</v>
      </c>
      <c r="P47" s="1006" t="s">
        <v>1905</v>
      </c>
      <c r="Q47" s="1007">
        <f ca="1">C29</f>
        <v>283410</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31.47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2016</v>
      </c>
      <c r="K50" s="1465" t="s">
        <v>1921</v>
      </c>
      <c r="L50" s="984"/>
      <c r="O50" s="1009" t="s">
        <v>772</v>
      </c>
      <c r="P50" s="1006" t="s">
        <v>1922</v>
      </c>
      <c r="Q50" s="1007">
        <f>J54</f>
        <v>31.47</v>
      </c>
      <c r="R50" s="1008" t="s">
        <v>1923</v>
      </c>
    </row>
    <row r="51" spans="1:18" s="652" customFormat="1" ht="15.75" thickBot="1">
      <c r="A51" s="237"/>
      <c r="B51" s="238"/>
      <c r="C51" s="239"/>
      <c r="D51" s="240"/>
      <c r="E51" s="255" t="s">
        <v>1777</v>
      </c>
      <c r="F51" s="943">
        <f>F7</f>
        <v>52.28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141</v>
      </c>
      <c r="R51" s="1008" t="s">
        <v>774</v>
      </c>
    </row>
    <row r="52" spans="1:18" s="652" customFormat="1" ht="16.5" thickBot="1">
      <c r="A52" s="237"/>
      <c r="B52" s="238"/>
      <c r="C52" s="239"/>
      <c r="D52" s="240"/>
      <c r="E52" s="235" t="s">
        <v>1779</v>
      </c>
      <c r="F52" s="236">
        <f>F8</f>
        <v>365</v>
      </c>
      <c r="I52" s="1466" t="s">
        <v>1926</v>
      </c>
      <c r="J52" s="986">
        <f>IF(J50="",J51,J50+J51-YEAR('数据-取费表'!B2))</f>
        <v>54</v>
      </c>
      <c r="K52" s="1467" t="s">
        <v>1927</v>
      </c>
      <c r="L52" s="987">
        <f ca="1">ROUND(-PV('数据-取费表'!B15,J52,(C40-C13*J35)),0)</f>
        <v>26036484</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31.47</v>
      </c>
      <c r="K54" s="3557" t="s">
        <v>2460</v>
      </c>
      <c r="L54" s="3558"/>
      <c r="O54" s="1005" t="s">
        <v>767</v>
      </c>
      <c r="P54" s="1006" t="s">
        <v>1899</v>
      </c>
      <c r="Q54" s="1007">
        <f ca="1">C40+J29</f>
        <v>1402439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0.376</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255069</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283410</v>
      </c>
      <c r="D58" s="941"/>
      <c r="E58" s="942"/>
      <c r="F58" s="949"/>
      <c r="I58" s="1476" t="s">
        <v>1939</v>
      </c>
      <c r="J58" s="992">
        <f>IF(OR(M48="住宅",J52&lt;L49,J57="是"),"——",J52-L49)</f>
        <v>22.53</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28440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 ca="1">ROUND(IF(AND(项目基本情况!B7="自然人",项目基本情况!B6="北京市"),C50*F60/(1+'数据-取费表'!F30),C61+C62+C63),0)</f>
        <v>23806</v>
      </c>
      <c r="D60" s="1256" t="s">
        <v>1873</v>
      </c>
      <c r="E60" s="1259" t="s">
        <v>1874</v>
      </c>
      <c r="F60" s="2743" t="str">
        <f>IF(项目基本情况!B7="企业","——",IF('数据-取费表'!B10="住宅",IF(F50*F51*F52/12/(1+'数据-取费表'!F30)&gt;100000,4%,2.5%),IF(F50*F51*F52/12/(1+'数据-取费表'!F30)&gt;100000,12%,7%)))</f>
        <v>——</v>
      </c>
      <c r="I60" s="1476" t="s">
        <v>1946</v>
      </c>
      <c r="J60" s="992">
        <f ca="1">IF(OR(M48="住宅",J52&lt;L49,J57="是"),"——",ROUND(C29*J59,0))</f>
        <v>113364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140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11643</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23806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1402439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4251</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26036484</v>
      </c>
      <c r="R65" s="1012" t="s">
        <v>1962</v>
      </c>
    </row>
    <row r="66" spans="1:18" s="652" customFormat="1" ht="20.25" thickBot="1">
      <c r="A66" s="253" t="s">
        <v>20</v>
      </c>
      <c r="B66" s="235" t="s">
        <v>1840</v>
      </c>
      <c r="C66" s="13">
        <f ca="1">ROUND(C57*F66,0)</f>
        <v>383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66171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66171</v>
      </c>
      <c r="R67" s="1008" t="s">
        <v>1900</v>
      </c>
    </row>
    <row r="68" spans="1:18" ht="15.75" thickBot="1">
      <c r="A68" s="248" t="s">
        <v>22</v>
      </c>
      <c r="B68" s="41" t="s">
        <v>1850</v>
      </c>
      <c r="C68" s="250">
        <f ca="1">C49-C59</f>
        <v>-28440</v>
      </c>
      <c r="D68" s="1256" t="s">
        <v>1851</v>
      </c>
      <c r="E68" s="1258"/>
      <c r="F68" s="268"/>
      <c r="H68" s="652"/>
      <c r="I68" s="652"/>
      <c r="J68" s="652"/>
      <c r="K68" s="652"/>
      <c r="L68" s="652"/>
      <c r="M68" s="652"/>
      <c r="O68" s="1009" t="s">
        <v>776</v>
      </c>
      <c r="P68" s="1013" t="s">
        <v>1966</v>
      </c>
      <c r="Q68" s="1007">
        <f ca="1">C13</f>
        <v>255069</v>
      </c>
      <c r="R68" s="1008" t="s">
        <v>1900</v>
      </c>
    </row>
    <row r="69" spans="1:18" ht="15.75" thickBot="1">
      <c r="A69" s="232" t="s">
        <v>23</v>
      </c>
      <c r="B69" s="233" t="s">
        <v>1888</v>
      </c>
      <c r="C69" s="234">
        <f ca="1">ROUND(C68*(1-((1+F71)/(1+F69))^F70)/(F69-F71),0)</f>
        <v>-421192</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31.47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-8056</v>
      </c>
      <c r="D72" s="274" t="s">
        <v>1892</v>
      </c>
      <c r="E72" s="275" t="s">
        <v>1893</v>
      </c>
      <c r="F72" s="276">
        <f>F43</f>
        <v>52.28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140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565" t="s">
        <v>2653</v>
      </c>
      <c r="K2" s="3566"/>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567" t="s">
        <v>2663</v>
      </c>
      <c r="K3" s="3568"/>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567" t="s">
        <v>2665</v>
      </c>
      <c r="K4" s="3568"/>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573" t="s">
        <v>2669</v>
      </c>
      <c r="B6" s="3574"/>
      <c r="C6" s="3575"/>
      <c r="D6" s="3153"/>
      <c r="E6" s="3097"/>
      <c r="F6" s="3098"/>
      <c r="G6" s="3198"/>
      <c r="H6" s="3184"/>
      <c r="I6" s="3185"/>
      <c r="J6" s="3559">
        <v>1</v>
      </c>
      <c r="K6" s="3560"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559"/>
      <c r="K7" s="3561"/>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576" t="s">
        <v>2682</v>
      </c>
      <c r="C8" s="3577"/>
      <c r="D8" s="3107" t="s">
        <v>2683</v>
      </c>
      <c r="E8" s="3108" t="s">
        <v>2684</v>
      </c>
      <c r="F8" s="3091" t="s">
        <v>2685</v>
      </c>
      <c r="G8" s="3261" t="s">
        <v>2793</v>
      </c>
      <c r="H8" s="3184"/>
      <c r="I8" s="3185"/>
      <c r="J8" s="3559"/>
      <c r="K8" s="3561"/>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576" t="s">
        <v>2687</v>
      </c>
      <c r="C9" s="3577"/>
      <c r="D9" s="3107">
        <f>ROUND(D6*E9,0)</f>
        <v>0</v>
      </c>
      <c r="E9" s="3154"/>
      <c r="F9" s="3109" t="s">
        <v>2688</v>
      </c>
      <c r="G9" s="3207" t="s">
        <v>2791</v>
      </c>
      <c r="H9" s="3184"/>
      <c r="I9" s="3185"/>
      <c r="J9" s="3559"/>
      <c r="K9" s="3561"/>
      <c r="L9" s="3202" t="s">
        <v>2781</v>
      </c>
      <c r="M9" s="3203"/>
      <c r="N9" s="3203"/>
      <c r="O9" s="3204"/>
      <c r="P9" s="3204"/>
      <c r="Q9" s="3205">
        <v>365</v>
      </c>
      <c r="R9" s="3206">
        <f t="shared" si="0"/>
        <v>0</v>
      </c>
      <c r="S9" s="3182"/>
      <c r="T9" s="3182"/>
      <c r="U9" s="3182"/>
      <c r="V9" s="3185"/>
      <c r="W9" s="3184"/>
    </row>
    <row r="10" spans="1:23" s="3090" customFormat="1" ht="13.15" customHeight="1">
      <c r="A10" s="3106">
        <v>2</v>
      </c>
      <c r="B10" s="3576" t="s">
        <v>2689</v>
      </c>
      <c r="C10" s="3577"/>
      <c r="D10" s="3107">
        <f>ROUND(D6*E10,0)</f>
        <v>0</v>
      </c>
      <c r="E10" s="3154"/>
      <c r="F10" s="3109" t="s">
        <v>2690</v>
      </c>
      <c r="G10" s="3207" t="s">
        <v>2792</v>
      </c>
      <c r="H10" s="3184"/>
      <c r="I10" s="3185"/>
      <c r="J10" s="3559"/>
      <c r="K10" s="3561"/>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576" t="s">
        <v>2691</v>
      </c>
      <c r="C11" s="3577"/>
      <c r="D11" s="3107">
        <f>D12+D14+D15+D16</f>
        <v>0</v>
      </c>
      <c r="E11" s="3110" t="e">
        <f>D11/D6</f>
        <v>#DIV/0!</v>
      </c>
      <c r="F11" s="3091"/>
      <c r="G11" s="3207"/>
      <c r="H11" s="3184"/>
      <c r="I11" s="3185"/>
      <c r="J11" s="3559"/>
      <c r="K11" s="3561"/>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569" t="s">
        <v>2693</v>
      </c>
      <c r="C12" s="3570"/>
      <c r="D12" s="3112">
        <f>ROUND(D13*1.2%*(1-30%),0)</f>
        <v>0</v>
      </c>
      <c r="E12" s="3113">
        <v>1.2E-2</v>
      </c>
      <c r="F12" s="3091" t="s">
        <v>2694</v>
      </c>
      <c r="G12" s="3207"/>
      <c r="H12" s="3184"/>
      <c r="I12" s="3185"/>
      <c r="J12" s="3559"/>
      <c r="K12" s="3561"/>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559"/>
      <c r="K13" s="3561"/>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569" t="s">
        <v>2697</v>
      </c>
      <c r="C14" s="3570"/>
      <c r="D14" s="3112">
        <f>ROUND(E14*B5/10000,0)</f>
        <v>0</v>
      </c>
      <c r="E14" s="3156"/>
      <c r="F14" s="3091" t="s">
        <v>2698</v>
      </c>
      <c r="G14" s="3207"/>
      <c r="H14" s="3184"/>
      <c r="I14" s="3185"/>
      <c r="J14" s="3559"/>
      <c r="K14" s="3562"/>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569" t="s">
        <v>2701</v>
      </c>
      <c r="C15" s="3570"/>
      <c r="D15" s="3112">
        <f>ROUND(D6*E15,0)</f>
        <v>0</v>
      </c>
      <c r="E15" s="3113">
        <v>5.5E-2</v>
      </c>
      <c r="F15" s="3091" t="s">
        <v>2702</v>
      </c>
      <c r="G15" s="3207"/>
      <c r="H15" s="3184"/>
      <c r="I15" s="3185"/>
      <c r="J15" s="3559">
        <v>2</v>
      </c>
      <c r="K15" s="3560"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569" t="s">
        <v>2712</v>
      </c>
      <c r="C16" s="3570"/>
      <c r="D16" s="3157">
        <f>D6*E16</f>
        <v>0</v>
      </c>
      <c r="E16" s="3158"/>
      <c r="F16" s="3109" t="s">
        <v>2713</v>
      </c>
      <c r="G16" s="3207"/>
      <c r="H16" s="3184"/>
      <c r="I16" s="3185"/>
      <c r="J16" s="3559"/>
      <c r="K16" s="3561"/>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1" t="s">
        <v>2714</v>
      </c>
      <c r="C17" s="3572"/>
      <c r="D17" s="3118">
        <f>ROUND(D6*E17,0)</f>
        <v>0</v>
      </c>
      <c r="E17" s="3159"/>
      <c r="F17" s="3119" t="s">
        <v>2715</v>
      </c>
      <c r="G17" s="3260">
        <v>0.1</v>
      </c>
      <c r="H17" s="3184"/>
      <c r="I17" s="3185"/>
      <c r="J17" s="3559"/>
      <c r="K17" s="3561"/>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559"/>
      <c r="K18" s="3561"/>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559"/>
      <c r="K19" s="3562"/>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59">
        <v>3</v>
      </c>
      <c r="K20" s="3560"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559"/>
      <c r="K21" s="3561"/>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559"/>
      <c r="K22" s="3561"/>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559"/>
      <c r="K23" s="3561"/>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559"/>
      <c r="K24" s="3562"/>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563">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564"/>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565" t="s">
        <v>2751</v>
      </c>
      <c r="K32" s="3566"/>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567" t="s">
        <v>2755</v>
      </c>
      <c r="K33" s="3568"/>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567" t="s">
        <v>2757</v>
      </c>
      <c r="K34" s="3568"/>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559">
        <v>1</v>
      </c>
      <c r="K36" s="3560"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559"/>
      <c r="K37" s="3561"/>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59"/>
      <c r="K38" s="3561"/>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559"/>
      <c r="K39" s="3561"/>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559"/>
      <c r="K40" s="3562"/>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3">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564"/>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52.28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4"/>
      <c r="M4" s="2915"/>
      <c r="N4" s="2915"/>
      <c r="O4" s="2915"/>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4"/>
      <c r="M5" s="2915"/>
      <c r="N5" s="2915"/>
      <c r="O5" s="2915"/>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4"/>
      <c r="M6" s="2915"/>
      <c r="N6" s="2915"/>
      <c r="O6" s="2915"/>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44729</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0"/>
      <c r="N47" s="2915"/>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0"/>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0"/>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52.28</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4"/>
      <c r="M4" s="2915"/>
      <c r="N4" s="2915"/>
      <c r="O4" s="2915"/>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4"/>
      <c r="M5" s="2915"/>
      <c r="N5" s="2915"/>
      <c r="O5" s="2915"/>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4"/>
      <c r="M6" s="2915"/>
      <c r="N6" s="2915"/>
      <c r="O6" s="2915"/>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44729</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0"/>
      <c r="N48" s="2915"/>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0"/>
      <c r="N49" s="2915"/>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2138</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52.28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4"/>
      <c r="M4" s="2915"/>
      <c r="N4" s="2915"/>
      <c r="O4" s="2915"/>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4"/>
      <c r="M5" s="2915"/>
      <c r="N5" s="2915"/>
      <c r="O5" s="2915"/>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4"/>
      <c r="M6" s="2915"/>
      <c r="N6" s="2915"/>
      <c r="O6" s="2915"/>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44729</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23" t="s">
        <v>2026</v>
      </c>
      <c r="Q9" s="2832"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23"/>
      <c r="Q10" s="2832"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23"/>
      <c r="Q11" s="2832"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23"/>
      <c r="Q12" s="2832">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23"/>
      <c r="Q13" s="2832">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23"/>
      <c r="Q14" s="2832">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612" t="s">
        <v>2031</v>
      </c>
      <c r="Q15" s="2833"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613"/>
      <c r="Q16" s="2833"/>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613"/>
      <c r="Q17" s="2833"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613"/>
      <c r="Q18" s="2833"/>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613"/>
      <c r="Q19" s="2833"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613"/>
      <c r="Q20" s="2833"/>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613"/>
      <c r="Q21" s="2833"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613"/>
      <c r="Q22" s="2833"/>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613"/>
      <c r="Q23" s="2833"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613"/>
      <c r="Q24" s="2833"/>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613"/>
      <c r="Q25" s="2833"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613"/>
      <c r="Q26" s="2833"/>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613"/>
      <c r="Q27" s="2833"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613"/>
      <c r="Q28" s="2832"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613"/>
      <c r="Q29" s="2833">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613"/>
      <c r="Q30" s="2833">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613"/>
      <c r="Q31" s="2833">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613"/>
      <c r="Q32" s="2833">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32" t="s">
        <v>2037</v>
      </c>
      <c r="Q33" s="2833"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617"/>
      <c r="Q35" s="2833"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617"/>
      <c r="Q36" s="2833"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617"/>
      <c r="Q37" s="2833"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617"/>
      <c r="Q38" s="2832"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617" t="s">
        <v>2037</v>
      </c>
      <c r="Q39" s="2833"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617"/>
      <c r="Q40" s="2833"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17"/>
      <c r="Q41" s="2833"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617"/>
      <c r="Q43" s="2833"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617"/>
      <c r="Q44" s="2833"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17"/>
      <c r="Q45" s="2832">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17"/>
      <c r="Q46" s="2833">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18"/>
      <c r="Q47" s="2833">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0"/>
      <c r="M48" s="2915"/>
      <c r="N48" s="2915"/>
      <c r="O48" s="2915"/>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0"/>
      <c r="M49" s="2915"/>
      <c r="N49" s="2915"/>
      <c r="O49" s="2915"/>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0"/>
      <c r="M50" s="2915"/>
      <c r="N50" s="2915"/>
      <c r="O50" s="2915"/>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4"/>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2158</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2160</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52.28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2"/>
      <c r="M4" s="2943"/>
      <c r="N4" s="2943"/>
      <c r="O4" s="2943"/>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2"/>
      <c r="M5" s="2943"/>
      <c r="N5" s="2943"/>
      <c r="O5" s="2943"/>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2"/>
      <c r="M6" s="2943"/>
      <c r="N6" s="2943"/>
      <c r="O6" s="2943"/>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44729</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4"/>
      <c r="N42" s="2943"/>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52.28</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2"/>
      <c r="M4" s="2943"/>
      <c r="N4" s="2943"/>
      <c r="O4" s="2943"/>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2"/>
      <c r="M5" s="2943"/>
      <c r="N5" s="2943"/>
      <c r="O5" s="2943"/>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2"/>
      <c r="M6" s="2943"/>
      <c r="N6" s="2943"/>
      <c r="O6" s="2943"/>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44729</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4"/>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52.28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2"/>
      <c r="M4" s="2943"/>
      <c r="N4" s="2943"/>
      <c r="O4" s="2943"/>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2"/>
      <c r="M5" s="2943"/>
      <c r="N5" s="2943"/>
      <c r="O5" s="2943"/>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2"/>
      <c r="M6" s="2943"/>
      <c r="N6" s="2943"/>
      <c r="O6" s="2943"/>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44729</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4"/>
      <c r="N36" s="2943"/>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4"/>
      <c r="M4" s="2915"/>
      <c r="N4" s="2915"/>
      <c r="O4" s="2915"/>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4"/>
      <c r="M5" s="2915"/>
      <c r="N5" s="2915"/>
      <c r="O5" s="2915"/>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4"/>
      <c r="M6" s="2915"/>
      <c r="N6" s="2915"/>
      <c r="O6" s="2915"/>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44729</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6"/>
      <c r="M10" s="2917"/>
      <c r="N10" s="2917"/>
      <c r="O10" s="2962"/>
      <c r="P10" s="3623"/>
      <c r="Q10" s="1563" t="str">
        <f t="shared" si="6"/>
        <v>土地使用年限（年）</v>
      </c>
      <c r="R10" s="1609" t="s">
        <v>25</v>
      </c>
      <c r="S10" s="1610">
        <f t="shared" si="0"/>
        <v>109</v>
      </c>
      <c r="T10" s="1609" t="s">
        <v>25</v>
      </c>
      <c r="U10" s="1610">
        <f t="shared" si="1"/>
        <v>109</v>
      </c>
      <c r="V10" s="1609" t="s">
        <v>25</v>
      </c>
      <c r="W10" s="1610">
        <f t="shared" si="2"/>
        <v>109</v>
      </c>
      <c r="X10" s="1611"/>
      <c r="Y10" s="3487"/>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0"/>
      <c r="N46" s="2915"/>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0"/>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0"/>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估价对象为北京市房地产，为XX所有。根据《》[]，估价对象建筑面积为52.28平方米。根据《》[]，估价对象（分摊）出让国有建设用地使用权面积为平方米。估价对象用途为。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本次估价的“房地产价值”是指在正常市场情况下，在价值时点2022年6月17日，估价对象规划用途为，假定未设立法定优先受偿款下的房地产市场价值。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2"/>
      <c r="M4" s="2943"/>
      <c r="N4" s="2943"/>
      <c r="O4" s="2943"/>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2"/>
      <c r="M5" s="2943"/>
      <c r="N5" s="2943"/>
      <c r="O5" s="2943"/>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2"/>
      <c r="M6" s="2943"/>
      <c r="N6" s="2943"/>
      <c r="O6" s="2943"/>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44729</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7"/>
      <c r="M10" s="2948"/>
      <c r="N10" s="2948"/>
      <c r="O10" s="2949"/>
      <c r="P10" s="3637"/>
      <c r="Q10" s="1255" t="str">
        <f t="shared" si="6"/>
        <v>土地使用年限（年）</v>
      </c>
      <c r="R10" s="627" t="s">
        <v>25</v>
      </c>
      <c r="S10" s="628">
        <f t="shared" si="0"/>
        <v>109</v>
      </c>
      <c r="T10" s="627" t="s">
        <v>25</v>
      </c>
      <c r="U10" s="628">
        <f t="shared" si="1"/>
        <v>109</v>
      </c>
      <c r="V10" s="627" t="s">
        <v>25</v>
      </c>
      <c r="W10" s="628">
        <f t="shared" si="2"/>
        <v>109</v>
      </c>
      <c r="X10" s="629"/>
      <c r="Y10" s="3667"/>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4"/>
      <c r="M42" s="2943"/>
      <c r="N42" s="2943"/>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52.28</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44729</v>
      </c>
      <c r="H19" s="2121" t="s">
        <v>2484</v>
      </c>
      <c r="I19" s="2122" t="str">
        <f>IF(H19="季度增幅（自定义）",SUMIF(N21:N24,E2,O21:O24),"")</f>
        <v/>
      </c>
      <c r="J19" s="2123"/>
      <c r="K19" s="2969"/>
      <c r="L19" s="2004" t="s">
        <v>2350</v>
      </c>
      <c r="M19" s="2124">
        <f>ROUND(SUMIF(地价!B2:F2,E2,地价!B41:F41),0)</f>
        <v>423</v>
      </c>
      <c r="N19" s="2125" t="s">
        <v>2351</v>
      </c>
      <c r="O19" s="2126">
        <f>ROUNDDOWN(DATEDIF(E19,G19,"M")/3,0)</f>
        <v>33</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0.81130000000000002</v>
      </c>
      <c r="D20" s="2130" t="s">
        <v>2354</v>
      </c>
      <c r="E20" s="3071">
        <f>存贷款利率!E21/100</f>
        <v>4.3499999999999997E-2</v>
      </c>
      <c r="F20" s="2130" t="s">
        <v>2343</v>
      </c>
      <c r="G20" s="3072">
        <f>SUMIF(M26:P26,E2,M28:P28)</f>
        <v>0.05</v>
      </c>
      <c r="H20" s="2130" t="s">
        <v>2355</v>
      </c>
      <c r="I20" s="2131">
        <f>'数据-取费表'!B13</f>
        <v>31.47</v>
      </c>
      <c r="J20" s="2132">
        <f>IF(E2="住宅",70,IF(E2="商业",40,50))</f>
        <v>70</v>
      </c>
      <c r="K20" s="2969"/>
      <c r="L20" s="2133" t="s">
        <v>2356</v>
      </c>
      <c r="M20" s="2134">
        <f>ROUND(SUMPRODUCT((地价!A4:A41=YEAR(G19)&amp;"-"&amp;ROUNDUP(MONTH(G19)/3,0))*(地价!B2:F2=E2)*(地价!B4:F41)),0)</f>
        <v>744</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1.01E-2</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1.01E-2</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1.78E-2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1.18E-2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1.6199999999999999E-2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2380</v>
      </c>
      <c r="C29" s="54">
        <f>ROUND(C5*C18*C19*C20*C21*C24,0)</f>
        <v>0</v>
      </c>
      <c r="D29" s="2172">
        <f>项目基本情况!C12</f>
        <v>52.28</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81" t="s">
        <v>2437</v>
      </c>
      <c r="B90" s="3681"/>
      <c r="C90" s="3681"/>
      <c r="D90" s="3681"/>
      <c r="E90" s="3681"/>
      <c r="F90" s="3681"/>
      <c r="G90" s="3681"/>
      <c r="H90" s="3681"/>
      <c r="I90" s="3681"/>
      <c r="J90" s="3681"/>
      <c r="K90" s="2234"/>
      <c r="L90" s="2234"/>
      <c r="M90" s="2234"/>
      <c r="N90" s="2234"/>
      <c r="Q90" s="2975"/>
      <c r="R90" s="2975"/>
      <c r="S90" s="2975"/>
      <c r="T90" s="2975"/>
      <c r="U90" s="2975"/>
      <c r="V90" s="2975"/>
      <c r="W90" s="2975"/>
    </row>
    <row r="91" spans="1:33">
      <c r="A91" s="3683" t="s">
        <v>2438</v>
      </c>
      <c r="B91" s="3683"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82" t="s">
        <v>2445</v>
      </c>
      <c r="B110" s="3682"/>
      <c r="C110" s="3682"/>
      <c r="D110" s="3682"/>
      <c r="E110" s="3682"/>
      <c r="F110" s="3682"/>
      <c r="G110" s="3682"/>
      <c r="H110" s="3682"/>
      <c r="I110" s="3682"/>
      <c r="J110" s="3682"/>
      <c r="K110" s="2008"/>
      <c r="L110" s="2008"/>
      <c r="M110" s="2008"/>
      <c r="N110" s="2008"/>
      <c r="Q110" s="2975"/>
      <c r="R110" s="2975"/>
      <c r="S110" s="2975"/>
      <c r="T110" s="2975"/>
      <c r="U110" s="2975"/>
      <c r="V110" s="2975"/>
      <c r="W110" s="2975"/>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2" t="s">
        <v>2803</v>
      </c>
      <c r="B20" s="3715" t="s">
        <v>2811</v>
      </c>
      <c r="C20" s="3289" t="s">
        <v>2812</v>
      </c>
      <c r="D20" s="3290"/>
      <c r="E20" s="3291">
        <v>1</v>
      </c>
      <c r="F20" s="3292" t="s">
        <v>2813</v>
      </c>
      <c r="G20" s="3292"/>
    </row>
    <row r="21" spans="1:13" ht="19.5" customHeight="1">
      <c r="A21" s="3713"/>
      <c r="B21" s="3711"/>
      <c r="C21" s="740" t="s">
        <v>2814</v>
      </c>
      <c r="D21" s="741"/>
      <c r="E21" s="3293">
        <v>1</v>
      </c>
      <c r="F21" s="3292" t="s">
        <v>2815</v>
      </c>
      <c r="G21" s="3292"/>
    </row>
    <row r="22" spans="1:13" ht="19.5" customHeight="1">
      <c r="A22" s="3713"/>
      <c r="B22" s="3711"/>
      <c r="C22" s="740" t="s">
        <v>2816</v>
      </c>
      <c r="D22" s="741"/>
      <c r="E22" s="3293">
        <v>0.9</v>
      </c>
      <c r="F22" s="3292" t="s">
        <v>2817</v>
      </c>
      <c r="G22" s="3292"/>
    </row>
    <row r="23" spans="1:13" ht="19.5" customHeight="1">
      <c r="A23" s="3713"/>
      <c r="B23" s="3711"/>
      <c r="C23" s="740" t="s">
        <v>2818</v>
      </c>
      <c r="D23" s="741"/>
      <c r="E23" s="3293">
        <v>0.9</v>
      </c>
      <c r="F23" s="3292" t="s">
        <v>2819</v>
      </c>
      <c r="G23" s="3292"/>
    </row>
    <row r="24" spans="1:13" ht="19.5" customHeight="1">
      <c r="A24" s="3713"/>
      <c r="B24" s="3711"/>
      <c r="C24" s="740" t="s">
        <v>2820</v>
      </c>
      <c r="D24" s="741"/>
      <c r="E24" s="3293">
        <v>0.8</v>
      </c>
      <c r="F24" s="3292" t="s">
        <v>2821</v>
      </c>
      <c r="G24" s="3292"/>
    </row>
    <row r="25" spans="1:13" ht="19.5" customHeight="1" thickBot="1">
      <c r="A25" s="3714"/>
      <c r="B25" s="3716"/>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17" t="s">
        <v>2808</v>
      </c>
      <c r="B27" s="3715" t="s">
        <v>2808</v>
      </c>
      <c r="C27" s="3289" t="s">
        <v>2825</v>
      </c>
      <c r="D27" s="3290"/>
      <c r="E27" s="3291">
        <v>1</v>
      </c>
      <c r="F27" s="3292" t="s">
        <v>2866</v>
      </c>
      <c r="G27" s="3292"/>
    </row>
    <row r="28" spans="1:13" ht="19.5" customHeight="1">
      <c r="A28" s="3718"/>
      <c r="B28" s="3711"/>
      <c r="C28" s="740" t="s">
        <v>2826</v>
      </c>
      <c r="D28" s="741"/>
      <c r="E28" s="3293">
        <v>1</v>
      </c>
      <c r="F28" s="3292" t="s">
        <v>2867</v>
      </c>
      <c r="G28" s="3292"/>
    </row>
    <row r="29" spans="1:13" ht="19.5" customHeight="1">
      <c r="A29" s="3718"/>
      <c r="B29" s="3711"/>
      <c r="C29" s="740" t="s">
        <v>2827</v>
      </c>
      <c r="D29" s="741"/>
      <c r="E29" s="3293">
        <v>0.8</v>
      </c>
      <c r="F29" s="3292" t="s">
        <v>2868</v>
      </c>
      <c r="G29" s="3292"/>
    </row>
    <row r="30" spans="1:13" ht="19.5" customHeight="1">
      <c r="A30" s="3718"/>
      <c r="B30" s="3711"/>
      <c r="C30" s="740" t="s">
        <v>2828</v>
      </c>
      <c r="D30" s="741"/>
      <c r="E30" s="3293">
        <v>0.8</v>
      </c>
      <c r="F30" s="3292" t="s">
        <v>2869</v>
      </c>
      <c r="G30" s="3292"/>
    </row>
    <row r="31" spans="1:13" ht="19.5" customHeight="1">
      <c r="A31" s="3718"/>
      <c r="B31" s="3711"/>
      <c r="C31" s="740" t="s">
        <v>2829</v>
      </c>
      <c r="D31" s="741"/>
      <c r="E31" s="3293">
        <v>0.8</v>
      </c>
      <c r="F31" s="3292" t="s">
        <v>2870</v>
      </c>
      <c r="G31" s="3292"/>
    </row>
    <row r="32" spans="1:13" ht="19.5" customHeight="1">
      <c r="A32" s="3718"/>
      <c r="B32" s="3711"/>
      <c r="C32" s="740" t="s">
        <v>2830</v>
      </c>
      <c r="D32" s="741"/>
      <c r="E32" s="3293">
        <v>0.7</v>
      </c>
      <c r="F32" s="3292" t="s">
        <v>2871</v>
      </c>
      <c r="G32" s="3292"/>
    </row>
    <row r="33" spans="1:7" ht="19.5" customHeight="1">
      <c r="A33" s="3718"/>
      <c r="B33" s="3711"/>
      <c r="C33" s="740" t="s">
        <v>2831</v>
      </c>
      <c r="D33" s="741"/>
      <c r="E33" s="3293">
        <v>0.8</v>
      </c>
      <c r="F33" s="3292" t="s">
        <v>2872</v>
      </c>
      <c r="G33" s="3292"/>
    </row>
    <row r="34" spans="1:7" ht="19.5" customHeight="1">
      <c r="A34" s="3718"/>
      <c r="B34" s="3711"/>
      <c r="C34" s="740" t="s">
        <v>2832</v>
      </c>
      <c r="D34" s="741"/>
      <c r="E34" s="3293">
        <v>0.6</v>
      </c>
      <c r="F34" s="3292" t="s">
        <v>2873</v>
      </c>
      <c r="G34" s="3292"/>
    </row>
    <row r="35" spans="1:7" ht="19.5" customHeight="1">
      <c r="A35" s="3718"/>
      <c r="B35" s="3711"/>
      <c r="C35" s="740" t="s">
        <v>2833</v>
      </c>
      <c r="D35" s="741"/>
      <c r="E35" s="3293">
        <v>0.2</v>
      </c>
      <c r="F35" s="3292" t="s">
        <v>2874</v>
      </c>
      <c r="G35" s="3292"/>
    </row>
    <row r="36" spans="1:7" ht="19.5" customHeight="1">
      <c r="A36" s="3718"/>
      <c r="B36" s="3711"/>
      <c r="C36" s="740" t="s">
        <v>2834</v>
      </c>
      <c r="D36" s="741"/>
      <c r="E36" s="3293">
        <v>0.2</v>
      </c>
      <c r="F36" s="3292" t="s">
        <v>2875</v>
      </c>
      <c r="G36" s="3292"/>
    </row>
    <row r="37" spans="1:7" ht="19.5" customHeight="1">
      <c r="A37" s="3718"/>
      <c r="B37" s="3709" t="s">
        <v>2835</v>
      </c>
      <c r="C37" s="740" t="s">
        <v>2836</v>
      </c>
      <c r="D37" s="741"/>
      <c r="E37" s="3293">
        <v>0.6</v>
      </c>
      <c r="F37" s="3292" t="s">
        <v>2876</v>
      </c>
      <c r="G37" s="3292"/>
    </row>
    <row r="38" spans="1:7" ht="19.5" customHeight="1">
      <c r="A38" s="3718"/>
      <c r="B38" s="3711"/>
      <c r="C38" s="740" t="s">
        <v>2837</v>
      </c>
      <c r="D38" s="741"/>
      <c r="E38" s="3293">
        <v>0.6</v>
      </c>
      <c r="F38" s="3292" t="s">
        <v>2877</v>
      </c>
      <c r="G38" s="3292"/>
    </row>
    <row r="39" spans="1:7" ht="19.5" customHeight="1" thickBot="1">
      <c r="A39" s="3719"/>
      <c r="B39" s="3716"/>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2" t="s">
        <v>2841</v>
      </c>
      <c r="B41" s="3715" t="s">
        <v>2842</v>
      </c>
      <c r="C41" s="3289" t="s">
        <v>2843</v>
      </c>
      <c r="D41" s="3290"/>
      <c r="E41" s="3291">
        <v>1</v>
      </c>
      <c r="F41" s="3292" t="s">
        <v>2844</v>
      </c>
      <c r="G41" s="3292"/>
    </row>
    <row r="42" spans="1:7" ht="19.5" customHeight="1">
      <c r="A42" s="3713"/>
      <c r="B42" s="3711"/>
      <c r="C42" s="740" t="s">
        <v>2845</v>
      </c>
      <c r="D42" s="741"/>
      <c r="E42" s="3293">
        <v>1</v>
      </c>
      <c r="F42" s="3292" t="s">
        <v>2846</v>
      </c>
      <c r="G42" s="3292"/>
    </row>
    <row r="43" spans="1:7" ht="19.5" customHeight="1">
      <c r="A43" s="3713"/>
      <c r="B43" s="3710"/>
      <c r="C43" s="740" t="s">
        <v>2847</v>
      </c>
      <c r="D43" s="741"/>
      <c r="E43" s="3293">
        <v>1.5</v>
      </c>
      <c r="F43" s="3292" t="s">
        <v>2848</v>
      </c>
      <c r="G43" s="3292"/>
    </row>
    <row r="44" spans="1:7" ht="19.5" customHeight="1">
      <c r="A44" s="3713"/>
      <c r="B44" s="3302" t="s">
        <v>2808</v>
      </c>
      <c r="C44" s="740" t="s">
        <v>2807</v>
      </c>
      <c r="D44" s="741"/>
      <c r="E44" s="3293">
        <v>2</v>
      </c>
      <c r="F44" s="3292" t="s">
        <v>2849</v>
      </c>
      <c r="G44" s="3292"/>
    </row>
    <row r="45" spans="1:7" ht="19.5" customHeight="1">
      <c r="A45" s="3713"/>
      <c r="B45" s="3709" t="s">
        <v>2850</v>
      </c>
      <c r="C45" s="740" t="s">
        <v>2851</v>
      </c>
      <c r="D45" s="741"/>
      <c r="E45" s="3293">
        <v>1</v>
      </c>
      <c r="F45" s="3292" t="s">
        <v>2852</v>
      </c>
      <c r="G45" s="3292"/>
    </row>
    <row r="46" spans="1:7" ht="19.5" customHeight="1">
      <c r="A46" s="3713"/>
      <c r="B46" s="3711"/>
      <c r="C46" s="740" t="s">
        <v>2853</v>
      </c>
      <c r="D46" s="741"/>
      <c r="E46" s="3293">
        <v>1</v>
      </c>
      <c r="F46" s="3292" t="s">
        <v>2854</v>
      </c>
      <c r="G46" s="3292"/>
    </row>
    <row r="47" spans="1:7" ht="19.5" customHeight="1">
      <c r="A47" s="3713"/>
      <c r="B47" s="3711"/>
      <c r="C47" s="740" t="s">
        <v>2855</v>
      </c>
      <c r="D47" s="741"/>
      <c r="E47" s="3293">
        <v>1</v>
      </c>
      <c r="F47" s="3292" t="s">
        <v>2856</v>
      </c>
      <c r="G47" s="3292"/>
    </row>
    <row r="48" spans="1:7" ht="19.5" customHeight="1">
      <c r="A48" s="3713"/>
      <c r="B48" s="3711"/>
      <c r="C48" s="740" t="s">
        <v>2857</v>
      </c>
      <c r="D48" s="741"/>
      <c r="E48" s="3293">
        <v>1</v>
      </c>
      <c r="F48" s="3292" t="s">
        <v>2858</v>
      </c>
      <c r="G48" s="3292"/>
    </row>
    <row r="49" spans="1:7" ht="19.5" customHeight="1">
      <c r="A49" s="3713"/>
      <c r="B49" s="3711"/>
      <c r="C49" s="740" t="s">
        <v>2859</v>
      </c>
      <c r="D49" s="741"/>
      <c r="E49" s="3293">
        <v>1</v>
      </c>
      <c r="F49" s="3292" t="s">
        <v>2860</v>
      </c>
      <c r="G49" s="3292"/>
    </row>
    <row r="50" spans="1:7" ht="19.5" customHeight="1">
      <c r="A50" s="3713"/>
      <c r="B50" s="3711"/>
      <c r="C50" s="740" t="s">
        <v>2861</v>
      </c>
      <c r="D50" s="741"/>
      <c r="E50" s="3293">
        <v>1</v>
      </c>
      <c r="F50" s="3292" t="s">
        <v>2862</v>
      </c>
      <c r="G50" s="3292"/>
    </row>
    <row r="51" spans="1:7" ht="19.5" customHeight="1" thickBot="1">
      <c r="A51" s="3714"/>
      <c r="B51" s="3716"/>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09" t="s">
        <v>2881</v>
      </c>
      <c r="C73" s="3283" t="s">
        <v>2882</v>
      </c>
      <c r="D73" s="3283" t="s">
        <v>2883</v>
      </c>
      <c r="E73" s="3308">
        <v>0.2</v>
      </c>
      <c r="F73" s="3302">
        <v>25</v>
      </c>
    </row>
    <row r="74" spans="1:7" ht="24">
      <c r="A74" s="3302">
        <v>2</v>
      </c>
      <c r="B74" s="3711"/>
      <c r="C74" s="3283" t="s">
        <v>2884</v>
      </c>
      <c r="D74" s="3283" t="s">
        <v>2885</v>
      </c>
      <c r="E74" s="3308">
        <v>0.2</v>
      </c>
      <c r="F74" s="3302">
        <v>25</v>
      </c>
    </row>
    <row r="75" spans="1:7" ht="24">
      <c r="A75" s="3302">
        <v>3</v>
      </c>
      <c r="B75" s="3711"/>
      <c r="C75" s="3283" t="s">
        <v>2886</v>
      </c>
      <c r="D75" s="3283" t="s">
        <v>2887</v>
      </c>
      <c r="E75" s="3308">
        <v>0.2</v>
      </c>
      <c r="F75" s="3302">
        <v>25</v>
      </c>
    </row>
    <row r="76" spans="1:7" ht="13.5">
      <c r="A76" s="3302">
        <v>4</v>
      </c>
      <c r="B76" s="3711"/>
      <c r="C76" s="3283" t="s">
        <v>2888</v>
      </c>
      <c r="D76" s="3283" t="s">
        <v>2889</v>
      </c>
      <c r="E76" s="3308">
        <v>0.15</v>
      </c>
      <c r="F76" s="3302">
        <v>20</v>
      </c>
    </row>
    <row r="77" spans="1:7" ht="24">
      <c r="A77" s="3302">
        <v>5</v>
      </c>
      <c r="B77" s="3711"/>
      <c r="C77" s="3283" t="s">
        <v>2890</v>
      </c>
      <c r="D77" s="3283" t="s">
        <v>2891</v>
      </c>
      <c r="E77" s="3308">
        <v>0.15</v>
      </c>
      <c r="F77" s="3302">
        <v>20</v>
      </c>
    </row>
    <row r="78" spans="1:7" ht="24">
      <c r="A78" s="3302">
        <v>6</v>
      </c>
      <c r="B78" s="3711"/>
      <c r="C78" s="3283" t="s">
        <v>2892</v>
      </c>
      <c r="D78" s="3283" t="s">
        <v>2893</v>
      </c>
      <c r="E78" s="3308">
        <v>0.15</v>
      </c>
      <c r="F78" s="3302">
        <v>20</v>
      </c>
    </row>
    <row r="79" spans="1:7" ht="24">
      <c r="A79" s="3302">
        <v>7</v>
      </c>
      <c r="B79" s="3711"/>
      <c r="C79" s="3283" t="s">
        <v>2894</v>
      </c>
      <c r="D79" s="3283" t="s">
        <v>2895</v>
      </c>
      <c r="E79" s="3308">
        <v>0.15</v>
      </c>
      <c r="F79" s="3302">
        <v>20</v>
      </c>
    </row>
    <row r="80" spans="1:7" ht="24">
      <c r="A80" s="3302">
        <v>8</v>
      </c>
      <c r="B80" s="3711"/>
      <c r="C80" s="3283" t="s">
        <v>2896</v>
      </c>
      <c r="D80" s="3283" t="s">
        <v>2897</v>
      </c>
      <c r="E80" s="3308">
        <v>0.1</v>
      </c>
      <c r="F80" s="3302">
        <v>15</v>
      </c>
    </row>
    <row r="81" spans="1:6" ht="24">
      <c r="A81" s="3302">
        <v>9</v>
      </c>
      <c r="B81" s="3711"/>
      <c r="C81" s="3283" t="s">
        <v>2898</v>
      </c>
      <c r="D81" s="3283" t="s">
        <v>2899</v>
      </c>
      <c r="E81" s="3308">
        <v>0.1</v>
      </c>
      <c r="F81" s="3302">
        <v>15</v>
      </c>
    </row>
    <row r="82" spans="1:6" ht="24">
      <c r="A82" s="3302">
        <v>10</v>
      </c>
      <c r="B82" s="3711"/>
      <c r="C82" s="3283" t="s">
        <v>2900</v>
      </c>
      <c r="D82" s="3283" t="s">
        <v>2901</v>
      </c>
      <c r="E82" s="3308">
        <v>0.1</v>
      </c>
      <c r="F82" s="3302">
        <v>15</v>
      </c>
    </row>
    <row r="83" spans="1:6" ht="24">
      <c r="A83" s="3302">
        <v>11</v>
      </c>
      <c r="B83" s="3711"/>
      <c r="C83" s="3283" t="s">
        <v>2902</v>
      </c>
      <c r="D83" s="3283" t="s">
        <v>2903</v>
      </c>
      <c r="E83" s="3308">
        <v>0.1</v>
      </c>
      <c r="F83" s="3302">
        <v>15</v>
      </c>
    </row>
    <row r="84" spans="1:6" ht="24">
      <c r="A84" s="3302">
        <v>12</v>
      </c>
      <c r="B84" s="3711"/>
      <c r="C84" s="3283" t="s">
        <v>2904</v>
      </c>
      <c r="D84" s="3283" t="s">
        <v>2905</v>
      </c>
      <c r="E84" s="3308">
        <v>0.1</v>
      </c>
      <c r="F84" s="3302">
        <v>15</v>
      </c>
    </row>
    <row r="85" spans="1:6" ht="13.5">
      <c r="A85" s="3302">
        <v>13</v>
      </c>
      <c r="B85" s="3711"/>
      <c r="C85" s="3283" t="s">
        <v>2906</v>
      </c>
      <c r="D85" s="3283" t="s">
        <v>2907</v>
      </c>
      <c r="E85" s="3308">
        <v>0.1</v>
      </c>
      <c r="F85" s="3302">
        <v>15</v>
      </c>
    </row>
    <row r="86" spans="1:6" ht="13.5">
      <c r="A86" s="3302">
        <v>14</v>
      </c>
      <c r="B86" s="3711"/>
      <c r="C86" s="3283" t="s">
        <v>2908</v>
      </c>
      <c r="D86" s="3283" t="s">
        <v>2909</v>
      </c>
      <c r="E86" s="3308">
        <v>0.1</v>
      </c>
      <c r="F86" s="3302">
        <v>15</v>
      </c>
    </row>
    <row r="87" spans="1:6" ht="13.5">
      <c r="A87" s="3302">
        <v>15</v>
      </c>
      <c r="B87" s="3711"/>
      <c r="C87" s="3283" t="s">
        <v>2910</v>
      </c>
      <c r="D87" s="3283" t="s">
        <v>2911</v>
      </c>
      <c r="E87" s="3308">
        <v>0.1</v>
      </c>
      <c r="F87" s="3302">
        <v>15</v>
      </c>
    </row>
    <row r="88" spans="1:6" ht="24">
      <c r="A88" s="3302">
        <v>16</v>
      </c>
      <c r="B88" s="3711"/>
      <c r="C88" s="3283" t="s">
        <v>2912</v>
      </c>
      <c r="D88" s="3283" t="s">
        <v>2913</v>
      </c>
      <c r="E88" s="3308">
        <v>0.1</v>
      </c>
      <c r="F88" s="3302">
        <v>15</v>
      </c>
    </row>
    <row r="89" spans="1:6" ht="24">
      <c r="A89" s="3302">
        <v>17</v>
      </c>
      <c r="B89" s="3710"/>
      <c r="C89" s="3283" t="s">
        <v>2914</v>
      </c>
      <c r="D89" s="3283" t="s">
        <v>2915</v>
      </c>
      <c r="E89" s="3308">
        <v>0.1</v>
      </c>
      <c r="F89" s="3302">
        <v>15</v>
      </c>
    </row>
    <row r="90" spans="1:6" ht="13.5">
      <c r="A90" s="3302">
        <v>18</v>
      </c>
      <c r="B90" s="3709" t="s">
        <v>2916</v>
      </c>
      <c r="C90" s="3283" t="s">
        <v>2917</v>
      </c>
      <c r="D90" s="3283" t="s">
        <v>2918</v>
      </c>
      <c r="E90" s="3308">
        <v>0.2</v>
      </c>
      <c r="F90" s="3302">
        <v>25</v>
      </c>
    </row>
    <row r="91" spans="1:6" ht="24">
      <c r="A91" s="3302">
        <v>19</v>
      </c>
      <c r="B91" s="3711"/>
      <c r="C91" s="3283" t="s">
        <v>2919</v>
      </c>
      <c r="D91" s="3283" t="s">
        <v>2920</v>
      </c>
      <c r="E91" s="3308">
        <v>0.2</v>
      </c>
      <c r="F91" s="3302">
        <v>25</v>
      </c>
    </row>
    <row r="92" spans="1:6" ht="13.5">
      <c r="A92" s="3302">
        <v>20</v>
      </c>
      <c r="B92" s="3711"/>
      <c r="C92" s="3283" t="s">
        <v>2921</v>
      </c>
      <c r="D92" s="3283" t="s">
        <v>2922</v>
      </c>
      <c r="E92" s="3308">
        <v>0.15</v>
      </c>
      <c r="F92" s="3302">
        <v>20</v>
      </c>
    </row>
    <row r="93" spans="1:6" ht="24">
      <c r="A93" s="3302">
        <v>21</v>
      </c>
      <c r="B93" s="3711"/>
      <c r="C93" s="3283" t="s">
        <v>2923</v>
      </c>
      <c r="D93" s="3283" t="s">
        <v>2924</v>
      </c>
      <c r="E93" s="3308">
        <v>0.15</v>
      </c>
      <c r="F93" s="3302">
        <v>20</v>
      </c>
    </row>
    <row r="94" spans="1:6" ht="24">
      <c r="A94" s="3302">
        <v>22</v>
      </c>
      <c r="B94" s="3711"/>
      <c r="C94" s="3283" t="s">
        <v>2925</v>
      </c>
      <c r="D94" s="3283" t="s">
        <v>2926</v>
      </c>
      <c r="E94" s="3308">
        <v>0.15</v>
      </c>
      <c r="F94" s="3302">
        <v>20</v>
      </c>
    </row>
    <row r="95" spans="1:6" ht="36">
      <c r="A95" s="3302">
        <v>23</v>
      </c>
      <c r="B95" s="3711"/>
      <c r="C95" s="3283" t="s">
        <v>2927</v>
      </c>
      <c r="D95" s="3283" t="s">
        <v>2928</v>
      </c>
      <c r="E95" s="3308">
        <v>0.15</v>
      </c>
      <c r="F95" s="3302">
        <v>20</v>
      </c>
    </row>
    <row r="96" spans="1:6" ht="13.5">
      <c r="A96" s="3302">
        <v>24</v>
      </c>
      <c r="B96" s="3711"/>
      <c r="C96" s="3283" t="s">
        <v>2929</v>
      </c>
      <c r="D96" s="3283" t="s">
        <v>2930</v>
      </c>
      <c r="E96" s="3308">
        <v>0.1</v>
      </c>
      <c r="F96" s="3302">
        <v>15</v>
      </c>
    </row>
    <row r="97" spans="1:6" ht="24">
      <c r="A97" s="3302">
        <v>25</v>
      </c>
      <c r="B97" s="3711"/>
      <c r="C97" s="3283" t="s">
        <v>2931</v>
      </c>
      <c r="D97" s="3283" t="s">
        <v>2932</v>
      </c>
      <c r="E97" s="3308">
        <v>0.1</v>
      </c>
      <c r="F97" s="3302">
        <v>15</v>
      </c>
    </row>
    <row r="98" spans="1:6" ht="24">
      <c r="A98" s="3302">
        <v>26</v>
      </c>
      <c r="B98" s="3711"/>
      <c r="C98" s="3283" t="s">
        <v>2933</v>
      </c>
      <c r="D98" s="3283" t="s">
        <v>2934</v>
      </c>
      <c r="E98" s="3308">
        <v>0.1</v>
      </c>
      <c r="F98" s="3302">
        <v>15</v>
      </c>
    </row>
    <row r="99" spans="1:6" ht="24">
      <c r="A99" s="3302">
        <v>27</v>
      </c>
      <c r="B99" s="3711"/>
      <c r="C99" s="3283" t="s">
        <v>2935</v>
      </c>
      <c r="D99" s="3283" t="s">
        <v>2936</v>
      </c>
      <c r="E99" s="3308">
        <v>0.1</v>
      </c>
      <c r="F99" s="3302">
        <v>15</v>
      </c>
    </row>
    <row r="100" spans="1:6" ht="24">
      <c r="A100" s="3302">
        <v>28</v>
      </c>
      <c r="B100" s="3711"/>
      <c r="C100" s="3283" t="s">
        <v>2937</v>
      </c>
      <c r="D100" s="3283" t="s">
        <v>2938</v>
      </c>
      <c r="E100" s="3308">
        <v>0.1</v>
      </c>
      <c r="F100" s="3302">
        <v>15</v>
      </c>
    </row>
    <row r="101" spans="1:6" ht="24">
      <c r="A101" s="3302">
        <v>29</v>
      </c>
      <c r="B101" s="3711"/>
      <c r="C101" s="3283" t="s">
        <v>2939</v>
      </c>
      <c r="D101" s="3283" t="s">
        <v>2940</v>
      </c>
      <c r="E101" s="3308">
        <v>0.1</v>
      </c>
      <c r="F101" s="3302">
        <v>15</v>
      </c>
    </row>
    <row r="102" spans="1:6" ht="24">
      <c r="A102" s="3302">
        <v>30</v>
      </c>
      <c r="B102" s="3711"/>
      <c r="C102" s="3283" t="s">
        <v>2941</v>
      </c>
      <c r="D102" s="3283" t="s">
        <v>2942</v>
      </c>
      <c r="E102" s="3308">
        <v>0.1</v>
      </c>
      <c r="F102" s="3302">
        <v>15</v>
      </c>
    </row>
    <row r="103" spans="1:6" ht="24">
      <c r="A103" s="3302">
        <v>31</v>
      </c>
      <c r="B103" s="3711"/>
      <c r="C103" s="3283" t="s">
        <v>2943</v>
      </c>
      <c r="D103" s="3283" t="s">
        <v>2944</v>
      </c>
      <c r="E103" s="3308">
        <v>0.1</v>
      </c>
      <c r="F103" s="3302">
        <v>15</v>
      </c>
    </row>
    <row r="104" spans="1:6" ht="24">
      <c r="A104" s="3302">
        <v>32</v>
      </c>
      <c r="B104" s="3711"/>
      <c r="C104" s="3283" t="s">
        <v>2945</v>
      </c>
      <c r="D104" s="3283" t="s">
        <v>2946</v>
      </c>
      <c r="E104" s="3308">
        <v>0.1</v>
      </c>
      <c r="F104" s="3302">
        <v>15</v>
      </c>
    </row>
    <row r="105" spans="1:6" ht="24">
      <c r="A105" s="3302">
        <v>33</v>
      </c>
      <c r="B105" s="3711"/>
      <c r="C105" s="3283" t="s">
        <v>2947</v>
      </c>
      <c r="D105" s="3283" t="s">
        <v>2948</v>
      </c>
      <c r="E105" s="3308">
        <v>0.1</v>
      </c>
      <c r="F105" s="3302">
        <v>15</v>
      </c>
    </row>
    <row r="106" spans="1:6" ht="24">
      <c r="A106" s="3302">
        <v>34</v>
      </c>
      <c r="B106" s="3710"/>
      <c r="C106" s="3283" t="s">
        <v>2949</v>
      </c>
      <c r="D106" s="3283" t="s">
        <v>2950</v>
      </c>
      <c r="E106" s="3308">
        <v>0.1</v>
      </c>
      <c r="F106" s="3302">
        <v>15</v>
      </c>
    </row>
    <row r="107" spans="1:6" ht="24">
      <c r="A107" s="3302">
        <v>35</v>
      </c>
      <c r="B107" s="3709" t="s">
        <v>2951</v>
      </c>
      <c r="C107" s="3302" t="s">
        <v>2952</v>
      </c>
      <c r="D107" s="3283" t="s">
        <v>2953</v>
      </c>
      <c r="E107" s="3308">
        <v>0.15</v>
      </c>
      <c r="F107" s="3302">
        <v>20</v>
      </c>
    </row>
    <row r="108" spans="1:6" ht="24">
      <c r="A108" s="3302">
        <v>36</v>
      </c>
      <c r="B108" s="3711"/>
      <c r="C108" s="3302" t="s">
        <v>2954</v>
      </c>
      <c r="D108" s="3283" t="s">
        <v>2955</v>
      </c>
      <c r="E108" s="3308">
        <v>0.15</v>
      </c>
      <c r="F108" s="3302">
        <v>20</v>
      </c>
    </row>
    <row r="109" spans="1:6" ht="24">
      <c r="A109" s="3302">
        <v>37</v>
      </c>
      <c r="B109" s="3711"/>
      <c r="C109" s="3302" t="s">
        <v>2956</v>
      </c>
      <c r="D109" s="3283" t="s">
        <v>2957</v>
      </c>
      <c r="E109" s="3308">
        <v>0.15</v>
      </c>
      <c r="F109" s="3302">
        <v>20</v>
      </c>
    </row>
    <row r="110" spans="1:6" ht="13.5">
      <c r="A110" s="3302">
        <v>38</v>
      </c>
      <c r="B110" s="3711"/>
      <c r="C110" s="3302" t="s">
        <v>2958</v>
      </c>
      <c r="D110" s="3283" t="s">
        <v>2959</v>
      </c>
      <c r="E110" s="3308">
        <v>0.1</v>
      </c>
      <c r="F110" s="3302">
        <v>15</v>
      </c>
    </row>
    <row r="111" spans="1:6" ht="24">
      <c r="A111" s="3302">
        <v>39</v>
      </c>
      <c r="B111" s="3711"/>
      <c r="C111" s="3302" t="s">
        <v>2960</v>
      </c>
      <c r="D111" s="3283" t="s">
        <v>2961</v>
      </c>
      <c r="E111" s="3308">
        <v>0.1</v>
      </c>
      <c r="F111" s="3302">
        <v>15</v>
      </c>
    </row>
    <row r="112" spans="1:6" ht="24">
      <c r="A112" s="3302">
        <v>40</v>
      </c>
      <c r="B112" s="3710"/>
      <c r="C112" s="3302" t="s">
        <v>2962</v>
      </c>
      <c r="D112" s="3283" t="s">
        <v>2963</v>
      </c>
      <c r="E112" s="3308">
        <v>0.1</v>
      </c>
      <c r="F112" s="3302">
        <v>15</v>
      </c>
    </row>
    <row r="113" spans="1:6" ht="24">
      <c r="A113" s="3302">
        <v>41</v>
      </c>
      <c r="B113" s="3708" t="s">
        <v>2964</v>
      </c>
      <c r="C113" s="3302" t="s">
        <v>2965</v>
      </c>
      <c r="D113" s="3283" t="s">
        <v>2966</v>
      </c>
      <c r="E113" s="3308">
        <v>0.1</v>
      </c>
      <c r="F113" s="3302">
        <v>15</v>
      </c>
    </row>
    <row r="114" spans="1:6" ht="13.5">
      <c r="A114" s="3302">
        <v>42</v>
      </c>
      <c r="B114" s="3708"/>
      <c r="C114" s="3302" t="s">
        <v>2967</v>
      </c>
      <c r="D114" s="3283" t="s">
        <v>2968</v>
      </c>
      <c r="E114" s="3308">
        <v>0.1</v>
      </c>
      <c r="F114" s="3302">
        <v>15</v>
      </c>
    </row>
    <row r="115" spans="1:6" ht="24">
      <c r="A115" s="3302">
        <v>43</v>
      </c>
      <c r="B115" s="3708"/>
      <c r="C115" s="3302" t="s">
        <v>2969</v>
      </c>
      <c r="D115" s="3283" t="s">
        <v>2970</v>
      </c>
      <c r="E115" s="3308">
        <v>0.1</v>
      </c>
      <c r="F115" s="3302">
        <v>15</v>
      </c>
    </row>
    <row r="116" spans="1:6" ht="24">
      <c r="A116" s="3302">
        <v>44</v>
      </c>
      <c r="B116" s="3709" t="s">
        <v>2971</v>
      </c>
      <c r="C116" s="3302" t="s">
        <v>2972</v>
      </c>
      <c r="D116" s="3283" t="s">
        <v>2973</v>
      </c>
      <c r="E116" s="3308">
        <v>0.1</v>
      </c>
      <c r="F116" s="3302">
        <v>15</v>
      </c>
    </row>
    <row r="117" spans="1:6" ht="24">
      <c r="A117" s="3302">
        <v>45</v>
      </c>
      <c r="B117" s="3710"/>
      <c r="C117" s="3283" t="s">
        <v>2974</v>
      </c>
      <c r="D117" s="3283" t="s">
        <v>2975</v>
      </c>
      <c r="E117" s="3308">
        <v>0.1</v>
      </c>
      <c r="F117" s="3302">
        <v>15</v>
      </c>
    </row>
    <row r="118" spans="1:6" ht="24">
      <c r="A118" s="3302">
        <v>46</v>
      </c>
      <c r="B118" s="3709" t="s">
        <v>2976</v>
      </c>
      <c r="C118" s="3302" t="s">
        <v>2977</v>
      </c>
      <c r="D118" s="3283" t="s">
        <v>2978</v>
      </c>
      <c r="E118" s="3308">
        <v>0.1</v>
      </c>
      <c r="F118" s="3302">
        <v>15</v>
      </c>
    </row>
    <row r="119" spans="1:6" ht="24">
      <c r="A119" s="3302">
        <v>47</v>
      </c>
      <c r="B119" s="3710"/>
      <c r="C119" s="3302" t="s">
        <v>2979</v>
      </c>
      <c r="D119" s="3283" t="s">
        <v>2980</v>
      </c>
      <c r="E119" s="3308">
        <v>0.1</v>
      </c>
      <c r="F119" s="3302">
        <v>15</v>
      </c>
    </row>
    <row r="120" spans="1:6" ht="24">
      <c r="A120" s="3302">
        <v>48</v>
      </c>
      <c r="B120" s="3709" t="s">
        <v>2981</v>
      </c>
      <c r="C120" s="3302" t="s">
        <v>2982</v>
      </c>
      <c r="D120" s="3283" t="s">
        <v>2983</v>
      </c>
      <c r="E120" s="3308">
        <v>0.1</v>
      </c>
      <c r="F120" s="3302">
        <v>15</v>
      </c>
    </row>
    <row r="121" spans="1:6" ht="13.5">
      <c r="A121" s="3302">
        <v>49</v>
      </c>
      <c r="B121" s="3710"/>
      <c r="C121" s="3302" t="s">
        <v>2984</v>
      </c>
      <c r="D121" s="3283" t="s">
        <v>2985</v>
      </c>
      <c r="E121" s="3308">
        <v>0.1</v>
      </c>
      <c r="F121" s="3302">
        <v>15</v>
      </c>
    </row>
    <row r="122" spans="1:6" ht="24">
      <c r="A122" s="3302">
        <v>50</v>
      </c>
      <c r="B122" s="3708" t="s">
        <v>2986</v>
      </c>
      <c r="C122" s="3302" t="s">
        <v>2987</v>
      </c>
      <c r="D122" s="3283" t="s">
        <v>2988</v>
      </c>
      <c r="E122" s="3308">
        <v>0.1</v>
      </c>
      <c r="F122" s="3302">
        <v>15</v>
      </c>
    </row>
    <row r="123" spans="1:6" ht="24">
      <c r="A123" s="3302">
        <v>51</v>
      </c>
      <c r="B123" s="3708"/>
      <c r="C123" s="3302" t="s">
        <v>2989</v>
      </c>
      <c r="D123" s="3283" t="s">
        <v>2990</v>
      </c>
      <c r="E123" s="3308">
        <v>0.1</v>
      </c>
      <c r="F123" s="3302">
        <v>15</v>
      </c>
    </row>
    <row r="124" spans="1:6" ht="24">
      <c r="A124" s="3302">
        <v>52</v>
      </c>
      <c r="B124" s="3708" t="s">
        <v>2991</v>
      </c>
      <c r="C124" s="3302" t="s">
        <v>2992</v>
      </c>
      <c r="D124" s="3283" t="s">
        <v>2993</v>
      </c>
      <c r="E124" s="3308">
        <v>0.1</v>
      </c>
      <c r="F124" s="3302">
        <v>15</v>
      </c>
    </row>
    <row r="125" spans="1:6" ht="24">
      <c r="A125" s="3302">
        <v>53</v>
      </c>
      <c r="B125" s="3708"/>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08" t="s">
        <v>2999</v>
      </c>
      <c r="C127" s="3302" t="s">
        <v>3000</v>
      </c>
      <c r="D127" s="3283" t="s">
        <v>3001</v>
      </c>
      <c r="E127" s="3308">
        <v>0.1</v>
      </c>
      <c r="F127" s="3302">
        <v>15</v>
      </c>
    </row>
    <row r="128" spans="1:6" ht="13.5">
      <c r="A128" s="3302">
        <v>56</v>
      </c>
      <c r="B128" s="3708"/>
      <c r="C128" s="3302" t="s">
        <v>3002</v>
      </c>
      <c r="D128" s="3283" t="s">
        <v>3003</v>
      </c>
      <c r="E128" s="3308">
        <v>0.1</v>
      </c>
      <c r="F128" s="3302">
        <v>15</v>
      </c>
    </row>
    <row r="129" spans="1:6" ht="24">
      <c r="A129" s="3302">
        <v>57</v>
      </c>
      <c r="B129" s="3708"/>
      <c r="C129" s="3302" t="s">
        <v>3004</v>
      </c>
      <c r="D129" s="3283" t="s">
        <v>3005</v>
      </c>
      <c r="E129" s="3308">
        <v>0.1</v>
      </c>
      <c r="F129" s="3302">
        <v>15</v>
      </c>
    </row>
    <row r="130" spans="1:6" ht="24">
      <c r="A130" s="3302">
        <v>58</v>
      </c>
      <c r="B130" s="3708" t="s">
        <v>3006</v>
      </c>
      <c r="C130" s="3302" t="s">
        <v>3007</v>
      </c>
      <c r="D130" s="3283" t="s">
        <v>3008</v>
      </c>
      <c r="E130" s="3308">
        <v>0.1</v>
      </c>
      <c r="F130" s="3302">
        <v>15</v>
      </c>
    </row>
    <row r="131" spans="1:6" ht="24">
      <c r="A131" s="3302">
        <v>59</v>
      </c>
      <c r="B131" s="3708"/>
      <c r="C131" s="3302" t="s">
        <v>3009</v>
      </c>
      <c r="D131" s="3283" t="s">
        <v>3010</v>
      </c>
      <c r="E131" s="3308">
        <v>0.1</v>
      </c>
      <c r="F131" s="3302">
        <v>15</v>
      </c>
    </row>
    <row r="132" spans="1:6" ht="24">
      <c r="A132" s="3302">
        <v>60</v>
      </c>
      <c r="B132" s="3709" t="s">
        <v>3011</v>
      </c>
      <c r="C132" s="3302" t="s">
        <v>3012</v>
      </c>
      <c r="D132" s="3283" t="s">
        <v>3013</v>
      </c>
      <c r="E132" s="3308">
        <v>0.1</v>
      </c>
      <c r="F132" s="3302">
        <v>15</v>
      </c>
    </row>
    <row r="133" spans="1:6" ht="24">
      <c r="A133" s="3302">
        <v>61</v>
      </c>
      <c r="B133" s="3710"/>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08" t="s">
        <v>3019</v>
      </c>
      <c r="C135" s="3302" t="s">
        <v>3020</v>
      </c>
      <c r="D135" s="3283" t="s">
        <v>3021</v>
      </c>
      <c r="E135" s="3308">
        <v>0.1</v>
      </c>
      <c r="F135" s="3302">
        <v>15</v>
      </c>
    </row>
    <row r="136" spans="1:6" ht="13.5">
      <c r="A136" s="3302">
        <v>64</v>
      </c>
      <c r="B136" s="3708"/>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7"/>
      <c r="B20" s="1209" t="s">
        <v>2642</v>
      </c>
      <c r="C20" s="1218">
        <v>43697</v>
      </c>
      <c r="D20" s="3068">
        <v>4.25</v>
      </c>
      <c r="E20" s="3068">
        <f t="shared" si="0"/>
        <v>4.25</v>
      </c>
      <c r="F20" s="3068">
        <f t="shared" si="1"/>
        <v>4.25</v>
      </c>
      <c r="G20" s="3068">
        <f t="shared" si="2"/>
        <v>4.25</v>
      </c>
      <c r="H20" s="3068">
        <v>4.8499999999999996</v>
      </c>
      <c r="I20" s="3068"/>
      <c r="J20" s="3068"/>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52.28</v>
      </c>
      <c r="D6" s="3331"/>
      <c r="E6" s="1287"/>
    </row>
    <row r="7" spans="1:5" ht="14.25">
      <c r="A7" s="1287"/>
      <c r="B7" s="3325" t="s">
        <v>594</v>
      </c>
      <c r="C7" s="1293" t="str">
        <f>IF('数据-取费表'!B3="万元","总价（万元）","总价（元）")</f>
        <v>总价（万元）</v>
      </c>
      <c r="D7" s="1294">
        <f ca="1">IF('数据-取费表'!E3="否",结果表!I102,'结果表 (1修多)'!I104)</f>
        <v>136</v>
      </c>
      <c r="E7" s="1287"/>
    </row>
    <row r="8" spans="1:5" ht="14.25">
      <c r="A8" s="1287"/>
      <c r="B8" s="3325"/>
      <c r="C8" s="1295" t="s">
        <v>924</v>
      </c>
      <c r="D8" s="1296" t="str">
        <f ca="1">IF('数据-取费表'!B3="万元",NUMBERSTRING(INT(D7*10000),2)&amp;"元整",NUMBERSTRING(INT(D7),2)&amp;"元整")</f>
        <v>壹佰叁拾陆万元整</v>
      </c>
      <c r="E8" s="1287"/>
    </row>
    <row r="9" spans="1:5" ht="14.25">
      <c r="A9" s="1287"/>
      <c r="B9" s="3325"/>
      <c r="C9" s="1297" t="s">
        <v>1020</v>
      </c>
      <c r="D9" s="1294">
        <f ca="1">IF('数据-取费表'!E3="否",结果表!I103,'结果表 (1修多)'!I105)</f>
        <v>26085</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 ca="1">IF('数据-取费表'!E3="否",结果表!I110,'结果表 (1修多)'!I112)</f>
        <v>136</v>
      </c>
      <c r="E15" s="1287"/>
    </row>
    <row r="16" spans="1:5" ht="14.25">
      <c r="A16" s="1287"/>
      <c r="B16" s="3332"/>
      <c r="C16" s="1295" t="s">
        <v>924</v>
      </c>
      <c r="D16" s="1294" t="str">
        <f ca="1">IF('数据-取费表'!B3="万元",NUMBERSTRING(INT(D15*10000),2)&amp;"元整",NUMBERSTRING(INT(D15),2)&amp;"元整")</f>
        <v>壹佰叁拾陆万元整</v>
      </c>
      <c r="E16" s="1287"/>
    </row>
    <row r="17" spans="1:5" ht="14.25">
      <c r="A17" s="1287"/>
      <c r="B17" s="3332"/>
      <c r="C17" s="1297" t="s">
        <v>1020</v>
      </c>
      <c r="D17" s="1294">
        <f ca="1">IF('数据-取费表'!E3="否",结果表!I111,'结果表 (1修多)'!I113)</f>
        <v>26085</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136</v>
      </c>
      <c r="E28" s="1287"/>
    </row>
    <row r="29" spans="1:5" ht="14.25">
      <c r="A29" s="1287"/>
      <c r="B29" s="3334"/>
      <c r="C29" s="1306" t="s">
        <v>924</v>
      </c>
      <c r="D29" s="1307" t="str">
        <f ca="1">IF('数据-取费表'!B3="万元",NUMBERSTRING(INT(D28*10000),2)&amp;"元整",NUMBERSTRING(INT(D28),2)&amp;"元整")</f>
        <v>壹佰叁拾陆万元整</v>
      </c>
      <c r="E29" s="1287"/>
    </row>
    <row r="30" spans="1:5" ht="14.25">
      <c r="A30" s="1287"/>
      <c r="B30" s="3335"/>
      <c r="C30" s="1297" t="s">
        <v>927</v>
      </c>
      <c r="D30" s="1308">
        <f ca="1">IF('数据-取费表'!E3="否",结果表!I103,'结果表 (1修多)'!I105)</f>
        <v>26085</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136</v>
      </c>
      <c r="E36" s="1287"/>
    </row>
    <row r="37" spans="1:5" ht="14.25">
      <c r="A37" s="1287"/>
      <c r="B37" s="3336"/>
      <c r="C37" s="1306" t="s">
        <v>924</v>
      </c>
      <c r="D37" s="1311" t="str">
        <f ca="1">IF('数据-取费表'!B3="万元",NUMBERSTRING(INT(D36*10000),2)&amp;"元整",NUMBERSTRING(INT(D36),2)&amp;"元整")</f>
        <v>壹佰叁拾陆万元整</v>
      </c>
      <c r="E37" s="1287"/>
    </row>
    <row r="38" spans="1:5" ht="14.25">
      <c r="A38" s="1287"/>
      <c r="B38" s="3336"/>
      <c r="C38" s="1297" t="s">
        <v>928</v>
      </c>
      <c r="D38" s="1308">
        <f ca="1">IF('数据-取费表'!E3="否",结果表!D113,'结果表 (1修多)'!D117)</f>
        <v>26085</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52.28</v>
      </c>
      <c r="C4" s="776">
        <f>结果表!C121</f>
        <v>0</v>
      </c>
      <c r="D4" s="776">
        <f ca="1">IF('数据-取费表'!E3="否",结果表!D121,'结果表 (1修多)'!D125)</f>
        <v>112</v>
      </c>
      <c r="E4" s="776">
        <f ca="1">IF('数据-取费表'!E3="否",结果表!E121,'结果表 (1修多)'!E125)</f>
        <v>21338</v>
      </c>
      <c r="F4" s="776">
        <f ca="1">IF('数据-取费表'!E3="否",结果表!F121,'结果表 (1修多)'!F125)</f>
        <v>25</v>
      </c>
      <c r="G4" s="776">
        <f ca="1">IF('数据-取费表'!E3="否",结果表!G121,'结果表 (1修多)'!G125)</f>
        <v>4747</v>
      </c>
      <c r="H4" s="776">
        <f ca="1">IF('数据-取费表'!E3="否",结果表!H121,'结果表 (1修多)'!H125)</f>
        <v>136</v>
      </c>
      <c r="I4" s="776">
        <f ca="1">IF('数据-取费表'!E3="否",结果表!I121,'结果表 (1修多)'!I125)</f>
        <v>26085</v>
      </c>
    </row>
    <row r="5" spans="1:9" ht="15">
      <c r="A5" s="3350" t="s">
        <v>1030</v>
      </c>
      <c r="B5" s="3350"/>
      <c r="C5" s="3350"/>
      <c r="D5" s="3348" t="str">
        <f ca="1">IF('数据-取费表'!E3="否",结果表!D122,'结果表 (1修多)'!D126)</f>
        <v>壹佰壹拾贰万元整</v>
      </c>
      <c r="E5" s="3348"/>
      <c r="F5" s="3348" t="str">
        <f ca="1">IF('数据-取费表'!E3="否",结果表!F122,'结果表 (1修多)'!F126)</f>
        <v>贰拾伍万元整</v>
      </c>
      <c r="G5" s="3348"/>
      <c r="H5" s="3348" t="str">
        <f ca="1">IF('数据-取费表'!E3="否",结果表!H122,'结果表 (1修多)'!H126)</f>
        <v>壹佰叁拾陆万元整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136</v>
      </c>
      <c r="E8" s="3349"/>
      <c r="F8" s="3349"/>
      <c r="G8" s="3349"/>
      <c r="H8" s="3349"/>
      <c r="I8" s="3349"/>
    </row>
    <row r="9" spans="1:9" ht="15">
      <c r="A9" s="3350" t="s">
        <v>1030</v>
      </c>
      <c r="B9" s="3350"/>
      <c r="C9" s="3350"/>
      <c r="D9" s="3348">
        <f ca="1">IF('数据-取费表'!E3="否",结果表!D126,'结果表 (1修多)'!D130)</f>
        <v>26085</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44729</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6"/>
      <c r="E18" s="3374" t="s">
        <v>584</v>
      </c>
      <c r="F18" s="3373"/>
      <c r="G18" s="3373"/>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本次估价的“房地产价值”是指在正常市场情况下，在价值时点2022年6月17日，估价对象规划用途为，假定未设立法定优先受偿款下的房地产市场价值。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2022-06-17T07:53:42Z</dcterms:modified>
</cp:coreProperties>
</file>